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4520" windowHeight="12855"/>
  </bookViews>
  <sheets>
    <sheet name="SAM Exchange" sheetId="42" r:id="rId1"/>
    <sheet name="Cap$" sheetId="41" r:id="rId2"/>
    <sheet name="O&amp;M$" sheetId="48" r:id="rId3"/>
    <sheet name="CI" sheetId="47" r:id="rId4"/>
  </sheets>
  <definedNames>
    <definedName name="CA_union_labor">'Cap$'!$Q$4</definedName>
    <definedName name="Cooling_Method">'SAM Exchange'!$H$23</definedName>
    <definedName name="Cost_Yr">'SAM Exchange'!$H$21</definedName>
    <definedName name="DL_burden">'O&amp;M$'!$C$2</definedName>
    <definedName name="Est_Gross_to_Net_Conv">'SAM Exchange'!#REF!</definedName>
    <definedName name="Labor_Cost_Factor">'SAM Exchange'!$H$22</definedName>
    <definedName name="PB_Thermal_Design_Capacity">'SAM Exchange'!$H$12</definedName>
    <definedName name="Proj_land_area">'SAM Exchange'!$H$14</definedName>
    <definedName name="Proj_land_cost">'Cap$'!$N$95</definedName>
    <definedName name="Proj_Rcvr_Area">'SAM Exchange'!$H$17</definedName>
    <definedName name="Proj_Rcvr_MWt">'SAM Exchange'!$H$16</definedName>
    <definedName name="Proj_SF_Area">'SAM Exchange'!$H$15</definedName>
    <definedName name="Proj_TES_hrs">'SAM Exchange'!$H$13</definedName>
    <definedName name="Proj_Tower_Height">'SAM Exchange'!$H$18</definedName>
    <definedName name="Proj_Turb_Gross">'SAM Exchange'!$H$11</definedName>
    <definedName name="Ref_Enet_yr">'Cap$'!$C$8</definedName>
    <definedName name="Ref_Land_Area">'Cap$'!$C$9</definedName>
    <definedName name="Ref_Rcvr_MWt">'Cap$'!$C$5</definedName>
    <definedName name="Ref_Receiver_Area">'Cap$'!$C$6</definedName>
    <definedName name="Ref_SF_area">'Cap$'!$C$4</definedName>
    <definedName name="Ref_TES_capacity">'Cap$'!$C$7</definedName>
    <definedName name="Ref_Tower_Height">'Cap$'!$C$10</definedName>
    <definedName name="Ref_Turb_Gross">'Cap$'!$C$3</definedName>
    <definedName name="Sales_Tax_percent_of_DC">'SAM Exchange'!$I$39</definedName>
    <definedName name="Sales_Tax_Rate">'SAM Exchange'!$H$20</definedName>
    <definedName name="US_avg_labor">'Cap$'!$Q$2</definedName>
  </definedNames>
  <calcPr calcId="145621"/>
</workbook>
</file>

<file path=xl/calcChain.xml><?xml version="1.0" encoding="utf-8"?>
<calcChain xmlns="http://schemas.openxmlformats.org/spreadsheetml/2006/main">
  <c r="F44" i="48" l="1"/>
  <c r="F43" i="48"/>
  <c r="F42" i="48"/>
  <c r="F41" i="48"/>
  <c r="F40" i="48"/>
  <c r="F35" i="48"/>
  <c r="F34" i="48"/>
  <c r="F33" i="48"/>
  <c r="F32" i="48"/>
  <c r="F31" i="48"/>
  <c r="F30" i="48"/>
  <c r="F25" i="48"/>
  <c r="F24" i="48"/>
  <c r="F23" i="48"/>
  <c r="F22" i="48"/>
  <c r="F21" i="48"/>
  <c r="F17" i="48"/>
  <c r="F16" i="48"/>
  <c r="F15" i="48"/>
  <c r="F14" i="48"/>
  <c r="F13" i="48"/>
  <c r="F12" i="48"/>
  <c r="F11" i="48"/>
  <c r="F10" i="48"/>
  <c r="F9" i="48"/>
  <c r="Q2" i="41"/>
  <c r="Q3" i="41"/>
  <c r="Q5" i="41"/>
  <c r="Q4" i="41"/>
  <c r="E11" i="42" l="1"/>
  <c r="E12" i="42"/>
  <c r="J36" i="41" l="1"/>
  <c r="J37" i="41"/>
  <c r="J38" i="41"/>
  <c r="J39" i="41"/>
  <c r="D36" i="41"/>
  <c r="D37" i="41"/>
  <c r="D38" i="41"/>
  <c r="D39" i="41"/>
  <c r="E13" i="42"/>
  <c r="J70" i="48" l="1"/>
  <c r="F70" i="48"/>
  <c r="D70" i="48"/>
  <c r="E17" i="41"/>
  <c r="F17" i="41"/>
  <c r="F16" i="41"/>
  <c r="F15" i="41"/>
  <c r="E15" i="41"/>
  <c r="C6" i="41" l="1"/>
  <c r="P71" i="41" l="1"/>
  <c r="L71" i="41"/>
  <c r="J71" i="41"/>
  <c r="P66" i="41"/>
  <c r="L66" i="41"/>
  <c r="J66" i="41"/>
  <c r="G66" i="41"/>
  <c r="D66" i="41"/>
  <c r="G71" i="41"/>
  <c r="D71" i="41"/>
  <c r="G57" i="41"/>
  <c r="G56" i="41"/>
  <c r="G55" i="41"/>
  <c r="G54" i="41"/>
  <c r="G53" i="41"/>
  <c r="D31" i="41"/>
  <c r="D32" i="41"/>
  <c r="Q66" i="41" l="1"/>
  <c r="N71" i="41"/>
  <c r="Q71" i="41"/>
  <c r="N66" i="41"/>
  <c r="R66" i="41" l="1"/>
  <c r="R71" i="41"/>
  <c r="F58" i="41"/>
  <c r="E58" i="41"/>
  <c r="P57" i="41"/>
  <c r="L57" i="41"/>
  <c r="J57" i="41"/>
  <c r="D57" i="41"/>
  <c r="Q1" i="41"/>
  <c r="E38" i="42"/>
  <c r="I38" i="42"/>
  <c r="N57" i="41" l="1"/>
  <c r="Q57" i="41"/>
  <c r="E62" i="48"/>
  <c r="F19" i="41"/>
  <c r="E19" i="41"/>
  <c r="F20" i="41"/>
  <c r="E20" i="41"/>
  <c r="F18" i="41"/>
  <c r="E18" i="41"/>
  <c r="J18" i="41"/>
  <c r="D18" i="41"/>
  <c r="P18" i="41"/>
  <c r="L18" i="41"/>
  <c r="R57" i="41" l="1"/>
  <c r="N18" i="41"/>
  <c r="Q18" i="41"/>
  <c r="G18" i="41"/>
  <c r="R18" i="41" l="1"/>
  <c r="J35" i="41"/>
  <c r="D35" i="41"/>
  <c r="G38" i="41"/>
  <c r="J47" i="41"/>
  <c r="J46" i="41"/>
  <c r="J45" i="41"/>
  <c r="J44" i="41"/>
  <c r="J43" i="41"/>
  <c r="J42" i="41"/>
  <c r="P54" i="41"/>
  <c r="L54" i="41"/>
  <c r="J54" i="41"/>
  <c r="D54" i="41"/>
  <c r="E14" i="42"/>
  <c r="P35" i="41"/>
  <c r="L35" i="41"/>
  <c r="G44" i="41"/>
  <c r="G43" i="41"/>
  <c r="G42" i="41"/>
  <c r="J32" i="41"/>
  <c r="E28" i="41"/>
  <c r="J31" i="41"/>
  <c r="J95" i="41"/>
  <c r="D95" i="41"/>
  <c r="D20" i="41"/>
  <c r="D19" i="41"/>
  <c r="D17" i="41"/>
  <c r="D16" i="41"/>
  <c r="D15" i="41"/>
  <c r="J20" i="41"/>
  <c r="J19" i="41"/>
  <c r="J17" i="41"/>
  <c r="J16" i="41"/>
  <c r="J15" i="41"/>
  <c r="G46" i="48"/>
  <c r="G45" i="48"/>
  <c r="G44" i="48"/>
  <c r="G43" i="48"/>
  <c r="G42" i="48"/>
  <c r="G41" i="48"/>
  <c r="G40" i="48"/>
  <c r="G37" i="48"/>
  <c r="G36" i="48"/>
  <c r="G35" i="48"/>
  <c r="G34" i="48"/>
  <c r="G33" i="48"/>
  <c r="G32" i="48"/>
  <c r="G31" i="48"/>
  <c r="G30" i="48"/>
  <c r="G27" i="48"/>
  <c r="G26" i="48"/>
  <c r="G25" i="48"/>
  <c r="G24" i="48"/>
  <c r="G23" i="48"/>
  <c r="G22" i="48"/>
  <c r="G21" i="48"/>
  <c r="G18" i="48"/>
  <c r="G17" i="48"/>
  <c r="G16" i="48"/>
  <c r="G15" i="48"/>
  <c r="G14" i="48"/>
  <c r="G13" i="48"/>
  <c r="G12" i="48"/>
  <c r="G11" i="48"/>
  <c r="G10" i="48"/>
  <c r="G9" i="48"/>
  <c r="N35" i="41" l="1"/>
  <c r="G46" i="41"/>
  <c r="G37" i="41"/>
  <c r="F40" i="41"/>
  <c r="E33" i="41"/>
  <c r="G39" i="41"/>
  <c r="F33" i="41"/>
  <c r="Q54" i="41"/>
  <c r="N54" i="41"/>
  <c r="G47" i="41"/>
  <c r="E40" i="41"/>
  <c r="Q35" i="41"/>
  <c r="G45" i="41"/>
  <c r="G35" i="41"/>
  <c r="R54" i="41" l="1"/>
  <c r="R35" i="41"/>
  <c r="P91" i="41"/>
  <c r="P90" i="41"/>
  <c r="P87" i="41"/>
  <c r="D9" i="48"/>
  <c r="J63" i="48"/>
  <c r="J62" i="48"/>
  <c r="J61" i="48"/>
  <c r="D63" i="48"/>
  <c r="D62" i="48"/>
  <c r="D61" i="48"/>
  <c r="J57" i="48"/>
  <c r="J56" i="48"/>
  <c r="D57" i="48"/>
  <c r="O116" i="41"/>
  <c r="C116" i="41"/>
  <c r="E46" i="42"/>
  <c r="H31" i="42"/>
  <c r="I31" i="42" s="1"/>
  <c r="R95" i="41"/>
  <c r="P89" i="41"/>
  <c r="P88" i="41"/>
  <c r="G95" i="41"/>
  <c r="J73" i="48"/>
  <c r="J72" i="48"/>
  <c r="J71" i="48"/>
  <c r="J69" i="48"/>
  <c r="J68" i="48"/>
  <c r="L73" i="48"/>
  <c r="L72" i="48"/>
  <c r="L71" i="48"/>
  <c r="L70" i="48"/>
  <c r="L69" i="48"/>
  <c r="L68" i="48"/>
  <c r="L63" i="48"/>
  <c r="L62" i="48"/>
  <c r="L61" i="48"/>
  <c r="I46" i="42" s="1"/>
  <c r="L58" i="48"/>
  <c r="L57" i="48"/>
  <c r="L56" i="48"/>
  <c r="L55" i="48"/>
  <c r="L54" i="48"/>
  <c r="L53" i="48"/>
  <c r="J55" i="48"/>
  <c r="G63" i="48"/>
  <c r="G62" i="48"/>
  <c r="G61" i="48"/>
  <c r="G58" i="48"/>
  <c r="G57" i="48"/>
  <c r="G56" i="48"/>
  <c r="G55" i="48"/>
  <c r="G54" i="48"/>
  <c r="G53" i="48"/>
  <c r="D73" i="48"/>
  <c r="D72" i="48"/>
  <c r="D71" i="48"/>
  <c r="L17" i="48"/>
  <c r="L16" i="48"/>
  <c r="L15" i="48"/>
  <c r="L14" i="48"/>
  <c r="L13" i="48"/>
  <c r="J46" i="48"/>
  <c r="J45" i="48"/>
  <c r="J44" i="48"/>
  <c r="J43" i="48"/>
  <c r="J42" i="48"/>
  <c r="J41" i="48"/>
  <c r="J40" i="48"/>
  <c r="J37" i="48"/>
  <c r="J36" i="48"/>
  <c r="J35" i="48"/>
  <c r="J34" i="48"/>
  <c r="J33" i="48"/>
  <c r="J32" i="48"/>
  <c r="J31" i="48"/>
  <c r="J30" i="48"/>
  <c r="J18" i="48"/>
  <c r="J17" i="48"/>
  <c r="J16" i="48"/>
  <c r="J15" i="48"/>
  <c r="J14" i="48"/>
  <c r="J13" i="48"/>
  <c r="E47" i="48"/>
  <c r="E38" i="48"/>
  <c r="E28" i="48"/>
  <c r="E19" i="48"/>
  <c r="N58" i="48" l="1"/>
  <c r="N53" i="48"/>
  <c r="N61" i="48"/>
  <c r="N62" i="48"/>
  <c r="N57" i="48"/>
  <c r="N63" i="48"/>
  <c r="G59" i="48"/>
  <c r="G79" i="48" s="1"/>
  <c r="E49" i="48"/>
  <c r="G64" i="48"/>
  <c r="G80" i="48" s="1"/>
  <c r="D54" i="48" l="1"/>
  <c r="E47" i="42"/>
  <c r="N64" i="48"/>
  <c r="N80" i="48" s="1"/>
  <c r="D37" i="48" l="1"/>
  <c r="O37" i="48" s="1"/>
  <c r="D36" i="48"/>
  <c r="O36" i="48" s="1"/>
  <c r="D35" i="48"/>
  <c r="O35" i="48" s="1"/>
  <c r="D34" i="48"/>
  <c r="O34" i="48" s="1"/>
  <c r="D33" i="48"/>
  <c r="O33" i="48" s="1"/>
  <c r="D32" i="48"/>
  <c r="O32" i="48" s="1"/>
  <c r="D31" i="48"/>
  <c r="O31" i="48" s="1"/>
  <c r="D30" i="48"/>
  <c r="O30" i="48" s="1"/>
  <c r="O38" i="48" l="1"/>
  <c r="G47" i="48"/>
  <c r="L46" i="48"/>
  <c r="L45" i="48"/>
  <c r="L44" i="48"/>
  <c r="L43" i="48"/>
  <c r="L42" i="48"/>
  <c r="L41" i="48"/>
  <c r="L40" i="48"/>
  <c r="G38" i="48"/>
  <c r="L37" i="48"/>
  <c r="N37" i="48" s="1"/>
  <c r="L36" i="48"/>
  <c r="N36" i="48" s="1"/>
  <c r="L35" i="48"/>
  <c r="N35" i="48" s="1"/>
  <c r="L34" i="48"/>
  <c r="N34" i="48" s="1"/>
  <c r="L33" i="48"/>
  <c r="N33" i="48" s="1"/>
  <c r="L32" i="48"/>
  <c r="N32" i="48" s="1"/>
  <c r="L31" i="48"/>
  <c r="N31" i="48" s="1"/>
  <c r="L30" i="48"/>
  <c r="N30" i="48" s="1"/>
  <c r="G28" i="48"/>
  <c r="L27" i="48"/>
  <c r="J27" i="48"/>
  <c r="L26" i="48"/>
  <c r="J26" i="48"/>
  <c r="L25" i="48"/>
  <c r="J25" i="48"/>
  <c r="L24" i="48"/>
  <c r="J24" i="48"/>
  <c r="L23" i="48"/>
  <c r="J23" i="48"/>
  <c r="L22" i="48"/>
  <c r="J22" i="48"/>
  <c r="L21" i="48"/>
  <c r="J21" i="48"/>
  <c r="G19" i="48"/>
  <c r="L18" i="48"/>
  <c r="L12" i="48"/>
  <c r="J12" i="48"/>
  <c r="L11" i="48"/>
  <c r="J11" i="48"/>
  <c r="L10" i="48"/>
  <c r="J10" i="48"/>
  <c r="L9" i="48"/>
  <c r="J9" i="48"/>
  <c r="O9" i="48" s="1"/>
  <c r="P76" i="41"/>
  <c r="P75" i="41"/>
  <c r="P74" i="41"/>
  <c r="P73" i="41"/>
  <c r="P72" i="41"/>
  <c r="P56" i="41"/>
  <c r="P70" i="41"/>
  <c r="P69" i="41"/>
  <c r="P68" i="41"/>
  <c r="P67" i="41"/>
  <c r="P55" i="41"/>
  <c r="P65" i="41"/>
  <c r="P64" i="41"/>
  <c r="P63" i="41"/>
  <c r="P62" i="41"/>
  <c r="P61" i="41"/>
  <c r="P53" i="41"/>
  <c r="P60" i="41"/>
  <c r="P50" i="41"/>
  <c r="P47" i="41"/>
  <c r="P46" i="41"/>
  <c r="P45" i="41"/>
  <c r="P44" i="41"/>
  <c r="P43" i="41"/>
  <c r="P42" i="41"/>
  <c r="P39" i="41"/>
  <c r="P38" i="41"/>
  <c r="P37" i="41"/>
  <c r="P36" i="41"/>
  <c r="P32" i="41"/>
  <c r="Q32" i="41" s="1"/>
  <c r="P31" i="41"/>
  <c r="Q31" i="41" s="1"/>
  <c r="P28" i="41"/>
  <c r="P27" i="41"/>
  <c r="P26" i="41"/>
  <c r="P25" i="41"/>
  <c r="P24" i="41"/>
  <c r="P23" i="41"/>
  <c r="P20" i="41"/>
  <c r="P19" i="41"/>
  <c r="P17" i="41"/>
  <c r="P16" i="41"/>
  <c r="P15" i="41"/>
  <c r="L76" i="41"/>
  <c r="L75" i="41"/>
  <c r="L74" i="41"/>
  <c r="L73" i="41"/>
  <c r="L72" i="41"/>
  <c r="L56" i="41"/>
  <c r="L70" i="41"/>
  <c r="L69" i="41"/>
  <c r="L68" i="41"/>
  <c r="L67" i="41"/>
  <c r="L55" i="41"/>
  <c r="L65" i="41"/>
  <c r="L64" i="41"/>
  <c r="L63" i="41"/>
  <c r="L62" i="41"/>
  <c r="L61" i="41"/>
  <c r="L53" i="41"/>
  <c r="L60" i="41"/>
  <c r="L50" i="41"/>
  <c r="L47" i="41"/>
  <c r="L46" i="41"/>
  <c r="L45" i="41"/>
  <c r="L44" i="41"/>
  <c r="L43" i="41"/>
  <c r="L42" i="41"/>
  <c r="L39" i="41"/>
  <c r="L38" i="41"/>
  <c r="L37" i="41"/>
  <c r="L36" i="41"/>
  <c r="L32" i="41"/>
  <c r="N32" i="41" s="1"/>
  <c r="L31" i="41"/>
  <c r="N31" i="41" s="1"/>
  <c r="L28" i="41"/>
  <c r="L27" i="41"/>
  <c r="L26" i="41"/>
  <c r="L25" i="41"/>
  <c r="L24" i="41"/>
  <c r="L23" i="41"/>
  <c r="L20" i="41"/>
  <c r="L19" i="41"/>
  <c r="L17" i="41"/>
  <c r="L16" i="41"/>
  <c r="L15" i="41"/>
  <c r="N9" i="48" l="1"/>
  <c r="G49" i="48"/>
  <c r="G78" i="48" s="1"/>
  <c r="G76" i="41"/>
  <c r="G75" i="41"/>
  <c r="G74" i="41"/>
  <c r="G73" i="41"/>
  <c r="G72" i="41"/>
  <c r="G70" i="41"/>
  <c r="G69" i="41"/>
  <c r="G68" i="41"/>
  <c r="G67" i="41"/>
  <c r="G65" i="41"/>
  <c r="G64" i="41"/>
  <c r="G63" i="41"/>
  <c r="G62" i="41"/>
  <c r="G61" i="41"/>
  <c r="G60" i="41"/>
  <c r="G50" i="41"/>
  <c r="F72" i="48" s="1"/>
  <c r="G72" i="48" s="1"/>
  <c r="N72" i="48" s="1"/>
  <c r="G36" i="41"/>
  <c r="G40" i="41" s="1"/>
  <c r="G32" i="41"/>
  <c r="G31" i="41"/>
  <c r="G20" i="41"/>
  <c r="G19" i="41"/>
  <c r="G17" i="41"/>
  <c r="G16" i="41"/>
  <c r="G15" i="41"/>
  <c r="J76" i="41"/>
  <c r="J75" i="41"/>
  <c r="J74" i="41"/>
  <c r="J73" i="41"/>
  <c r="J72" i="41"/>
  <c r="J56" i="41"/>
  <c r="J70" i="41"/>
  <c r="J69" i="41"/>
  <c r="J68" i="41"/>
  <c r="J67" i="41"/>
  <c r="J55" i="41"/>
  <c r="J65" i="41"/>
  <c r="J64" i="41"/>
  <c r="J63" i="41"/>
  <c r="J62" i="41"/>
  <c r="J61" i="41"/>
  <c r="J53" i="41"/>
  <c r="J60" i="41"/>
  <c r="J50" i="41"/>
  <c r="J28" i="41"/>
  <c r="J27" i="41"/>
  <c r="J26" i="41"/>
  <c r="J25" i="41"/>
  <c r="J24" i="41"/>
  <c r="J23" i="41"/>
  <c r="D29" i="42" l="1"/>
  <c r="E29" i="42" s="1"/>
  <c r="G58" i="41"/>
  <c r="D32" i="42" s="1"/>
  <c r="E32" i="42" s="1"/>
  <c r="G33" i="41"/>
  <c r="Q38" i="41"/>
  <c r="N38" i="41"/>
  <c r="N38" i="48"/>
  <c r="D31" i="42"/>
  <c r="E31" i="42" s="1"/>
  <c r="D50" i="41"/>
  <c r="Q50" i="41" s="1"/>
  <c r="D76" i="41"/>
  <c r="Q76" i="41" s="1"/>
  <c r="D75" i="41"/>
  <c r="Q75" i="41" s="1"/>
  <c r="D74" i="41"/>
  <c r="Q74" i="41" s="1"/>
  <c r="D73" i="41"/>
  <c r="Q73" i="41" s="1"/>
  <c r="D72" i="41"/>
  <c r="Q72" i="41" s="1"/>
  <c r="D56" i="41"/>
  <c r="Q56" i="41" s="1"/>
  <c r="D70" i="41"/>
  <c r="Q70" i="41" s="1"/>
  <c r="D69" i="41"/>
  <c r="Q69" i="41" s="1"/>
  <c r="D68" i="41"/>
  <c r="Q68" i="41" s="1"/>
  <c r="D67" i="41"/>
  <c r="Q67" i="41" s="1"/>
  <c r="D55" i="41"/>
  <c r="Q55" i="41" s="1"/>
  <c r="D65" i="41"/>
  <c r="Q65" i="41" s="1"/>
  <c r="D64" i="41"/>
  <c r="Q64" i="41" s="1"/>
  <c r="D63" i="41"/>
  <c r="Q63" i="41" s="1"/>
  <c r="D62" i="41"/>
  <c r="Q62" i="41" s="1"/>
  <c r="D61" i="41"/>
  <c r="Q61" i="41" s="1"/>
  <c r="D53" i="41"/>
  <c r="Q53" i="41" s="1"/>
  <c r="D60" i="41"/>
  <c r="Q60" i="41" s="1"/>
  <c r="D47" i="41"/>
  <c r="Q47" i="41" s="1"/>
  <c r="D46" i="41"/>
  <c r="Q46" i="41" s="1"/>
  <c r="D45" i="41"/>
  <c r="Q45" i="41" s="1"/>
  <c r="D44" i="41"/>
  <c r="Q44" i="41" s="1"/>
  <c r="D43" i="41"/>
  <c r="Q43" i="41" s="1"/>
  <c r="D42" i="41"/>
  <c r="Q42" i="41" s="1"/>
  <c r="Q39" i="41"/>
  <c r="Q37" i="41"/>
  <c r="Q36" i="41"/>
  <c r="D28" i="41"/>
  <c r="F28" i="41" s="1"/>
  <c r="D27" i="41"/>
  <c r="F27" i="41" s="1"/>
  <c r="D26" i="41"/>
  <c r="E26" i="41" s="1"/>
  <c r="D25" i="41"/>
  <c r="E25" i="41" s="1"/>
  <c r="D24" i="41"/>
  <c r="E24" i="41" s="1"/>
  <c r="D23" i="41"/>
  <c r="E23" i="41" s="1"/>
  <c r="Q20" i="41"/>
  <c r="Q19" i="41"/>
  <c r="Q17" i="41"/>
  <c r="Q16" i="41"/>
  <c r="Q15" i="41"/>
  <c r="D28" i="42" l="1"/>
  <c r="Q58" i="41"/>
  <c r="Q33" i="41"/>
  <c r="Q40" i="41"/>
  <c r="Q23" i="41"/>
  <c r="G23" i="41"/>
  <c r="G27" i="41"/>
  <c r="Q26" i="41"/>
  <c r="G26" i="41"/>
  <c r="G28" i="41"/>
  <c r="Q25" i="41"/>
  <c r="G25" i="41"/>
  <c r="Q24" i="41"/>
  <c r="G24" i="41"/>
  <c r="N39" i="41"/>
  <c r="N44" i="41"/>
  <c r="N47" i="41"/>
  <c r="N70" i="41"/>
  <c r="N75" i="41"/>
  <c r="R75" i="41" s="1"/>
  <c r="N16" i="41"/>
  <c r="N27" i="41"/>
  <c r="N61" i="41"/>
  <c r="N65" i="41"/>
  <c r="N69" i="41"/>
  <c r="N73" i="41"/>
  <c r="N67" i="41"/>
  <c r="R67" i="41" s="1"/>
  <c r="N56" i="41"/>
  <c r="R56" i="41" s="1"/>
  <c r="N63" i="41"/>
  <c r="R63" i="41" s="1"/>
  <c r="N46" i="41"/>
  <c r="N74" i="41"/>
  <c r="R74" i="41" s="1"/>
  <c r="N55" i="41"/>
  <c r="R55" i="41" s="1"/>
  <c r="N62" i="41"/>
  <c r="R62" i="41" s="1"/>
  <c r="N50" i="41"/>
  <c r="N45" i="41"/>
  <c r="N28" i="41"/>
  <c r="N20" i="41"/>
  <c r="R20" i="41" s="1"/>
  <c r="N15" i="41"/>
  <c r="N37" i="41"/>
  <c r="R37" i="41" s="1"/>
  <c r="N19" i="41"/>
  <c r="R19" i="41" s="1"/>
  <c r="N60" i="41"/>
  <c r="N76" i="41"/>
  <c r="R76" i="41" s="1"/>
  <c r="N72" i="41"/>
  <c r="R72" i="41" s="1"/>
  <c r="N68" i="41"/>
  <c r="R68" i="41" s="1"/>
  <c r="N64" i="41"/>
  <c r="R64" i="41" s="1"/>
  <c r="N53" i="41"/>
  <c r="N43" i="41"/>
  <c r="N36" i="41"/>
  <c r="N17" i="41"/>
  <c r="R17" i="41" s="1"/>
  <c r="N42" i="41"/>
  <c r="R38" i="41"/>
  <c r="F77" i="41"/>
  <c r="E77" i="41"/>
  <c r="F48" i="41"/>
  <c r="E48" i="41"/>
  <c r="F29" i="41"/>
  <c r="F21" i="41"/>
  <c r="E21" i="41"/>
  <c r="G77" i="41"/>
  <c r="G48" i="41"/>
  <c r="G21" i="41"/>
  <c r="F79" i="41" l="1"/>
  <c r="N26" i="41"/>
  <c r="R26" i="41" s="1"/>
  <c r="R44" i="41"/>
  <c r="R46" i="41"/>
  <c r="R43" i="41"/>
  <c r="R42" i="41"/>
  <c r="R45" i="41"/>
  <c r="R53" i="41"/>
  <c r="R58" i="41" s="1"/>
  <c r="H32" i="42" s="1"/>
  <c r="I32" i="42" s="1"/>
  <c r="N58" i="41"/>
  <c r="N24" i="41"/>
  <c r="R24" i="41" s="1"/>
  <c r="N23" i="41"/>
  <c r="R23" i="41" s="1"/>
  <c r="N25" i="41"/>
  <c r="R25" i="41" s="1"/>
  <c r="R31" i="41"/>
  <c r="N33" i="41"/>
  <c r="R36" i="41"/>
  <c r="N40" i="41"/>
  <c r="Q28" i="41"/>
  <c r="R28" i="41" s="1"/>
  <c r="G29" i="41"/>
  <c r="E29" i="41"/>
  <c r="E79" i="41" s="1"/>
  <c r="Q27" i="41"/>
  <c r="R27" i="41" s="1"/>
  <c r="R39" i="41"/>
  <c r="R47" i="41"/>
  <c r="R16" i="41"/>
  <c r="R73" i="41"/>
  <c r="R70" i="41"/>
  <c r="R65" i="41"/>
  <c r="R61" i="41"/>
  <c r="R32" i="41"/>
  <c r="F68" i="48"/>
  <c r="G68" i="48" s="1"/>
  <c r="G70" i="48"/>
  <c r="D33" i="42"/>
  <c r="E33" i="42" s="1"/>
  <c r="F73" i="48"/>
  <c r="G73" i="48" s="1"/>
  <c r="N73" i="48" s="1"/>
  <c r="D30" i="42"/>
  <c r="E30" i="42" s="1"/>
  <c r="F71" i="48"/>
  <c r="G71" i="48" s="1"/>
  <c r="N71" i="48" s="1"/>
  <c r="Q77" i="41"/>
  <c r="R69" i="41"/>
  <c r="R60" i="41"/>
  <c r="N77" i="41"/>
  <c r="Q48" i="41"/>
  <c r="N48" i="41"/>
  <c r="Q21" i="41"/>
  <c r="N21" i="41"/>
  <c r="R15" i="41"/>
  <c r="D26" i="42"/>
  <c r="E26" i="42" s="1"/>
  <c r="D117" i="41" l="1"/>
  <c r="G79" i="41"/>
  <c r="G81" i="41" s="1"/>
  <c r="R48" i="41"/>
  <c r="H30" i="42" s="1"/>
  <c r="I30" i="42" s="1"/>
  <c r="N29" i="41"/>
  <c r="N79" i="41" s="1"/>
  <c r="F69" i="48"/>
  <c r="G69" i="48" s="1"/>
  <c r="G74" i="48" s="1"/>
  <c r="G81" i="48" s="1"/>
  <c r="D27" i="42"/>
  <c r="E27" i="42" s="1"/>
  <c r="Q29" i="41"/>
  <c r="Q79" i="41" s="1"/>
  <c r="R33" i="41"/>
  <c r="R40" i="41"/>
  <c r="G119" i="41"/>
  <c r="D39" i="42" s="1"/>
  <c r="R21" i="41"/>
  <c r="R29" i="41"/>
  <c r="H27" i="42" s="1"/>
  <c r="I27" i="42" s="1"/>
  <c r="R77" i="41"/>
  <c r="G85" i="48" l="1"/>
  <c r="E45" i="42" s="1"/>
  <c r="G84" i="48"/>
  <c r="E44" i="42" s="1"/>
  <c r="H29" i="42"/>
  <c r="I29" i="42" s="1"/>
  <c r="H28" i="42"/>
  <c r="D34" i="42"/>
  <c r="C35" i="42" s="1"/>
  <c r="E39" i="42" s="1"/>
  <c r="G83" i="41"/>
  <c r="E118" i="41" s="1"/>
  <c r="R79" i="41"/>
  <c r="R81" i="41"/>
  <c r="H34" i="42" s="1"/>
  <c r="H26" i="42"/>
  <c r="I26" i="42" s="1"/>
  <c r="H33" i="42"/>
  <c r="I33" i="42" s="1"/>
  <c r="G82" i="48"/>
  <c r="D88" i="41" l="1"/>
  <c r="G88" i="41" s="1"/>
  <c r="E34" i="42"/>
  <c r="D87" i="41"/>
  <c r="G87" i="41" s="1"/>
  <c r="D91" i="41"/>
  <c r="G91" i="41" s="1"/>
  <c r="D89" i="41"/>
  <c r="G89" i="41" s="1"/>
  <c r="D90" i="41"/>
  <c r="G90" i="41" s="1"/>
  <c r="R82" i="41"/>
  <c r="Q117" i="41" s="1"/>
  <c r="R83" i="41"/>
  <c r="I34" i="42"/>
  <c r="G92" i="41" l="1"/>
  <c r="D37" i="42" s="1"/>
  <c r="E37" i="42" s="1"/>
  <c r="G113" i="41"/>
  <c r="D38" i="42" s="1"/>
  <c r="R119" i="41"/>
  <c r="H39" i="42" s="1"/>
  <c r="Q118" i="41"/>
  <c r="J90" i="41"/>
  <c r="R90" i="41" s="1"/>
  <c r="J88" i="41"/>
  <c r="R88" i="41" s="1"/>
  <c r="J91" i="41"/>
  <c r="R91" i="41" s="1"/>
  <c r="J89" i="41"/>
  <c r="R89" i="41" s="1"/>
  <c r="J87" i="41"/>
  <c r="R87" i="41" s="1"/>
  <c r="C40" i="42" l="1"/>
  <c r="R92" i="41"/>
  <c r="H37" i="42" s="1"/>
  <c r="R113" i="41"/>
  <c r="H38" i="42" s="1"/>
  <c r="G35" i="42"/>
  <c r="I39" i="42" s="1"/>
  <c r="I37" i="42" l="1"/>
  <c r="G40" i="42"/>
  <c r="D56" i="48"/>
  <c r="N56" i="48" s="1"/>
  <c r="D55" i="48"/>
  <c r="N55" i="48" s="1"/>
  <c r="D18" i="48"/>
  <c r="N18" i="48" s="1"/>
  <c r="D23" i="48"/>
  <c r="N23" i="48" s="1"/>
  <c r="D27" i="48"/>
  <c r="N27" i="48" s="1"/>
  <c r="D45" i="48"/>
  <c r="N45" i="48" s="1"/>
  <c r="D10" i="48"/>
  <c r="N10" i="48" s="1"/>
  <c r="D25" i="48"/>
  <c r="N25" i="48" s="1"/>
  <c r="D26" i="48"/>
  <c r="N26" i="48" s="1"/>
  <c r="D42" i="48"/>
  <c r="N42" i="48" s="1"/>
  <c r="N70" i="48"/>
  <c r="D16" i="48"/>
  <c r="N16" i="48" s="1"/>
  <c r="D14" i="48"/>
  <c r="N14" i="48" s="1"/>
  <c r="D17" i="48"/>
  <c r="N17" i="48" s="1"/>
  <c r="D15" i="48"/>
  <c r="N15" i="48" s="1"/>
  <c r="D13" i="48"/>
  <c r="N13" i="48" s="1"/>
  <c r="D21" i="48"/>
  <c r="N21" i="48" s="1"/>
  <c r="D40" i="48"/>
  <c r="N40" i="48" s="1"/>
  <c r="D46" i="48"/>
  <c r="N46" i="48" s="1"/>
  <c r="D41" i="48"/>
  <c r="N41" i="48" s="1"/>
  <c r="D44" i="48"/>
  <c r="N44" i="48" s="1"/>
  <c r="D22" i="48"/>
  <c r="N22" i="48" s="1"/>
  <c r="D11" i="48"/>
  <c r="N11" i="48" s="1"/>
  <c r="D43" i="48"/>
  <c r="N43" i="48" s="1"/>
  <c r="D12" i="48"/>
  <c r="N12" i="48" s="1"/>
  <c r="D24" i="48"/>
  <c r="N24" i="48" s="1"/>
  <c r="D69" i="48"/>
  <c r="N69" i="48" s="1"/>
  <c r="D68" i="48"/>
  <c r="N68" i="48" s="1"/>
  <c r="O24" i="48" l="1"/>
  <c r="O43" i="48"/>
  <c r="O11" i="48"/>
  <c r="O44" i="48"/>
  <c r="O46" i="48"/>
  <c r="O21" i="48"/>
  <c r="O15" i="48"/>
  <c r="O14" i="48"/>
  <c r="O26" i="48"/>
  <c r="O25" i="48"/>
  <c r="O45" i="48"/>
  <c r="O23" i="48"/>
  <c r="O12" i="48"/>
  <c r="O22" i="48"/>
  <c r="O41" i="48"/>
  <c r="O40" i="48"/>
  <c r="O13" i="48"/>
  <c r="O17" i="48"/>
  <c r="O16" i="48"/>
  <c r="O42" i="48"/>
  <c r="O10" i="48"/>
  <c r="O27" i="48"/>
  <c r="O18" i="48"/>
  <c r="N19" i="48"/>
  <c r="N74" i="48"/>
  <c r="N81" i="48" s="1"/>
  <c r="N85" i="48" l="1"/>
  <c r="I45" i="42" s="1"/>
  <c r="N28" i="48"/>
  <c r="N47" i="48"/>
  <c r="O19" i="48"/>
  <c r="O47" i="48"/>
  <c r="O28" i="48"/>
  <c r="N49" i="48" l="1"/>
  <c r="N78" i="48" s="1"/>
  <c r="O49" i="48"/>
  <c r="J54" i="48" s="1"/>
  <c r="N54" i="48" s="1"/>
  <c r="N59" i="48" s="1"/>
  <c r="N79" i="48" s="1"/>
  <c r="N84" i="48" l="1"/>
  <c r="I44" i="42" s="1"/>
  <c r="I47" i="42"/>
  <c r="N82" i="48"/>
</calcChain>
</file>

<file path=xl/comments1.xml><?xml version="1.0" encoding="utf-8"?>
<comments xmlns="http://schemas.openxmlformats.org/spreadsheetml/2006/main">
  <authors>
    <author>cturchi</author>
    <author>CST</author>
    <author>Craig Turchi</author>
  </authors>
  <commentList>
    <comment ref="E9" authorId="0">
      <text>
        <r>
          <rPr>
            <b/>
            <sz val="10"/>
            <color indexed="81"/>
            <rFont val="Tahoma"/>
            <family val="2"/>
          </rPr>
          <t>cturchi:</t>
        </r>
        <r>
          <rPr>
            <sz val="10"/>
            <color indexed="81"/>
            <rFont val="Tahoma"/>
            <family val="2"/>
          </rPr>
          <t xml:space="preserve">
SAM exchange cells must have no $ or % formatting.</t>
        </r>
      </text>
    </comment>
    <comment ref="E11" authorId="0">
      <text>
        <r>
          <rPr>
            <b/>
            <sz val="10"/>
            <color indexed="81"/>
            <rFont val="Tahoma"/>
            <family val="2"/>
          </rPr>
          <t>cturchi:</t>
        </r>
        <r>
          <rPr>
            <sz val="10"/>
            <color indexed="81"/>
            <rFont val="Tahoma"/>
            <family val="2"/>
          </rPr>
          <t xml:space="preserve">
Equation fits the reference case to match the formula used in DELSOL3.
The reference cost is updated to the current project year using the CEPCI.</t>
        </r>
      </text>
    </comment>
    <comment ref="E12" authorId="1">
      <text>
        <r>
          <rPr>
            <b/>
            <sz val="9"/>
            <color indexed="81"/>
            <rFont val="Tahoma"/>
            <charset val="1"/>
          </rPr>
          <t>CST:</t>
        </r>
        <r>
          <rPr>
            <sz val="9"/>
            <color indexed="81"/>
            <rFont val="Tahoma"/>
            <charset val="1"/>
          </rPr>
          <t xml:space="preserve">
The reference cost is updated to the current project year using the CEPCI</t>
        </r>
      </text>
    </comment>
    <comment ref="I25" authorId="2">
      <text>
        <r>
          <rPr>
            <b/>
            <sz val="10"/>
            <color indexed="81"/>
            <rFont val="Tahoma"/>
            <family val="2"/>
          </rPr>
          <t>Craig Turchi:</t>
        </r>
        <r>
          <rPr>
            <sz val="10"/>
            <color indexed="81"/>
            <rFont val="Tahoma"/>
            <family val="2"/>
          </rPr>
          <t xml:space="preserve">
SAM exchange cells must have no $ or % formatting.</t>
        </r>
      </text>
    </comment>
    <comment ref="E33" authorId="2">
      <text>
        <r>
          <rPr>
            <b/>
            <sz val="10"/>
            <color indexed="81"/>
            <rFont val="Tahoma"/>
            <family val="2"/>
          </rPr>
          <t>Craig Turchi:</t>
        </r>
        <r>
          <rPr>
            <sz val="10"/>
            <color indexed="81"/>
            <rFont val="Tahoma"/>
            <family val="2"/>
          </rPr>
          <t xml:space="preserve">
This value is based on gross turbine output.</t>
        </r>
      </text>
    </comment>
  </commentList>
</comments>
</file>

<file path=xl/comments2.xml><?xml version="1.0" encoding="utf-8"?>
<comments xmlns="http://schemas.openxmlformats.org/spreadsheetml/2006/main">
  <authors>
    <author>Craig Turchi</author>
    <author>cturchi</author>
    <author>CST</author>
  </authors>
  <commentList>
    <comment ref="F13" authorId="0">
      <text>
        <r>
          <rPr>
            <b/>
            <sz val="10"/>
            <color indexed="81"/>
            <rFont val="Tahoma"/>
            <family val="2"/>
          </rPr>
          <t>Craig Turchi:</t>
        </r>
        <r>
          <rPr>
            <sz val="10"/>
            <color indexed="81"/>
            <rFont val="Tahoma"/>
            <family val="2"/>
          </rPr>
          <t xml:space="preserve">
Reference Plant is based on California union wage rates.</t>
        </r>
      </text>
    </comment>
    <comment ref="I13" authorId="0">
      <text>
        <r>
          <rPr>
            <b/>
            <sz val="10"/>
            <color indexed="81"/>
            <rFont val="Tahoma"/>
            <family val="2"/>
          </rPr>
          <t>Craig Turchi:</t>
        </r>
        <r>
          <rPr>
            <sz val="10"/>
            <color indexed="81"/>
            <rFont val="Tahoma"/>
            <family val="2"/>
          </rPr>
          <t xml:space="preserve">
Project Plant costs are calculated by:
(Ref Plant Cost) * (Proj Plant Size / Ref Plant Size)^(scaling exponent)</t>
        </r>
      </text>
    </comment>
    <comment ref="K13" authorId="0">
      <text>
        <r>
          <rPr>
            <b/>
            <sz val="10"/>
            <color indexed="81"/>
            <rFont val="Tahoma"/>
            <family val="2"/>
          </rPr>
          <t>Craig Turchi:</t>
        </r>
        <r>
          <rPr>
            <sz val="10"/>
            <color indexed="81"/>
            <rFont val="Tahoma"/>
            <family val="2"/>
          </rPr>
          <t xml:space="preserve">
Enter number corresponding to the desired Cost index Factor Num. on sheet CI</t>
        </r>
      </text>
    </comment>
    <comment ref="M13" authorId="0">
      <text>
        <r>
          <rPr>
            <b/>
            <sz val="10"/>
            <color indexed="81"/>
            <rFont val="Tahoma"/>
            <family val="2"/>
          </rPr>
          <t>Craig Turchi:</t>
        </r>
        <r>
          <rPr>
            <sz val="10"/>
            <color indexed="81"/>
            <rFont val="Tahoma"/>
            <family val="2"/>
          </rPr>
          <t xml:space="preserve">
Cost factors allow the user to adjust material costs without changing the spreadsheet formula, for example to simulate a new technology</t>
        </r>
      </text>
    </comment>
    <comment ref="O13" authorId="0">
      <text>
        <r>
          <rPr>
            <b/>
            <sz val="10"/>
            <color indexed="81"/>
            <rFont val="Tahoma"/>
            <family val="2"/>
          </rPr>
          <t>Craig Turchi:</t>
        </r>
        <r>
          <rPr>
            <sz val="10"/>
            <color indexed="81"/>
            <rFont val="Tahoma"/>
            <family val="2"/>
          </rPr>
          <t xml:space="preserve">
Enter number corresponding to the desired  Cost index Factor Num. on sheet CI</t>
        </r>
      </text>
    </comment>
    <comment ref="B15" authorId="1">
      <text>
        <r>
          <rPr>
            <b/>
            <sz val="10"/>
            <color indexed="81"/>
            <rFont val="Tahoma"/>
            <family val="2"/>
          </rPr>
          <t>cturchi:</t>
        </r>
        <r>
          <rPr>
            <sz val="10"/>
            <color indexed="81"/>
            <rFont val="Tahoma"/>
            <family val="2"/>
          </rPr>
          <t xml:space="preserve">
Assume amount of clearing/grading only 10% of that for a trough plant.</t>
        </r>
      </text>
    </comment>
    <comment ref="B16" authorId="1">
      <text>
        <r>
          <rPr>
            <b/>
            <sz val="10"/>
            <color indexed="81"/>
            <rFont val="Tahoma"/>
            <family val="2"/>
          </rPr>
          <t>cturchi:</t>
        </r>
        <r>
          <rPr>
            <sz val="10"/>
            <color indexed="81"/>
            <rFont val="Tahoma"/>
            <family val="2"/>
          </rPr>
          <t xml:space="preserve">
Assume amount of clearing only 10% of that for a trough plant.</t>
        </r>
      </text>
    </comment>
    <comment ref="B17" authorId="1">
      <text>
        <r>
          <rPr>
            <b/>
            <sz val="10"/>
            <color indexed="81"/>
            <rFont val="Tahoma"/>
            <family val="2"/>
          </rPr>
          <t>cturchi:</t>
        </r>
        <r>
          <rPr>
            <sz val="10"/>
            <color indexed="81"/>
            <rFont val="Tahoma"/>
            <family val="2"/>
          </rPr>
          <t xml:space="preserve">
Assume amount of grading only 10% of that for a trough plant.</t>
        </r>
      </text>
    </comment>
    <comment ref="E23" authorId="2">
      <text>
        <r>
          <rPr>
            <b/>
            <sz val="9"/>
            <color indexed="81"/>
            <rFont val="Tahoma"/>
            <family val="2"/>
          </rPr>
          <t>CST:</t>
        </r>
        <r>
          <rPr>
            <sz val="9"/>
            <color indexed="81"/>
            <rFont val="Tahoma"/>
            <family val="2"/>
          </rPr>
          <t xml:space="preserve">
Heliostat Field costs use $/m2 from SAND2011-2419 times 1.2 multiplier for "manu facilities and profit" from the reference.</t>
        </r>
      </text>
    </comment>
    <comment ref="I31" authorId="1">
      <text>
        <r>
          <rPr>
            <b/>
            <sz val="10"/>
            <color indexed="81"/>
            <rFont val="Tahoma"/>
            <family val="2"/>
          </rPr>
          <t>cturchi:</t>
        </r>
        <r>
          <rPr>
            <sz val="10"/>
            <color indexed="81"/>
            <rFont val="Tahoma"/>
            <family val="2"/>
          </rPr>
          <t xml:space="preserve">
Scales as an exponential: 
Cost = RefCost*exp(Height*0.0113)
as per DELSOL3</t>
        </r>
      </text>
    </comment>
    <comment ref="I32" authorId="1">
      <text>
        <r>
          <rPr>
            <b/>
            <sz val="10"/>
            <color indexed="81"/>
            <rFont val="Tahoma"/>
            <family val="2"/>
          </rPr>
          <t>cturchi:</t>
        </r>
        <r>
          <rPr>
            <sz val="10"/>
            <color indexed="81"/>
            <rFont val="Tahoma"/>
            <family val="2"/>
          </rPr>
          <t xml:space="preserve">
Scales as an exponential: 
Cost = RefCost*exp(Height*0.0113)
as per DELSOL3</t>
        </r>
      </text>
    </comment>
    <comment ref="B86" authorId="1">
      <text>
        <r>
          <rPr>
            <b/>
            <sz val="10"/>
            <color indexed="81"/>
            <rFont val="Tahoma"/>
            <charset val="1"/>
          </rPr>
          <t>cturchi:</t>
        </r>
        <r>
          <rPr>
            <sz val="10"/>
            <color indexed="81"/>
            <rFont val="Tahoma"/>
            <charset val="1"/>
          </rPr>
          <t xml:space="preserve">
These values set to give total Indirect Cost of 11% of Direct Costs. Individual percentages not based on any reference.</t>
        </r>
      </text>
    </comment>
  </commentList>
</comments>
</file>

<file path=xl/comments3.xml><?xml version="1.0" encoding="utf-8"?>
<comments xmlns="http://schemas.openxmlformats.org/spreadsheetml/2006/main">
  <authors>
    <author>Craig Turchi</author>
  </authors>
  <commentList>
    <comment ref="F6" authorId="0">
      <text>
        <r>
          <rPr>
            <b/>
            <sz val="10"/>
            <color indexed="81"/>
            <rFont val="Tahoma"/>
            <family val="2"/>
          </rPr>
          <t>Craig Turchi:</t>
        </r>
        <r>
          <rPr>
            <sz val="10"/>
            <color indexed="81"/>
            <rFont val="Tahoma"/>
            <family val="2"/>
          </rPr>
          <t xml:space="preserve">
Reference salaries based on national means from US Bureau of Labor under NAICS 221100, Electric Power Generation, Transmission and Distribution, May 2011. National means adjusted up to California Reference plant location by ratio.</t>
        </r>
      </text>
    </comment>
    <comment ref="I6" authorId="0">
      <text>
        <r>
          <rPr>
            <b/>
            <sz val="10"/>
            <color indexed="81"/>
            <rFont val="Tahoma"/>
            <family val="2"/>
          </rPr>
          <t>Craig Turchi:</t>
        </r>
        <r>
          <rPr>
            <sz val="10"/>
            <color indexed="81"/>
            <rFont val="Tahoma"/>
            <family val="2"/>
          </rPr>
          <t xml:space="preserve">
Project Plant costs are calculated by:
(Ref Plant Cost) * (Proj Plant Size / Ref Plant Size)^(scaling exponent)</t>
        </r>
      </text>
    </comment>
    <comment ref="M6" authorId="0">
      <text>
        <r>
          <rPr>
            <b/>
            <sz val="10"/>
            <color indexed="81"/>
            <rFont val="Tahoma"/>
            <family val="2"/>
          </rPr>
          <t>Craig Turchi:</t>
        </r>
        <r>
          <rPr>
            <sz val="10"/>
            <color indexed="81"/>
            <rFont val="Tahoma"/>
            <family val="2"/>
          </rPr>
          <t xml:space="preserve">
Cost factors allow the user to adjust project costs without changing the spreadsheet formula.</t>
        </r>
      </text>
    </comment>
    <comment ref="M51" authorId="0">
      <text>
        <r>
          <rPr>
            <b/>
            <sz val="10"/>
            <color indexed="81"/>
            <rFont val="Tahoma"/>
            <family val="2"/>
          </rPr>
          <t>Craig Turchi:</t>
        </r>
        <r>
          <rPr>
            <sz val="10"/>
            <color indexed="81"/>
            <rFont val="Tahoma"/>
            <family val="2"/>
          </rPr>
          <t xml:space="preserve">
Cost factors allow the user to adjust project costs without changing the spreadsheet formula.</t>
        </r>
      </text>
    </comment>
    <comment ref="M66" authorId="0">
      <text>
        <r>
          <rPr>
            <b/>
            <sz val="10"/>
            <color indexed="81"/>
            <rFont val="Tahoma"/>
            <family val="2"/>
          </rPr>
          <t>Craig Turchi:</t>
        </r>
        <r>
          <rPr>
            <sz val="10"/>
            <color indexed="81"/>
            <rFont val="Tahoma"/>
            <family val="2"/>
          </rPr>
          <t xml:space="preserve">
Cost factors allow the user to adjust project costs without changing the spreadsheet formula.</t>
        </r>
      </text>
    </comment>
  </commentList>
</comments>
</file>

<file path=xl/comments4.xml><?xml version="1.0" encoding="utf-8"?>
<comments xmlns="http://schemas.openxmlformats.org/spreadsheetml/2006/main">
  <authors>
    <author>Craig Turchi</author>
    <author>CST</author>
  </authors>
  <commentList>
    <comment ref="U6" authorId="0">
      <text>
        <r>
          <rPr>
            <b/>
            <sz val="10"/>
            <color indexed="81"/>
            <rFont val="Tahoma"/>
            <family val="2"/>
          </rPr>
          <t>Craig Turchi:</t>
        </r>
        <r>
          <rPr>
            <sz val="10"/>
            <color indexed="81"/>
            <rFont val="Tahoma"/>
            <family val="2"/>
          </rPr>
          <t xml:space="preserve">
NREL estimate from industry sources in $ per metric tonne.</t>
        </r>
      </text>
    </comment>
    <comment ref="A21" authorId="1">
      <text>
        <r>
          <rPr>
            <b/>
            <sz val="9"/>
            <color indexed="81"/>
            <rFont val="Tahoma"/>
            <charset val="1"/>
          </rPr>
          <t>CST:</t>
        </r>
        <r>
          <rPr>
            <sz val="9"/>
            <color indexed="81"/>
            <rFont val="Tahoma"/>
            <charset val="1"/>
          </rPr>
          <t xml:space="preserve">
Values for May/June 2012 used for annual</t>
        </r>
      </text>
    </comment>
  </commentList>
</comments>
</file>

<file path=xl/sharedStrings.xml><?xml version="1.0" encoding="utf-8"?>
<sst xmlns="http://schemas.openxmlformats.org/spreadsheetml/2006/main" count="582" uniqueCount="363">
  <si>
    <t>ITEM</t>
  </si>
  <si>
    <t>TOTAL</t>
  </si>
  <si>
    <t>OTHER COSTS:</t>
  </si>
  <si>
    <t>Builder's All Risk Insurance</t>
  </si>
  <si>
    <t>Warranty</t>
  </si>
  <si>
    <t>Other Costs Subtotal</t>
  </si>
  <si>
    <t>Legal Expenses</t>
  </si>
  <si>
    <t>Permits &amp; Fees</t>
  </si>
  <si>
    <t>Indir Startup Spares</t>
  </si>
  <si>
    <t>Escalation</t>
  </si>
  <si>
    <t>Payment &amp; Performance Bond</t>
  </si>
  <si>
    <t>Worker's Compensation &amp; Employers' Liability</t>
  </si>
  <si>
    <t>Commercial General Liability</t>
  </si>
  <si>
    <t>Contractor's Engineering</t>
  </si>
  <si>
    <t>Owner's Cost</t>
  </si>
  <si>
    <t>Site - Site Preparation</t>
  </si>
  <si>
    <t>Site - Clearing &amp; Grubbing</t>
  </si>
  <si>
    <t>Site - Grading, Drainage, Remediation, Retention, &amp; Detention</t>
  </si>
  <si>
    <t>Site - Roads, Parking, Fencing</t>
  </si>
  <si>
    <t>Site - Water Supply Infrastructure</t>
  </si>
  <si>
    <t>TES - Piping, Insulation, Valves, &amp; Fittings</t>
  </si>
  <si>
    <t>TES - Foundations &amp; Support Structures</t>
  </si>
  <si>
    <t>TES - Instrumentation &amp; Controls</t>
  </si>
  <si>
    <t>Power Plant - Steam Turbine Generator Island</t>
  </si>
  <si>
    <t>Power Plant - Blowdown System</t>
  </si>
  <si>
    <t>Power Plant - Cooling Systems</t>
  </si>
  <si>
    <t>Power Plant - Feedwater System</t>
  </si>
  <si>
    <t>Power Plant - Auxiliary Cooling Water System</t>
  </si>
  <si>
    <t>Power Plant - Steam Piping, Insulation, Valves, &amp; Fittings</t>
  </si>
  <si>
    <t>Power Plant - Fuel Gas Handling &amp; Metering System</t>
  </si>
  <si>
    <t>Power Plant - Water Treatment System</t>
  </si>
  <si>
    <t>Power Plant - Power Distribution Systems</t>
  </si>
  <si>
    <t>Power Plant - Back-up Power Systems</t>
  </si>
  <si>
    <t>Power Plant - Fire Protection System</t>
  </si>
  <si>
    <t>Power Plant - Foundations &amp; Support Structures</t>
  </si>
  <si>
    <t>Power Plant - Buildings</t>
  </si>
  <si>
    <t>Power Plant - BOP Mechanical Systems</t>
  </si>
  <si>
    <t>Power Plant - BOP Electrical Systems</t>
  </si>
  <si>
    <t>Fossil Backup</t>
  </si>
  <si>
    <t>Project, Land, Misc.</t>
  </si>
  <si>
    <t>%DC's Sales Tax Applies</t>
  </si>
  <si>
    <t>Contingency</t>
  </si>
  <si>
    <t>Site Improvements</t>
  </si>
  <si>
    <t>Thermal Energy Storage</t>
  </si>
  <si>
    <t>Power Plant</t>
  </si>
  <si>
    <t>MWe</t>
  </si>
  <si>
    <t>m2</t>
  </si>
  <si>
    <t>/m2</t>
  </si>
  <si>
    <t>/kWe</t>
  </si>
  <si>
    <t>Thermal storage capacity</t>
  </si>
  <si>
    <t>MWh-t</t>
  </si>
  <si>
    <t>/kWh-t</t>
  </si>
  <si>
    <t>/MWh</t>
  </si>
  <si>
    <t>Contingency (% of Direct Costs)</t>
  </si>
  <si>
    <t>Chemical Engineering Plant Cost Index (CEPCI)</t>
  </si>
  <si>
    <t>Producer Price Index (PPI)</t>
  </si>
  <si>
    <t>http://www.che.com/</t>
  </si>
  <si>
    <t>http://www.bls.gov/ppi/</t>
  </si>
  <si>
    <t>Period</t>
  </si>
  <si>
    <t>CE INDEX</t>
  </si>
  <si>
    <t>Equipment</t>
  </si>
  <si>
    <t xml:space="preserve">  Heat Exchangers and Tanks</t>
  </si>
  <si>
    <t xml:space="preserve">  Process Machinery</t>
  </si>
  <si>
    <t xml:space="preserve">  Pipe, valves and fittings</t>
  </si>
  <si>
    <t xml:space="preserve">  Process Instruments</t>
  </si>
  <si>
    <t xml:space="preserve">  Pumps and Compressors</t>
  </si>
  <si>
    <t xml:space="preserve">  Electrical equipment</t>
  </si>
  <si>
    <t xml:space="preserve">  Structural supports</t>
  </si>
  <si>
    <t>Construction Labor</t>
  </si>
  <si>
    <t>Buildings</t>
  </si>
  <si>
    <t>Engineering Supervision</t>
  </si>
  <si>
    <t>PPI WPU1311 Flat Glass</t>
  </si>
  <si>
    <t>Reference Plant Data</t>
  </si>
  <si>
    <t>Material Cost</t>
  </si>
  <si>
    <t>Labor Cost</t>
  </si>
  <si>
    <t>Gross Turbine Capacity</t>
  </si>
  <si>
    <t>Variable Name</t>
  </si>
  <si>
    <t>Size Scaling Exponent</t>
  </si>
  <si>
    <t>Project Plant Data</t>
  </si>
  <si>
    <t>Units</t>
  </si>
  <si>
    <t>Variable Name in Spreadsheet</t>
  </si>
  <si>
    <t>Proj_Turb_Gross</t>
  </si>
  <si>
    <t>Proj_SF_Area</t>
  </si>
  <si>
    <t>Ref_Turb_Gross</t>
  </si>
  <si>
    <t>Ref_SF_area</t>
  </si>
  <si>
    <t>Ref_TES_capacity</t>
  </si>
  <si>
    <t>Cost_Yr</t>
  </si>
  <si>
    <t>Size</t>
  </si>
  <si>
    <t xml:space="preserve">Size (Basis) </t>
  </si>
  <si>
    <t>Data Source:</t>
  </si>
  <si>
    <t>Inflation Rate</t>
  </si>
  <si>
    <t>inflation</t>
  </si>
  <si>
    <t xml:space="preserve">PPI WPU06520135 Syn NH3 </t>
  </si>
  <si>
    <t>Matl cost esc. Factor</t>
  </si>
  <si>
    <t>Labor cost esc. Factor</t>
  </si>
  <si>
    <t>Labor cost esc. rate</t>
  </si>
  <si>
    <t>Matl cost esc. Rate</t>
  </si>
  <si>
    <t>Reference Year</t>
  </si>
  <si>
    <t>None</t>
  </si>
  <si>
    <t xml:space="preserve">Factor Num = </t>
  </si>
  <si>
    <t xml:space="preserve">User Defined </t>
  </si>
  <si>
    <t>Admin - Plant Manager</t>
  </si>
  <si>
    <t>Admin - Human Resources</t>
  </si>
  <si>
    <t>Admininstration Labor</t>
  </si>
  <si>
    <t>Admin - Financial Manager</t>
  </si>
  <si>
    <t>Admin - Purchasing</t>
  </si>
  <si>
    <t>Admin - Plant Engineer</t>
  </si>
  <si>
    <t>Admin - Performance Engineer</t>
  </si>
  <si>
    <t>Admin - Information Technology</t>
  </si>
  <si>
    <t>Operations Labor</t>
  </si>
  <si>
    <t>Ops - Operations Manager</t>
  </si>
  <si>
    <t>Ops - Asst Ops Manager</t>
  </si>
  <si>
    <t>Ops - Control Room Operator</t>
  </si>
  <si>
    <t>Ops - Asst Plant Equipment Operator</t>
  </si>
  <si>
    <t xml:space="preserve">PB - </t>
  </si>
  <si>
    <t>PB - Maintenance Supervisor</t>
  </si>
  <si>
    <t>PB - Maintenance Foreman</t>
  </si>
  <si>
    <t>PB - Electrician</t>
  </si>
  <si>
    <t>PB - Instrument Technician</t>
  </si>
  <si>
    <t>PB - Machinist/Welder/Mechanical Technician</t>
  </si>
  <si>
    <t>PB - Clerk/Assistant</t>
  </si>
  <si>
    <t>Solar Field Maintenance Labor</t>
  </si>
  <si>
    <t>SF - Maintenance Supervisor</t>
  </si>
  <si>
    <t>SF - Maintenance Foreman</t>
  </si>
  <si>
    <t xml:space="preserve">SF - </t>
  </si>
  <si>
    <t>SF - Instrument Technician</t>
  </si>
  <si>
    <t>SF - Machinist/Welder/Mechanical Technician</t>
  </si>
  <si>
    <t>SF - Clerk/Assistant</t>
  </si>
  <si>
    <t xml:space="preserve">Ops - </t>
  </si>
  <si>
    <t xml:space="preserve">Admin - </t>
  </si>
  <si>
    <t>Qty</t>
  </si>
  <si>
    <t>Labor Subtotal</t>
  </si>
  <si>
    <t>Service Contracts</t>
  </si>
  <si>
    <t>Power Block / TES Maintenance Labor</t>
  </si>
  <si>
    <t>Labor Burden Rate</t>
  </si>
  <si>
    <t>DL_burden</t>
  </si>
  <si>
    <t>Admin - Administrative Aide</t>
  </si>
  <si>
    <t>SCon - Control Systems</t>
  </si>
  <si>
    <t>SCon - Computers/Office Equipment</t>
  </si>
  <si>
    <t>SCon - Grounds/house keeping</t>
  </si>
  <si>
    <t>SCon -</t>
  </si>
  <si>
    <t>Misc - Powerblock</t>
  </si>
  <si>
    <t>Misc - Solar Field</t>
  </si>
  <si>
    <t>Misc - TES</t>
  </si>
  <si>
    <t>Misc - Site</t>
  </si>
  <si>
    <t>Misc - Fossil Backup</t>
  </si>
  <si>
    <t>Cost</t>
  </si>
  <si>
    <t>Rate ($/unit)</t>
  </si>
  <si>
    <t>Fraction of Cost basis</t>
  </si>
  <si>
    <t>Ref Plant Cost Basis</t>
  </si>
  <si>
    <t>Burdened Labor</t>
  </si>
  <si>
    <t xml:space="preserve">Materials &amp; Misc </t>
  </si>
  <si>
    <t>Util - Water (acre/ft)</t>
  </si>
  <si>
    <t>Util - Natural Gas (MMBTU)</t>
  </si>
  <si>
    <t>Util - Auxiliary Power  (MWh)</t>
  </si>
  <si>
    <t>Units/yr</t>
  </si>
  <si>
    <t>Utilities</t>
  </si>
  <si>
    <t>MWh</t>
  </si>
  <si>
    <t>Ref_Enet_yr</t>
  </si>
  <si>
    <t>Annual Net Energy Generation</t>
  </si>
  <si>
    <t>Fixed Annual Cost</t>
  </si>
  <si>
    <t>Variable Cost by Generation</t>
  </si>
  <si>
    <t>Fixed Cost by Capacity</t>
  </si>
  <si>
    <t>Fixed Cost by Capacity ($/kW-yr)</t>
  </si>
  <si>
    <t>Variable Cost by Generation ($/MWh)</t>
  </si>
  <si>
    <t>Cost esc. Factor</t>
  </si>
  <si>
    <t>Cost esc. rate</t>
  </si>
  <si>
    <t>Annual O&amp;M Summary (Reference)</t>
  </si>
  <si>
    <t>Annual O&amp;M Summary (Project)</t>
  </si>
  <si>
    <t>Category Contingency</t>
  </si>
  <si>
    <t>Contingency (total)</t>
  </si>
  <si>
    <t>Contingency (% of Direct Capital Costs)</t>
  </si>
  <si>
    <t>Direct Capital Cost Subtotal</t>
  </si>
  <si>
    <t>Direct Capital Costs Total</t>
  </si>
  <si>
    <t>DIRECT CAPITAL COSTS</t>
  </si>
  <si>
    <t>per acre</t>
  </si>
  <si>
    <t>m</t>
  </si>
  <si>
    <t>Project, Land, Misc Costs Subtotal</t>
  </si>
  <si>
    <t>EPC Costs Subtotal</t>
  </si>
  <si>
    <t>Project Plant Totals</t>
  </si>
  <si>
    <t>Total Direct Costs</t>
  </si>
  <si>
    <t>of DC</t>
  </si>
  <si>
    <t xml:space="preserve">DC's Sales Tax </t>
  </si>
  <si>
    <t>/MMBTU</t>
  </si>
  <si>
    <t>Fossil Fuel Cost</t>
  </si>
  <si>
    <t>Total Installed Cost</t>
  </si>
  <si>
    <t xml:space="preserve">Direct Capital Cost Summary </t>
  </si>
  <si>
    <t>Indirect Capital Cost Summary</t>
  </si>
  <si>
    <t>O&amp;M Summary</t>
  </si>
  <si>
    <t>Sales Tax</t>
  </si>
  <si>
    <t>Sales_Tax_Rate</t>
  </si>
  <si>
    <t>SALES TAX</t>
  </si>
  <si>
    <t>Tax Rate (input from SAM)</t>
  </si>
  <si>
    <t>Sales Tax Cost Subtotal</t>
  </si>
  <si>
    <t>Burdened Labor Cost</t>
  </si>
  <si>
    <t>Land (acres)</t>
  </si>
  <si>
    <t>Matl cost factor</t>
  </si>
  <si>
    <t>Cost factor</t>
  </si>
  <si>
    <t>%</t>
  </si>
  <si>
    <t>$/m2</t>
  </si>
  <si>
    <t>$/kWe</t>
  </si>
  <si>
    <t>$/kWh-t</t>
  </si>
  <si>
    <t>$/MMBTU</t>
  </si>
  <si>
    <t>Numbers in blue text or blue cells are user inputs</t>
  </si>
  <si>
    <t>Labor Cost Factor:</t>
  </si>
  <si>
    <t>fixed</t>
  </si>
  <si>
    <t>variable</t>
  </si>
  <si>
    <t>Admin - Clerk</t>
  </si>
  <si>
    <t>Materials &amp; Maintenance (% of Capital Cost Basis)</t>
  </si>
  <si>
    <t>Power Plant - Condensate System</t>
  </si>
  <si>
    <t>Engineering (EPCM basis)</t>
  </si>
  <si>
    <t>Construction management (EPCM basis)</t>
  </si>
  <si>
    <t>Commissioning / start-up (EPCM basis)</t>
  </si>
  <si>
    <t>SCon - Mirror washing</t>
  </si>
  <si>
    <t>SCon - Water Treatment</t>
  </si>
  <si>
    <t>General Guidelines and Notes:</t>
  </si>
  <si>
    <t>INDIRECT PROJECT COSTS</t>
  </si>
  <si>
    <t>Project Plant Data. Either input by hand or from SAM via Excel Exchange.</t>
  </si>
  <si>
    <t>Input Value</t>
  </si>
  <si>
    <t>% of DC</t>
  </si>
  <si>
    <t>SAM Parameter name</t>
  </si>
  <si>
    <t>Reference Plant</t>
  </si>
  <si>
    <t>Totals</t>
  </si>
  <si>
    <t>SAM Parameter (output to SAM)</t>
  </si>
  <si>
    <t>Cost Index Sheet</t>
  </si>
  <si>
    <t>Reference Plant Characteristics - see Cap$ sheet</t>
  </si>
  <si>
    <t>Tax Rate (input on SAM Exchange sheet)</t>
  </si>
  <si>
    <t>Size (Basis)</t>
  </si>
  <si>
    <t>in use</t>
  </si>
  <si>
    <t>% of Basis</t>
  </si>
  <si>
    <t>Fixed Value</t>
  </si>
  <si>
    <t>NREL Reference Plant Data</t>
  </si>
  <si>
    <t xml:space="preserve"> </t>
  </si>
  <si>
    <t>see Cap$ cell Q1</t>
  </si>
  <si>
    <t>$/kW-yr</t>
  </si>
  <si>
    <t>/kW-yr</t>
  </si>
  <si>
    <t xml:space="preserve">User Variable 1 </t>
  </si>
  <si>
    <t>Comments</t>
  </si>
  <si>
    <t>$</t>
  </si>
  <si>
    <t>Annual Variable Cost ($)</t>
  </si>
  <si>
    <t>Tax Basis (Direct Capital Material Costs incl Contingency)</t>
  </si>
  <si>
    <t>applied to % of DC</t>
  </si>
  <si>
    <t>Basis percentage of Total Direct Costs incl Contingency</t>
  </si>
  <si>
    <t>Estimated O&amp;M labor force</t>
  </si>
  <si>
    <t>Workers</t>
  </si>
  <si>
    <t>Labor_cost_factor</t>
  </si>
  <si>
    <t>Solar Salt ($/MT)</t>
  </si>
  <si>
    <t>Scale labor rates for location</t>
  </si>
  <si>
    <t>Permitting, Licensing, Legal</t>
  </si>
  <si>
    <t>Owner's Engg &amp; Project Mgmt</t>
  </si>
  <si>
    <t>PPI WPU06140197 Aromatic Chems</t>
  </si>
  <si>
    <t>This Spreadsheet provides more detailed cost categories for a Power Tower or Central Receiver power plant. The structure is patterned after the model developed for a Parabolic Trough plant in NREL Technical Report NREL/TP-550-47605, July 2010.</t>
  </si>
  <si>
    <t>TES - Media</t>
  </si>
  <si>
    <t>Land Area</t>
  </si>
  <si>
    <t>acres</t>
  </si>
  <si>
    <t>Ref_land_area</t>
  </si>
  <si>
    <t>Proj_land_area</t>
  </si>
  <si>
    <t>Receiver Thermal Capacity</t>
  </si>
  <si>
    <t>MW-t</t>
  </si>
  <si>
    <t>Ref_Rcvr_MWt</t>
  </si>
  <si>
    <t>Proj_Rcvr_MWt</t>
  </si>
  <si>
    <t xml:space="preserve">Tower Height </t>
  </si>
  <si>
    <t>Proj_Tower_Height</t>
  </si>
  <si>
    <t>Heliostat Field - Mirrors</t>
  </si>
  <si>
    <t>Heliostat Field - Drives</t>
  </si>
  <si>
    <t>Heliostat Field - Pedestal, Mirror Support, Foundation</t>
  </si>
  <si>
    <t>Heliostat Field - Controls and Wired Connections</t>
  </si>
  <si>
    <t>Heliostat Field - Installation &amp; Checkout</t>
  </si>
  <si>
    <t>Heliostat Field - Field Wiring &amp; Foundations Labor</t>
  </si>
  <si>
    <t>TES - Hot Tank(s)</t>
  </si>
  <si>
    <t>TES - Cold Tank(s)</t>
  </si>
  <si>
    <t>Abengoa GO18149 Report (single tower)</t>
  </si>
  <si>
    <t>Abengoa GO18149 Report (one pair tanks)</t>
  </si>
  <si>
    <t>/kW-t</t>
  </si>
  <si>
    <t>EPC and Owner Costs</t>
  </si>
  <si>
    <t>Land</t>
  </si>
  <si>
    <t xml:space="preserve">LAND  </t>
  </si>
  <si>
    <t>EPC and OWNER COSTS:</t>
  </si>
  <si>
    <t>Land Costs Subtotal</t>
  </si>
  <si>
    <t>Output to SAM</t>
  </si>
  <si>
    <t>Reference Plant Data sent to SAM</t>
  </si>
  <si>
    <t>Receiver cost scaling exponent</t>
  </si>
  <si>
    <t>Cost data Source</t>
  </si>
  <si>
    <t>Heliostat Field</t>
  </si>
  <si>
    <t>Tower - Tower</t>
  </si>
  <si>
    <t>Tower - Riser and Downcomer piping &amp; insulation</t>
  </si>
  <si>
    <t>Receiver - Receiver</t>
  </si>
  <si>
    <t>Receiver - Horizontal piping &amp; insulation</t>
  </si>
  <si>
    <t>Receiver - Cold Salt Pump(s)</t>
  </si>
  <si>
    <t>Receiver - Controls, Instruments, Heat Trace</t>
  </si>
  <si>
    <t xml:space="preserve">Receiver - Spare Parts </t>
  </si>
  <si>
    <t>Tower Height</t>
  </si>
  <si>
    <t>Ref_Tower_height</t>
  </si>
  <si>
    <t>hr</t>
  </si>
  <si>
    <t>PB_Thermal_Design_Capacity</t>
  </si>
  <si>
    <t>Proj_TES_hrs</t>
  </si>
  <si>
    <t>analysis year</t>
  </si>
  <si>
    <t>Receiver Area</t>
  </si>
  <si>
    <t>Ref_Rcvr_area</t>
  </si>
  <si>
    <t>Proj_Rcvr_area</t>
  </si>
  <si>
    <t>The Tower Roadmap (SAND2011-2419) assumes contingency with each subsystem. The Reference Case in this spreadsheet and SAM applies a single contingency to all Direct Costs.</t>
  </si>
  <si>
    <t xml:space="preserve">References: </t>
  </si>
  <si>
    <t>Power Tower Technology Roadmap, SAND2011-2419, April 2011.</t>
  </si>
  <si>
    <t>/acre</t>
  </si>
  <si>
    <t>NREL Reference Plant Characteristics - southern California</t>
  </si>
  <si>
    <t>Annual Salary California Location ($/yr)</t>
  </si>
  <si>
    <t>SAM</t>
  </si>
  <si>
    <t>Solar Field Reflector Area</t>
  </si>
  <si>
    <t>Site - Evaporation Pond</t>
  </si>
  <si>
    <t>Kelly, B., "Advanced Thermal Storage for Central Receivers with Supercritical Coolants," Abengoa Solar, final report under DE-FG36-08GO18149, June 15, 2010.</t>
  </si>
  <si>
    <t>Land cost per acre</t>
  </si>
  <si>
    <t>BOP - Hot Salt Pump(s)</t>
  </si>
  <si>
    <t>BOP - Steam Piping, Insulation, Valves, &amp; Fittings</t>
  </si>
  <si>
    <t>SAM BOP defined as Steam Generation System</t>
  </si>
  <si>
    <t>BOP - Foundations &amp; Support Structures</t>
  </si>
  <si>
    <t>BOP - Steam Generation Heat Exchangers and Equipment</t>
  </si>
  <si>
    <t>BOP - Electrical, Instrumentation, and Controls System</t>
  </si>
  <si>
    <t>Power Plant - Instruments and Controls System</t>
  </si>
  <si>
    <t>WP Tower Study, with CA union labor</t>
  </si>
  <si>
    <t>SAM 2012-11-30 defaults</t>
  </si>
  <si>
    <t>x</t>
  </si>
  <si>
    <t>Balance of Plant</t>
  </si>
  <si>
    <t>Tower</t>
  </si>
  <si>
    <t>Receiver</t>
  </si>
  <si>
    <t>WP Trough Study (NREL/TP-550-47606), adjusted for limited land grading and smaller blowdown pond</t>
  </si>
  <si>
    <t>SAM 2012-11-30 default case area. Cost percentages from Tower Roadmap (SAND2011-2419). Total 2012 cost from industry survey.</t>
  </si>
  <si>
    <t>Abengoa GO18149 Report (single tower). Receiver area based on Abengoa study design of 20 m dia x 25 m tall cylinder.</t>
  </si>
  <si>
    <t>Molten Salt Power Tower Cost for Modeling with the System Advisor Model (SAM), NREL/TP-xxxx-xxxxx, 2013.</t>
  </si>
  <si>
    <t>Parabolic Trough Cost Model, NREL/TP-550-47605, July 2010.</t>
  </si>
  <si>
    <t>Design Turbine Gross Output</t>
  </si>
  <si>
    <t>Design Thermal Power</t>
  </si>
  <si>
    <t>Full Load Hours of TES</t>
  </si>
  <si>
    <t>Total Land Area</t>
  </si>
  <si>
    <t xml:space="preserve">Total Reflective Area </t>
  </si>
  <si>
    <t xml:space="preserve">Receiver Design Thermal Power </t>
  </si>
  <si>
    <t>Area</t>
  </si>
  <si>
    <t>Receiver area</t>
  </si>
  <si>
    <t>Solar field aperture area</t>
  </si>
  <si>
    <t>not sent to SAM</t>
  </si>
  <si>
    <t>Site Improvement Cost per m2</t>
  </si>
  <si>
    <t>Heliostat Field Cost per m2</t>
  </si>
  <si>
    <t>Storage Cost per kWht</t>
  </si>
  <si>
    <t>Fossil Backip Cost per kWe</t>
  </si>
  <si>
    <t>Balance of Plant Cost per kWe</t>
  </si>
  <si>
    <t>Power Block Cost per kWe (based on Turbine gross)</t>
  </si>
  <si>
    <t>EPC Costs % Direct</t>
  </si>
  <si>
    <t>Land Costs acre</t>
  </si>
  <si>
    <t>Sales Tax Percentage of Direct Costs</t>
  </si>
  <si>
    <t>Fossil Fual Cost</t>
  </si>
  <si>
    <t>Misc - Receiver</t>
  </si>
  <si>
    <t>var/fixed</t>
  </si>
  <si>
    <t>User Variable 5 (Annual O&amp;M variable cost)</t>
  </si>
  <si>
    <t>User Variable 2</t>
  </si>
  <si>
    <t>Receiver Reference Area</t>
  </si>
  <si>
    <r>
      <t xml:space="preserve">Fixed Tower Cost Factor at </t>
    </r>
    <r>
      <rPr>
        <b/>
        <sz val="10"/>
        <rFont val="Arial"/>
        <family val="2"/>
      </rPr>
      <t>Cost_Yr</t>
    </r>
  </si>
  <si>
    <r>
      <t xml:space="preserve">Receiver Reference Cost at </t>
    </r>
    <r>
      <rPr>
        <b/>
        <sz val="10"/>
        <rFont val="Arial"/>
        <family val="2"/>
      </rPr>
      <t>Cost_Yr</t>
    </r>
  </si>
  <si>
    <t>Ops - Plant Equipment Operator, Technician</t>
  </si>
  <si>
    <t>US national average</t>
  </si>
  <si>
    <t>Based on National Compensation Survey 2011, Natural resources, construction &amp; maintenance workers</t>
  </si>
  <si>
    <t>Tucson, AZ</t>
  </si>
  <si>
    <t>LA/Riverside, CA (union)</t>
  </si>
  <si>
    <t>LA/Riverside, CA (nonunion)</t>
  </si>
  <si>
    <t>O&amp;M Labor requirements based on Parabolic Trough Study, NREL/TP-550-47605</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</si>
</sst>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_(&quot;$&quot;* \(#,##0.00\);_(&quot;$&quot;* &quot;-&quot;??_);_(@_)"/>
    <numFmt numFmtId="43" formatCode="_(* #,##0.00_);_(* \(#,##0.00\);_(* &quot;-&quot;??_);_(@_)"/>
    <numFmt numFmtId="164" formatCode="0_);[Red]\(0\)"/>
    <numFmt numFmtId="165" formatCode="_(* #,##0_);_(* \(#,##0\);_(* &quot;-&quot;??_);_(@_)"/>
    <numFmt numFmtId="166" formatCode="_(&quot;$&quot;* #,##0_);_(&quot;$&quot;* \(#,##0\);_(&quot;$&quot;* &quot;-&quot;??_);_(@_)"/>
    <numFmt numFmtId="167" formatCode="0.0%"/>
    <numFmt numFmtId="168" formatCode="0.000000"/>
    <numFmt numFmtId="169" formatCode="0.0"/>
    <numFmt numFmtId="170" formatCode="0.00_);\(0.00\)"/>
    <numFmt numFmtId="171" formatCode="0.000"/>
    <numFmt numFmtId="172" formatCode="_(&quot;$&quot;* #,##0.0_);_(&quot;$&quot;* \(#,##0.0\);_(&quot;$&quot;* &quot;-&quot;??_);_(@_)"/>
    <numFmt numFmtId="173" formatCode="#,##0.0"/>
    <numFmt numFmtId="174" formatCode="#,##0.0000"/>
  </numFmts>
  <fonts count="24" x14ac:knownFonts="1">
    <font>
      <sz val="10"/>
      <name val="Arial"/>
    </font>
    <font>
      <b/>
      <sz val="10"/>
      <name val="Arial"/>
      <family val="2"/>
    </font>
    <font>
      <sz val="10"/>
      <name val="Arial"/>
      <family val="2"/>
    </font>
    <font>
      <b/>
      <sz val="10"/>
      <name val="Arial"/>
      <family val="2"/>
    </font>
    <font>
      <sz val="10"/>
      <name val="Arial"/>
      <family val="2"/>
    </font>
    <font>
      <sz val="10"/>
      <color indexed="12"/>
      <name val="Arial"/>
      <family val="2"/>
    </font>
    <font>
      <b/>
      <sz val="12"/>
      <name val="Arial"/>
      <family val="2"/>
    </font>
    <font>
      <sz val="10"/>
      <color indexed="10"/>
      <name val="Arial"/>
      <family val="2"/>
    </font>
    <font>
      <sz val="10"/>
      <color rgb="FFFF0000"/>
      <name val="Arial"/>
      <family val="2"/>
    </font>
    <font>
      <u/>
      <sz val="10"/>
      <color indexed="12"/>
      <name val="Arial"/>
      <family val="2"/>
    </font>
    <font>
      <sz val="10"/>
      <color indexed="81"/>
      <name val="Tahoma"/>
      <family val="2"/>
    </font>
    <font>
      <b/>
      <sz val="10"/>
      <color indexed="81"/>
      <name val="Tahoma"/>
      <family val="2"/>
    </font>
    <font>
      <b/>
      <sz val="10"/>
      <color indexed="12"/>
      <name val="Arial"/>
      <family val="2"/>
    </font>
    <font>
      <sz val="10"/>
      <color rgb="FF0070C0"/>
      <name val="Arial"/>
      <family val="2"/>
    </font>
    <font>
      <b/>
      <sz val="10"/>
      <color rgb="FF0070C0"/>
      <name val="Arial"/>
      <family val="2"/>
    </font>
    <font>
      <b/>
      <sz val="10"/>
      <color theme="3"/>
      <name val="Arial"/>
      <family val="2"/>
    </font>
    <font>
      <sz val="10"/>
      <color theme="4"/>
      <name val="Arial"/>
      <family val="2"/>
    </font>
    <font>
      <sz val="10"/>
      <color indexed="81"/>
      <name val="Tahoma"/>
      <charset val="1"/>
    </font>
    <font>
      <b/>
      <sz val="10"/>
      <color indexed="81"/>
      <name val="Tahoma"/>
      <charset val="1"/>
    </font>
    <font>
      <sz val="9"/>
      <color indexed="81"/>
      <name val="Tahoma"/>
      <charset val="1"/>
    </font>
    <font>
      <b/>
      <sz val="9"/>
      <color indexed="81"/>
      <name val="Tahoma"/>
      <charset val="1"/>
    </font>
    <font>
      <sz val="9"/>
      <color indexed="81"/>
      <name val="Tahoma"/>
      <family val="2"/>
    </font>
    <font>
      <b/>
      <sz val="9"/>
      <color indexed="81"/>
      <name val="Tahoma"/>
      <family val="2"/>
    </font>
    <font>
      <b/>
      <sz val="10"/>
      <color rgb="FFFF0000"/>
      <name val="Arial"/>
      <family val="2"/>
    </font>
  </fonts>
  <fills count="10">
    <fill>
      <patternFill patternType="none"/>
    </fill>
    <fill>
      <patternFill patternType="gray125"/>
    </fill>
    <fill>
      <patternFill patternType="solid">
        <fgColor indexed="26"/>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FFFF"/>
        <bgColor indexed="64"/>
      </patternFill>
    </fill>
    <fill>
      <patternFill patternType="solid">
        <fgColor theme="7" tint="0.59999389629810485"/>
        <bgColor indexed="64"/>
      </patternFill>
    </fill>
    <fill>
      <patternFill patternType="solid">
        <fgColor rgb="FFFFCC66"/>
        <bgColor indexed="64"/>
      </patternFill>
    </fill>
    <fill>
      <patternFill patternType="solid">
        <fgColor rgb="FFFFC000"/>
        <bgColor indexed="64"/>
      </patternFill>
    </fill>
  </fills>
  <borders count="47">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top/>
      <bottom style="medium">
        <color indexed="64"/>
      </bottom>
      <diagonal/>
    </border>
    <border>
      <left style="hair">
        <color indexed="64"/>
      </left>
      <right/>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168" fontId="2" fillId="0" borderId="0">
      <alignment horizontal="left" wrapText="1"/>
    </xf>
    <xf numFmtId="0" fontId="9" fillId="0" borderId="0" applyNumberFormat="0" applyFill="0" applyBorder="0" applyAlignment="0" applyProtection="0">
      <alignment vertical="top"/>
      <protection locked="0"/>
    </xf>
    <xf numFmtId="168" fontId="2" fillId="0" borderId="0">
      <alignment horizontal="left" wrapText="1"/>
    </xf>
  </cellStyleXfs>
  <cellXfs count="513">
    <xf numFmtId="0" fontId="0" fillId="0" borderId="0" xfId="0"/>
    <xf numFmtId="14" fontId="1" fillId="0" borderId="0" xfId="0" applyNumberFormat="1" applyFont="1" applyAlignment="1">
      <alignment horizontal="left"/>
    </xf>
    <xf numFmtId="0" fontId="4" fillId="0" borderId="0" xfId="0" applyFont="1"/>
    <xf numFmtId="0" fontId="5" fillId="2" borderId="0" xfId="0" applyFont="1" applyFill="1"/>
    <xf numFmtId="0" fontId="5" fillId="0" borderId="0" xfId="0" applyFont="1" applyFill="1"/>
    <xf numFmtId="166" fontId="5" fillId="2" borderId="1" xfId="2" applyNumberFormat="1" applyFont="1" applyFill="1" applyBorder="1" applyAlignment="1">
      <alignment horizontal="right"/>
    </xf>
    <xf numFmtId="0" fontId="0" fillId="0" borderId="1" xfId="0" applyBorder="1"/>
    <xf numFmtId="0" fontId="0" fillId="0" borderId="0" xfId="0" applyFill="1"/>
    <xf numFmtId="166" fontId="4" fillId="0" borderId="1" xfId="2" applyNumberFormat="1" applyFont="1" applyFill="1" applyBorder="1" applyAlignment="1">
      <alignment horizontal="right"/>
    </xf>
    <xf numFmtId="0" fontId="1" fillId="0" borderId="1" xfId="0" applyFont="1" applyBorder="1" applyAlignment="1">
      <alignment horizontal="center"/>
    </xf>
    <xf numFmtId="166" fontId="4" fillId="0" borderId="1" xfId="2" applyNumberFormat="1" applyFont="1" applyBorder="1" applyAlignment="1">
      <alignment horizontal="right"/>
    </xf>
    <xf numFmtId="0" fontId="0" fillId="0" borderId="1" xfId="0" applyBorder="1" applyAlignment="1">
      <alignment horizontal="center"/>
    </xf>
    <xf numFmtId="166" fontId="5" fillId="0" borderId="1" xfId="2" applyNumberFormat="1" applyFont="1" applyFill="1" applyBorder="1" applyAlignment="1">
      <alignment horizontal="right"/>
    </xf>
    <xf numFmtId="0" fontId="5" fillId="2" borderId="1" xfId="0" applyFont="1" applyFill="1" applyBorder="1" applyAlignment="1">
      <alignment horizontal="center"/>
    </xf>
    <xf numFmtId="166" fontId="3" fillId="2" borderId="1" xfId="2" applyNumberFormat="1" applyFont="1" applyFill="1" applyBorder="1" applyAlignment="1">
      <alignment horizontal="right"/>
    </xf>
    <xf numFmtId="0" fontId="0" fillId="0" borderId="0" xfId="0" quotePrefix="1" applyBorder="1" applyAlignment="1">
      <alignment vertical="top" wrapText="1"/>
    </xf>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Alignment="1">
      <alignment vertical="top"/>
    </xf>
    <xf numFmtId="0" fontId="0" fillId="0" borderId="0" xfId="0" quotePrefix="1" applyBorder="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166" fontId="1" fillId="0" borderId="0" xfId="2" applyNumberFormat="1" applyFont="1" applyAlignment="1">
      <alignment horizontal="centerContinuous"/>
    </xf>
    <xf numFmtId="166" fontId="4" fillId="0" borderId="0" xfId="2" applyNumberFormat="1" applyFont="1" applyBorder="1" applyAlignment="1">
      <alignment horizontal="right" vertical="top" wrapText="1"/>
    </xf>
    <xf numFmtId="166" fontId="4" fillId="0" borderId="0" xfId="2" applyNumberFormat="1" applyFont="1" applyAlignment="1">
      <alignment vertical="top" wrapText="1"/>
    </xf>
    <xf numFmtId="166" fontId="5" fillId="0" borderId="1" xfId="2" applyNumberFormat="1" applyFont="1" applyBorder="1"/>
    <xf numFmtId="0" fontId="5" fillId="0" borderId="1" xfId="0" applyFont="1" applyFill="1" applyBorder="1" applyAlignment="1">
      <alignment horizontal="center"/>
    </xf>
    <xf numFmtId="0" fontId="3" fillId="0" borderId="0" xfId="0" applyFont="1"/>
    <xf numFmtId="10" fontId="4" fillId="0" borderId="0" xfId="3" applyNumberFormat="1" applyFont="1" applyBorder="1" applyAlignment="1">
      <alignment horizontal="right" vertical="top" wrapText="1"/>
    </xf>
    <xf numFmtId="166" fontId="5" fillId="0" borderId="0" xfId="2" applyNumberFormat="1" applyFont="1" applyBorder="1" applyAlignment="1">
      <alignment horizontal="right" vertical="top" wrapText="1"/>
    </xf>
    <xf numFmtId="166" fontId="2" fillId="0" borderId="1" xfId="2" applyNumberFormat="1" applyFill="1" applyBorder="1" applyAlignment="1">
      <alignment horizontal="right"/>
    </xf>
    <xf numFmtId="166" fontId="2" fillId="0" borderId="1" xfId="2" applyNumberFormat="1" applyBorder="1"/>
    <xf numFmtId="0" fontId="2" fillId="0" borderId="0" xfId="0" applyFont="1"/>
    <xf numFmtId="166" fontId="2" fillId="0" borderId="1" xfId="2" applyNumberFormat="1" applyBorder="1" applyAlignment="1">
      <alignment horizontal="right"/>
    </xf>
    <xf numFmtId="166" fontId="2" fillId="0" borderId="0" xfId="2" applyNumberFormat="1" applyBorder="1" applyAlignment="1">
      <alignment horizontal="right" vertical="top" wrapText="1"/>
    </xf>
    <xf numFmtId="166" fontId="2" fillId="0" borderId="0" xfId="2" applyNumberFormat="1" applyFont="1" applyBorder="1" applyAlignment="1">
      <alignment horizontal="left" vertical="top"/>
    </xf>
    <xf numFmtId="166" fontId="2" fillId="0" borderId="0" xfId="2" applyNumberFormat="1" applyAlignment="1">
      <alignment vertical="top" wrapText="1"/>
    </xf>
    <xf numFmtId="166" fontId="2" fillId="0" borderId="0" xfId="2" applyNumberFormat="1"/>
    <xf numFmtId="166" fontId="2" fillId="0" borderId="1" xfId="2" applyNumberFormat="1" applyFill="1" applyBorder="1" applyAlignment="1">
      <alignment horizontal="left"/>
    </xf>
    <xf numFmtId="166" fontId="5" fillId="0" borderId="1" xfId="2" applyNumberFormat="1" applyFont="1" applyFill="1" applyBorder="1" applyAlignment="1">
      <alignment horizontal="left"/>
    </xf>
    <xf numFmtId="166" fontId="5" fillId="2" borderId="1" xfId="2" applyNumberFormat="1" applyFont="1" applyFill="1" applyBorder="1" applyAlignment="1">
      <alignment horizontal="left"/>
    </xf>
    <xf numFmtId="166" fontId="2" fillId="0" borderId="1" xfId="2" applyNumberFormat="1" applyBorder="1" applyAlignment="1">
      <alignment horizontal="left"/>
    </xf>
    <xf numFmtId="166" fontId="2" fillId="0" borderId="1" xfId="2" applyNumberFormat="1" applyFont="1" applyFill="1" applyBorder="1" applyAlignment="1">
      <alignment horizontal="left"/>
    </xf>
    <xf numFmtId="38" fontId="0" fillId="0" borderId="0" xfId="0" applyNumberFormat="1" applyBorder="1" applyAlignment="1">
      <alignment horizontal="left" vertical="top" wrapText="1"/>
    </xf>
    <xf numFmtId="166" fontId="2" fillId="0" borderId="0" xfId="2" applyNumberFormat="1" applyBorder="1" applyAlignment="1">
      <alignment horizontal="left" vertical="top" wrapText="1"/>
    </xf>
    <xf numFmtId="164" fontId="0" fillId="0" borderId="0" xfId="0" applyNumberFormat="1" applyAlignment="1">
      <alignment horizontal="left" vertical="top" wrapText="1"/>
    </xf>
    <xf numFmtId="164" fontId="0" fillId="0" borderId="0" xfId="0" applyNumberFormat="1" applyAlignment="1">
      <alignment horizontal="left"/>
    </xf>
    <xf numFmtId="3" fontId="0" fillId="0" borderId="0" xfId="0" applyNumberFormat="1" applyAlignment="1">
      <alignment horizontal="left"/>
    </xf>
    <xf numFmtId="3" fontId="4" fillId="0" borderId="0" xfId="0" applyNumberFormat="1" applyFont="1"/>
    <xf numFmtId="3" fontId="4" fillId="0" borderId="0" xfId="0" applyNumberFormat="1" applyFont="1" applyFill="1"/>
    <xf numFmtId="166" fontId="2" fillId="0" borderId="1" xfId="2" applyNumberFormat="1" applyFont="1" applyFill="1" applyBorder="1" applyAlignment="1">
      <alignment horizontal="right"/>
    </xf>
    <xf numFmtId="166" fontId="2" fillId="0" borderId="1" xfId="2" applyNumberFormat="1" applyFont="1" applyBorder="1"/>
    <xf numFmtId="166" fontId="5" fillId="0" borderId="1" xfId="2" applyNumberFormat="1" applyFont="1" applyBorder="1" applyAlignment="1">
      <alignment horizontal="left"/>
    </xf>
    <xf numFmtId="14" fontId="1" fillId="0" borderId="0" xfId="0" applyNumberFormat="1" applyFont="1" applyAlignment="1">
      <alignment horizontal="left" indent="1"/>
    </xf>
    <xf numFmtId="0" fontId="0" fillId="0" borderId="6" xfId="0" applyBorder="1" applyAlignment="1">
      <alignment horizontal="left" indent="1"/>
    </xf>
    <xf numFmtId="0" fontId="5" fillId="2" borderId="6" xfId="0" applyFont="1" applyFill="1" applyBorder="1" applyAlignment="1">
      <alignment horizontal="left" indent="1"/>
    </xf>
    <xf numFmtId="0" fontId="5" fillId="0" borderId="6" xfId="0" applyFont="1" applyFill="1" applyBorder="1" applyAlignment="1">
      <alignment horizontal="left" indent="1"/>
    </xf>
    <xf numFmtId="0" fontId="1" fillId="0" borderId="6" xfId="0" applyFont="1" applyBorder="1" applyAlignment="1">
      <alignment horizontal="left" indent="1"/>
    </xf>
    <xf numFmtId="0" fontId="0" fillId="0" borderId="6" xfId="0" applyFill="1" applyBorder="1" applyAlignment="1">
      <alignment horizontal="left" indent="1"/>
    </xf>
    <xf numFmtId="0" fontId="4" fillId="0" borderId="0" xfId="0" applyFont="1" applyBorder="1" applyAlignment="1">
      <alignment horizontal="left" vertical="top" indent="1"/>
    </xf>
    <xf numFmtId="0" fontId="3" fillId="0" borderId="0" xfId="0" applyFont="1" applyBorder="1" applyAlignment="1">
      <alignment horizontal="left" vertical="top" wrapText="1" indent="1"/>
    </xf>
    <xf numFmtId="0" fontId="3" fillId="0" borderId="0" xfId="0" applyFont="1" applyBorder="1" applyAlignment="1">
      <alignment horizontal="left" vertical="top" indent="1"/>
    </xf>
    <xf numFmtId="0" fontId="0" fillId="0" borderId="0" xfId="0" applyBorder="1" applyAlignment="1">
      <alignment horizontal="left" vertical="top" indent="1"/>
    </xf>
    <xf numFmtId="0" fontId="0" fillId="0" borderId="0" xfId="0" applyAlignment="1">
      <alignment horizontal="left" vertical="top" indent="1"/>
    </xf>
    <xf numFmtId="0" fontId="0" fillId="0" borderId="0" xfId="0" applyAlignment="1">
      <alignment horizontal="left" vertical="top" wrapText="1" indent="1"/>
    </xf>
    <xf numFmtId="0" fontId="0" fillId="0" borderId="0" xfId="0" applyAlignment="1">
      <alignment horizontal="left" indent="1"/>
    </xf>
    <xf numFmtId="0" fontId="4" fillId="0" borderId="0" xfId="0" applyFont="1" applyFill="1"/>
    <xf numFmtId="0" fontId="0" fillId="0" borderId="0" xfId="0" applyFill="1" applyAlignment="1">
      <alignment horizontal="center"/>
    </xf>
    <xf numFmtId="0" fontId="2" fillId="0" borderId="0" xfId="0" applyFont="1" applyFill="1"/>
    <xf numFmtId="0" fontId="3" fillId="0" borderId="0" xfId="0" applyFont="1" applyFill="1"/>
    <xf numFmtId="0" fontId="0" fillId="0" borderId="0" xfId="0" applyFill="1" applyAlignment="1">
      <alignment vertical="top"/>
    </xf>
    <xf numFmtId="49" fontId="2" fillId="0" borderId="0" xfId="0" applyNumberFormat="1" applyFont="1" applyFill="1"/>
    <xf numFmtId="49" fontId="2" fillId="0" borderId="0" xfId="0" applyNumberFormat="1" applyFont="1" applyFill="1" applyAlignment="1">
      <alignment horizontal="center"/>
    </xf>
    <xf numFmtId="49" fontId="1" fillId="0" borderId="0" xfId="0" quotePrefix="1" applyNumberFormat="1" applyFont="1" applyFill="1"/>
    <xf numFmtId="49" fontId="1" fillId="0" borderId="0" xfId="0" applyNumberFormat="1" applyFont="1" applyFill="1"/>
    <xf numFmtId="49" fontId="2" fillId="0" borderId="0" xfId="0" quotePrefix="1" applyNumberFormat="1" applyFont="1" applyFill="1"/>
    <xf numFmtId="49" fontId="2" fillId="0" borderId="0" xfId="0" applyNumberFormat="1" applyFont="1" applyFill="1" applyAlignment="1">
      <alignment vertical="top"/>
    </xf>
    <xf numFmtId="49" fontId="1" fillId="0" borderId="0" xfId="0" quotePrefix="1" applyNumberFormat="1" applyFont="1" applyFill="1" applyAlignment="1">
      <alignment horizontal="center"/>
    </xf>
    <xf numFmtId="49" fontId="1" fillId="0" borderId="0" xfId="0" applyNumberFormat="1" applyFont="1" applyFill="1" applyAlignment="1">
      <alignment horizontal="center"/>
    </xf>
    <xf numFmtId="49" fontId="2" fillId="0" borderId="0" xfId="0" applyNumberFormat="1" applyFont="1" applyFill="1" applyAlignment="1">
      <alignment horizontal="center" vertical="top"/>
    </xf>
    <xf numFmtId="0" fontId="0" fillId="0" borderId="1" xfId="0" applyFill="1" applyBorder="1" applyAlignment="1">
      <alignment horizontal="center"/>
    </xf>
    <xf numFmtId="9" fontId="0" fillId="0" borderId="0" xfId="3" applyFont="1" applyFill="1"/>
    <xf numFmtId="166" fontId="2" fillId="0" borderId="14" xfId="2" applyNumberFormat="1" applyFont="1" applyFill="1" applyBorder="1" applyAlignment="1">
      <alignment horizontal="right"/>
    </xf>
    <xf numFmtId="166" fontId="2" fillId="0" borderId="15" xfId="2" applyNumberFormat="1" applyFont="1" applyFill="1" applyBorder="1" applyAlignment="1">
      <alignment horizontal="right"/>
    </xf>
    <xf numFmtId="166" fontId="3" fillId="0" borderId="15" xfId="2" applyNumberFormat="1" applyFont="1" applyFill="1" applyBorder="1" applyAlignment="1">
      <alignment horizontal="right"/>
    </xf>
    <xf numFmtId="166" fontId="3" fillId="0" borderId="16" xfId="2" applyNumberFormat="1" applyFont="1" applyFill="1" applyBorder="1" applyAlignment="1">
      <alignment horizontal="right"/>
    </xf>
    <xf numFmtId="0" fontId="2" fillId="0" borderId="0" xfId="0" applyFont="1" applyBorder="1" applyAlignment="1">
      <alignment vertical="top" wrapText="1"/>
    </xf>
    <xf numFmtId="165" fontId="0" fillId="0" borderId="0" xfId="1" applyNumberFormat="1" applyFont="1" applyBorder="1" applyAlignment="1">
      <alignment horizontal="right" vertical="top" indent="1"/>
    </xf>
    <xf numFmtId="0" fontId="2" fillId="0" borderId="0" xfId="0" applyFont="1" applyBorder="1" applyAlignment="1">
      <alignment horizontal="right" vertical="top"/>
    </xf>
    <xf numFmtId="3" fontId="0" fillId="0" borderId="0" xfId="0" applyNumberFormat="1" applyFill="1" applyAlignment="1">
      <alignment horizontal="left"/>
    </xf>
    <xf numFmtId="38" fontId="0" fillId="0" borderId="0" xfId="0" applyNumberFormat="1" applyFill="1" applyBorder="1" applyAlignment="1">
      <alignment horizontal="left" vertical="top" wrapText="1"/>
    </xf>
    <xf numFmtId="166" fontId="2" fillId="0" borderId="0" xfId="2" applyNumberFormat="1" applyFont="1" applyFill="1" applyBorder="1" applyAlignment="1">
      <alignment horizontal="left" vertical="top"/>
    </xf>
    <xf numFmtId="166" fontId="2" fillId="0" borderId="0" xfId="2" applyNumberFormat="1" applyFill="1" applyBorder="1" applyAlignment="1">
      <alignment horizontal="left" vertical="top" wrapText="1"/>
    </xf>
    <xf numFmtId="164" fontId="0" fillId="0" borderId="0" xfId="0" applyNumberFormat="1" applyFill="1" applyAlignment="1">
      <alignment horizontal="left"/>
    </xf>
    <xf numFmtId="0" fontId="2" fillId="0" borderId="0" xfId="0" applyFont="1" applyFill="1" applyBorder="1" applyAlignment="1"/>
    <xf numFmtId="4" fontId="8" fillId="0" borderId="0" xfId="0" applyNumberFormat="1" applyFont="1" applyFill="1" applyAlignment="1">
      <alignment horizontal="center"/>
    </xf>
    <xf numFmtId="3" fontId="8" fillId="0" borderId="0" xfId="0" applyNumberFormat="1" applyFont="1" applyFill="1" applyAlignment="1">
      <alignment horizontal="center"/>
    </xf>
    <xf numFmtId="0" fontId="2" fillId="0" borderId="0" xfId="0" applyFont="1" applyAlignment="1">
      <alignment horizontal="left" indent="1"/>
    </xf>
    <xf numFmtId="0" fontId="2" fillId="0" borderId="0" xfId="4"/>
    <xf numFmtId="0" fontId="1" fillId="0" borderId="0" xfId="4" applyFont="1"/>
    <xf numFmtId="169" fontId="2" fillId="0" borderId="0" xfId="4" applyNumberFormat="1"/>
    <xf numFmtId="0" fontId="2" fillId="0" borderId="0" xfId="4" applyAlignment="1">
      <alignment horizontal="right"/>
    </xf>
    <xf numFmtId="169" fontId="2" fillId="0" borderId="0" xfId="4" applyNumberFormat="1" applyAlignment="1">
      <alignment horizontal="right"/>
    </xf>
    <xf numFmtId="0" fontId="2" fillId="0" borderId="0" xfId="4" applyBorder="1"/>
    <xf numFmtId="0" fontId="3" fillId="3" borderId="3" xfId="0" applyFont="1" applyFill="1" applyBorder="1" applyAlignment="1">
      <alignment horizontal="left" indent="1"/>
    </xf>
    <xf numFmtId="0" fontId="1" fillId="3" borderId="3" xfId="0" applyFont="1" applyFill="1" applyBorder="1" applyAlignment="1">
      <alignment horizontal="center" wrapText="1"/>
    </xf>
    <xf numFmtId="0" fontId="1" fillId="3" borderId="3" xfId="0" applyFont="1" applyFill="1" applyBorder="1" applyAlignment="1">
      <alignment horizontal="center"/>
    </xf>
    <xf numFmtId="166" fontId="1" fillId="3" borderId="3" xfId="2" applyNumberFormat="1" applyFont="1" applyFill="1" applyBorder="1" applyAlignment="1">
      <alignment horizontal="center"/>
    </xf>
    <xf numFmtId="0" fontId="1" fillId="0" borderId="0" xfId="0" applyFont="1" applyAlignment="1">
      <alignment horizontal="left" indent="1"/>
    </xf>
    <xf numFmtId="165" fontId="0" fillId="0" borderId="0" xfId="1" applyNumberFormat="1" applyFont="1"/>
    <xf numFmtId="0" fontId="2" fillId="0" borderId="0" xfId="0" applyFont="1" applyAlignment="1">
      <alignment horizontal="right"/>
    </xf>
    <xf numFmtId="0" fontId="2" fillId="0" borderId="2" xfId="0" applyFont="1" applyBorder="1"/>
    <xf numFmtId="166" fontId="2" fillId="0" borderId="0" xfId="2" applyNumberFormat="1" applyFill="1" applyBorder="1" applyAlignment="1">
      <alignment horizontal="left"/>
    </xf>
    <xf numFmtId="166" fontId="2" fillId="0" borderId="0" xfId="2" applyNumberFormat="1" applyFont="1" applyFill="1" applyBorder="1" applyAlignment="1">
      <alignment horizontal="right"/>
    </xf>
    <xf numFmtId="166" fontId="3" fillId="0" borderId="0" xfId="2" applyNumberFormat="1" applyFont="1" applyFill="1" applyBorder="1" applyAlignment="1">
      <alignment horizontal="right"/>
    </xf>
    <xf numFmtId="166" fontId="7" fillId="0" borderId="0" xfId="2" applyNumberFormat="1" applyFont="1" applyFill="1" applyBorder="1" applyAlignment="1">
      <alignment horizontal="right"/>
    </xf>
    <xf numFmtId="166" fontId="2" fillId="0" borderId="0" xfId="2" applyNumberFormat="1" applyFont="1" applyFill="1" applyBorder="1" applyAlignment="1">
      <alignment horizontal="left"/>
    </xf>
    <xf numFmtId="166" fontId="5" fillId="0" borderId="0" xfId="2" applyNumberFormat="1" applyFont="1" applyFill="1" applyBorder="1" applyAlignment="1">
      <alignment horizontal="left"/>
    </xf>
    <xf numFmtId="0" fontId="2" fillId="0" borderId="0" xfId="0" applyFont="1" applyFill="1" applyBorder="1" applyAlignment="1">
      <alignment horizontal="center"/>
    </xf>
    <xf numFmtId="166" fontId="2" fillId="0" borderId="19" xfId="2" applyNumberFormat="1" applyFill="1" applyBorder="1" applyAlignment="1">
      <alignment horizontal="left"/>
    </xf>
    <xf numFmtId="3" fontId="0" fillId="0" borderId="0" xfId="0" applyNumberFormat="1" applyFill="1" applyBorder="1" applyAlignment="1">
      <alignment horizontal="left"/>
    </xf>
    <xf numFmtId="3" fontId="1" fillId="0" borderId="0" xfId="0" applyNumberFormat="1" applyFont="1" applyFill="1" applyBorder="1" applyAlignment="1">
      <alignment horizontal="left"/>
    </xf>
    <xf numFmtId="166" fontId="3" fillId="0" borderId="0" xfId="2" applyNumberFormat="1" applyFont="1" applyFill="1" applyBorder="1" applyAlignment="1">
      <alignment horizontal="center"/>
    </xf>
    <xf numFmtId="166" fontId="3" fillId="0" borderId="0" xfId="2" applyNumberFormat="1" applyFont="1" applyFill="1" applyBorder="1" applyAlignment="1">
      <alignment horizontal="left"/>
    </xf>
    <xf numFmtId="166" fontId="2" fillId="0" borderId="18" xfId="2" applyNumberFormat="1" applyFont="1" applyFill="1" applyBorder="1" applyAlignment="1">
      <alignment horizontal="right"/>
    </xf>
    <xf numFmtId="166" fontId="3" fillId="0" borderId="5" xfId="2" applyNumberFormat="1" applyFont="1" applyFill="1" applyBorder="1" applyAlignment="1">
      <alignment horizontal="right"/>
    </xf>
    <xf numFmtId="0" fontId="2" fillId="0" borderId="6" xfId="0" applyFont="1" applyFill="1" applyBorder="1" applyAlignment="1">
      <alignment horizontal="left" indent="1"/>
    </xf>
    <xf numFmtId="10" fontId="2" fillId="0" borderId="7" xfId="0" applyNumberFormat="1" applyFont="1" applyFill="1" applyBorder="1" applyAlignment="1">
      <alignment wrapText="1"/>
    </xf>
    <xf numFmtId="0" fontId="2" fillId="0" borderId="0" xfId="0" quotePrefix="1" applyFont="1" applyFill="1" applyBorder="1" applyAlignment="1"/>
    <xf numFmtId="166" fontId="12" fillId="0" borderId="0" xfId="2" applyNumberFormat="1" applyFont="1" applyFill="1" applyBorder="1" applyAlignment="1">
      <alignment horizontal="right"/>
    </xf>
    <xf numFmtId="169" fontId="2" fillId="4" borderId="0" xfId="4" applyNumberFormat="1" applyFill="1"/>
    <xf numFmtId="0" fontId="1" fillId="4" borderId="0" xfId="4" quotePrefix="1" applyNumberFormat="1" applyFont="1" applyFill="1" applyBorder="1" applyAlignment="1">
      <alignment horizontal="right"/>
    </xf>
    <xf numFmtId="169" fontId="2" fillId="4" borderId="0" xfId="4" applyNumberFormat="1" applyFill="1" applyAlignment="1">
      <alignment horizontal="right"/>
    </xf>
    <xf numFmtId="169" fontId="7" fillId="4" borderId="0" xfId="4" applyNumberFormat="1" applyFont="1" applyFill="1"/>
    <xf numFmtId="169" fontId="2" fillId="4" borderId="0" xfId="4" applyNumberFormat="1" applyFont="1" applyFill="1"/>
    <xf numFmtId="0" fontId="2" fillId="5" borderId="0" xfId="4" applyFill="1"/>
    <xf numFmtId="0" fontId="2" fillId="5" borderId="0" xfId="4" applyFont="1" applyFill="1"/>
    <xf numFmtId="0" fontId="1" fillId="5" borderId="3" xfId="4" applyFont="1" applyFill="1" applyBorder="1"/>
    <xf numFmtId="0" fontId="1" fillId="5" borderId="17" xfId="4" applyFont="1" applyFill="1" applyBorder="1" applyAlignment="1">
      <alignment horizontal="right"/>
    </xf>
    <xf numFmtId="0" fontId="1" fillId="5" borderId="17" xfId="4" applyFont="1" applyFill="1" applyBorder="1" applyAlignment="1">
      <alignment horizontal="right" wrapText="1"/>
    </xf>
    <xf numFmtId="0" fontId="1" fillId="6" borderId="3" xfId="4" applyFont="1" applyFill="1" applyBorder="1" applyAlignment="1">
      <alignment horizontal="right"/>
    </xf>
    <xf numFmtId="0" fontId="1" fillId="6" borderId="3" xfId="4" applyFont="1" applyFill="1" applyBorder="1"/>
    <xf numFmtId="0" fontId="1" fillId="6" borderId="17" xfId="4" applyFont="1" applyFill="1" applyBorder="1" applyAlignment="1">
      <alignment horizontal="right" wrapText="1"/>
    </xf>
    <xf numFmtId="0" fontId="1" fillId="0" borderId="0" xfId="4" quotePrefix="1" applyNumberFormat="1" applyFont="1" applyFill="1" applyBorder="1" applyAlignment="1">
      <alignment horizontal="right"/>
    </xf>
    <xf numFmtId="0" fontId="1" fillId="3" borderId="0" xfId="0" applyFont="1" applyFill="1" applyAlignment="1">
      <alignment horizontal="left" indent="1"/>
    </xf>
    <xf numFmtId="0" fontId="0" fillId="0" borderId="21" xfId="0" applyFill="1" applyBorder="1" applyAlignment="1">
      <alignment horizontal="left"/>
    </xf>
    <xf numFmtId="0" fontId="0" fillId="0" borderId="0" xfId="0" applyFill="1" applyBorder="1" applyAlignment="1">
      <alignment horizontal="left"/>
    </xf>
    <xf numFmtId="0" fontId="2" fillId="0" borderId="0" xfId="0" applyFont="1" applyFill="1" applyBorder="1" applyAlignment="1">
      <alignment horizontal="left"/>
    </xf>
    <xf numFmtId="0" fontId="8" fillId="0" borderId="0" xfId="4" applyFont="1"/>
    <xf numFmtId="171" fontId="0" fillId="0" borderId="1" xfId="0" applyNumberFormat="1" applyBorder="1" applyAlignment="1">
      <alignment horizontal="center"/>
    </xf>
    <xf numFmtId="171" fontId="2" fillId="0" borderId="15" xfId="2" applyNumberFormat="1" applyFont="1" applyFill="1" applyBorder="1" applyAlignment="1">
      <alignment horizontal="right"/>
    </xf>
    <xf numFmtId="171" fontId="2" fillId="0" borderId="0" xfId="2" applyNumberFormat="1" applyFont="1" applyFill="1" applyBorder="1" applyAlignment="1">
      <alignment horizontal="right"/>
    </xf>
    <xf numFmtId="1" fontId="2" fillId="0" borderId="0" xfId="2" applyNumberFormat="1" applyFill="1" applyBorder="1" applyAlignment="1">
      <alignment horizontal="left" vertical="top" wrapText="1"/>
    </xf>
    <xf numFmtId="0" fontId="0" fillId="0" borderId="1" xfId="0" applyNumberFormat="1" applyBorder="1" applyAlignment="1">
      <alignment horizontal="center"/>
    </xf>
    <xf numFmtId="0" fontId="13" fillId="0" borderId="1" xfId="0" applyNumberFormat="1" applyFont="1" applyBorder="1" applyAlignment="1">
      <alignment horizontal="center"/>
    </xf>
    <xf numFmtId="1" fontId="13" fillId="0" borderId="1" xfId="0" applyNumberFormat="1" applyFont="1" applyBorder="1" applyAlignment="1">
      <alignment horizontal="center"/>
    </xf>
    <xf numFmtId="170" fontId="13" fillId="0" borderId="0" xfId="2" applyNumberFormat="1" applyFont="1" applyFill="1" applyBorder="1" applyAlignment="1">
      <alignment horizontal="center"/>
    </xf>
    <xf numFmtId="0" fontId="2" fillId="7" borderId="0" xfId="4" applyFill="1"/>
    <xf numFmtId="0" fontId="1" fillId="7" borderId="3" xfId="4" applyFont="1" applyFill="1" applyBorder="1"/>
    <xf numFmtId="0" fontId="1" fillId="7" borderId="17" xfId="4" applyFont="1" applyFill="1" applyBorder="1" applyAlignment="1">
      <alignment horizontal="right" wrapText="1"/>
    </xf>
    <xf numFmtId="0" fontId="1" fillId="0" borderId="3" xfId="4" applyFont="1" applyFill="1" applyBorder="1"/>
    <xf numFmtId="0" fontId="1" fillId="0" borderId="17" xfId="4" applyFont="1" applyFill="1" applyBorder="1" applyAlignment="1">
      <alignment horizontal="right" wrapText="1"/>
    </xf>
    <xf numFmtId="0" fontId="13" fillId="0" borderId="1" xfId="0" applyFont="1" applyBorder="1" applyAlignment="1">
      <alignment horizontal="center"/>
    </xf>
    <xf numFmtId="0" fontId="13" fillId="0" borderId="18" xfId="0" applyFont="1" applyBorder="1" applyAlignment="1">
      <alignment horizontal="center"/>
    </xf>
    <xf numFmtId="166" fontId="1" fillId="2" borderId="1" xfId="2" applyNumberFormat="1" applyFont="1" applyFill="1" applyBorder="1" applyAlignment="1">
      <alignment horizontal="right"/>
    </xf>
    <xf numFmtId="0" fontId="1" fillId="2" borderId="6" xfId="0" applyFont="1" applyFill="1" applyBorder="1" applyAlignment="1">
      <alignment horizontal="left" indent="1"/>
    </xf>
    <xf numFmtId="0" fontId="2" fillId="0" borderId="6" xfId="0" applyFont="1" applyBorder="1" applyAlignment="1">
      <alignment horizontal="left" indent="1"/>
    </xf>
    <xf numFmtId="0" fontId="1" fillId="0" borderId="6" xfId="0" applyFont="1" applyFill="1" applyBorder="1" applyAlignment="1">
      <alignment horizontal="left" indent="1"/>
    </xf>
    <xf numFmtId="0" fontId="2" fillId="0" borderId="23" xfId="0" applyFont="1" applyFill="1" applyBorder="1" applyAlignment="1">
      <alignment horizontal="left" indent="1"/>
    </xf>
    <xf numFmtId="0" fontId="13" fillId="0" borderId="1" xfId="0" applyFont="1" applyFill="1" applyBorder="1" applyAlignment="1">
      <alignment horizontal="center"/>
    </xf>
    <xf numFmtId="0" fontId="2" fillId="0" borderId="0" xfId="0" applyFont="1" applyAlignment="1">
      <alignment horizontal="right" indent="1"/>
    </xf>
    <xf numFmtId="0" fontId="13" fillId="0" borderId="25" xfId="0" applyFont="1" applyBorder="1" applyAlignment="1">
      <alignment horizontal="center"/>
    </xf>
    <xf numFmtId="0" fontId="2" fillId="0" borderId="24" xfId="0" applyFont="1" applyBorder="1" applyAlignment="1">
      <alignment horizontal="center"/>
    </xf>
    <xf numFmtId="166" fontId="2" fillId="0" borderId="0" xfId="2" applyNumberFormat="1" applyAlignment="1">
      <alignment horizontal="center"/>
    </xf>
    <xf numFmtId="166" fontId="1" fillId="0" borderId="0" xfId="2" applyNumberFormat="1" applyFont="1" applyAlignment="1">
      <alignment horizontal="center"/>
    </xf>
    <xf numFmtId="166" fontId="2" fillId="0" borderId="1" xfId="2" applyNumberFormat="1" applyFill="1" applyBorder="1" applyAlignment="1">
      <alignment horizontal="center"/>
    </xf>
    <xf numFmtId="166" fontId="2" fillId="0" borderId="1" xfId="2" applyNumberFormat="1" applyFont="1" applyFill="1" applyBorder="1" applyAlignment="1">
      <alignment horizontal="center"/>
    </xf>
    <xf numFmtId="37" fontId="13" fillId="0" borderId="1" xfId="2" applyNumberFormat="1" applyFont="1" applyFill="1" applyBorder="1" applyAlignment="1">
      <alignment horizontal="center"/>
    </xf>
    <xf numFmtId="166" fontId="2" fillId="0" borderId="18" xfId="2" applyNumberFormat="1" applyFont="1" applyFill="1" applyBorder="1" applyAlignment="1">
      <alignment horizontal="center"/>
    </xf>
    <xf numFmtId="0" fontId="1" fillId="3" borderId="6" xfId="0" applyFont="1" applyFill="1" applyBorder="1" applyAlignment="1">
      <alignment horizontal="left" indent="1"/>
    </xf>
    <xf numFmtId="0" fontId="13" fillId="3" borderId="1" xfId="0" applyFont="1" applyFill="1" applyBorder="1" applyAlignment="1">
      <alignment horizontal="center"/>
    </xf>
    <xf numFmtId="166" fontId="2" fillId="3" borderId="15" xfId="2" applyNumberFormat="1" applyFont="1" applyFill="1" applyBorder="1" applyAlignment="1">
      <alignment horizontal="right"/>
    </xf>
    <xf numFmtId="166" fontId="7" fillId="0" borderId="25" xfId="2" applyNumberFormat="1" applyFont="1" applyFill="1" applyBorder="1" applyAlignment="1">
      <alignment horizontal="right"/>
    </xf>
    <xf numFmtId="166" fontId="2" fillId="0" borderId="26" xfId="2" applyNumberFormat="1" applyFont="1" applyFill="1" applyBorder="1" applyAlignment="1">
      <alignment horizontal="right"/>
    </xf>
    <xf numFmtId="171" fontId="7" fillId="0" borderId="25" xfId="2" applyNumberFormat="1" applyFont="1" applyFill="1" applyBorder="1" applyAlignment="1">
      <alignment horizontal="right"/>
    </xf>
    <xf numFmtId="1" fontId="13" fillId="0" borderId="26" xfId="0" applyNumberFormat="1" applyFont="1" applyBorder="1" applyAlignment="1">
      <alignment horizontal="center"/>
    </xf>
    <xf numFmtId="171" fontId="0" fillId="0" borderId="26" xfId="0" applyNumberFormat="1" applyBorder="1" applyAlignment="1">
      <alignment horizontal="center"/>
    </xf>
    <xf numFmtId="166" fontId="1" fillId="0" borderId="26" xfId="2" applyNumberFormat="1" applyFont="1" applyFill="1" applyBorder="1" applyAlignment="1">
      <alignment horizontal="right"/>
    </xf>
    <xf numFmtId="0" fontId="2" fillId="0" borderId="18" xfId="0" applyFont="1" applyBorder="1" applyAlignment="1">
      <alignment horizontal="center"/>
    </xf>
    <xf numFmtId="0" fontId="2" fillId="0" borderId="18" xfId="0" applyFont="1" applyFill="1" applyBorder="1" applyAlignment="1">
      <alignment horizontal="center"/>
    </xf>
    <xf numFmtId="166" fontId="13" fillId="0" borderId="1" xfId="2" applyNumberFormat="1" applyFont="1" applyFill="1" applyBorder="1" applyAlignment="1">
      <alignment horizontal="center"/>
    </xf>
    <xf numFmtId="166" fontId="1" fillId="3" borderId="3" xfId="2" applyNumberFormat="1" applyFont="1" applyFill="1" applyBorder="1" applyAlignment="1">
      <alignment horizontal="center" wrapText="1"/>
    </xf>
    <xf numFmtId="166" fontId="2" fillId="0" borderId="0" xfId="2" applyNumberFormat="1" applyFont="1" applyFill="1" applyBorder="1" applyAlignment="1">
      <alignment horizontal="center"/>
    </xf>
    <xf numFmtId="166" fontId="2" fillId="0" borderId="25" xfId="2" applyNumberFormat="1" applyFont="1" applyFill="1" applyBorder="1" applyAlignment="1">
      <alignment horizontal="left"/>
    </xf>
    <xf numFmtId="0" fontId="0" fillId="3" borderId="1" xfId="0" applyFill="1" applyBorder="1" applyAlignment="1">
      <alignment horizontal="center"/>
    </xf>
    <xf numFmtId="166" fontId="2" fillId="3" borderId="1" xfId="2" applyNumberFormat="1" applyFill="1" applyBorder="1" applyAlignment="1">
      <alignment horizontal="center"/>
    </xf>
    <xf numFmtId="0" fontId="0" fillId="3" borderId="0" xfId="0" applyFill="1"/>
    <xf numFmtId="166" fontId="2" fillId="0" borderId="0" xfId="2" applyNumberFormat="1" applyFill="1"/>
    <xf numFmtId="0" fontId="2" fillId="0" borderId="27" xfId="0" applyFont="1" applyFill="1" applyBorder="1" applyAlignment="1">
      <alignment horizontal="left" indent="1"/>
    </xf>
    <xf numFmtId="0" fontId="13" fillId="0" borderId="13" xfId="0" applyFont="1" applyFill="1" applyBorder="1" applyAlignment="1">
      <alignment horizontal="center"/>
    </xf>
    <xf numFmtId="0" fontId="0" fillId="0" borderId="13" xfId="0" applyFill="1" applyBorder="1" applyAlignment="1">
      <alignment horizontal="center"/>
    </xf>
    <xf numFmtId="166" fontId="2" fillId="0" borderId="13" xfId="2" applyNumberFormat="1" applyFill="1" applyBorder="1" applyAlignment="1">
      <alignment horizontal="center"/>
    </xf>
    <xf numFmtId="166" fontId="5" fillId="0" borderId="13" xfId="2" applyNumberFormat="1" applyFont="1" applyFill="1" applyBorder="1" applyAlignment="1">
      <alignment horizontal="left"/>
    </xf>
    <xf numFmtId="164" fontId="0" fillId="0" borderId="0" xfId="0" applyNumberFormat="1" applyFill="1" applyBorder="1" applyAlignment="1">
      <alignment horizontal="left"/>
    </xf>
    <xf numFmtId="164" fontId="1" fillId="0" borderId="0" xfId="0" applyNumberFormat="1" applyFont="1" applyFill="1" applyBorder="1" applyAlignment="1">
      <alignment horizontal="left"/>
    </xf>
    <xf numFmtId="0" fontId="2" fillId="3" borderId="31" xfId="0" applyFont="1" applyFill="1" applyBorder="1" applyAlignment="1">
      <alignment horizontal="right" indent="1"/>
    </xf>
    <xf numFmtId="166" fontId="2" fillId="3" borderId="32" xfId="2" applyNumberFormat="1" applyFont="1" applyFill="1" applyBorder="1" applyAlignment="1">
      <alignment horizontal="left"/>
    </xf>
    <xf numFmtId="0" fontId="0" fillId="3" borderId="33" xfId="0" applyFill="1" applyBorder="1" applyAlignment="1">
      <alignment horizontal="left" indent="1"/>
    </xf>
    <xf numFmtId="0" fontId="0" fillId="3" borderId="0" xfId="0" applyFill="1" applyBorder="1" applyAlignment="1">
      <alignment horizontal="center"/>
    </xf>
    <xf numFmtId="0" fontId="0" fillId="3" borderId="0" xfId="0" applyFill="1" applyBorder="1"/>
    <xf numFmtId="166" fontId="1" fillId="3" borderId="0" xfId="2" applyNumberFormat="1" applyFont="1" applyFill="1" applyBorder="1" applyAlignment="1">
      <alignment horizontal="right"/>
    </xf>
    <xf numFmtId="0" fontId="0" fillId="3" borderId="34" xfId="0" applyFill="1" applyBorder="1" applyAlignment="1">
      <alignment horizontal="left" indent="1"/>
    </xf>
    <xf numFmtId="0" fontId="0" fillId="3" borderId="17" xfId="0" applyFill="1" applyBorder="1" applyAlignment="1">
      <alignment horizontal="center"/>
    </xf>
    <xf numFmtId="0" fontId="0" fillId="3" borderId="17" xfId="0" applyFill="1" applyBorder="1"/>
    <xf numFmtId="1" fontId="13" fillId="0" borderId="13" xfId="0" applyNumberFormat="1" applyFont="1" applyBorder="1" applyAlignment="1">
      <alignment horizontal="center"/>
    </xf>
    <xf numFmtId="171" fontId="0" fillId="0" borderId="13" xfId="0" applyNumberFormat="1" applyBorder="1" applyAlignment="1">
      <alignment horizontal="center"/>
    </xf>
    <xf numFmtId="1" fontId="13" fillId="0" borderId="0" xfId="0" applyNumberFormat="1" applyFont="1" applyBorder="1" applyAlignment="1">
      <alignment horizontal="center"/>
    </xf>
    <xf numFmtId="166" fontId="1" fillId="8" borderId="3" xfId="2" applyNumberFormat="1" applyFont="1" applyFill="1" applyBorder="1" applyAlignment="1">
      <alignment horizontal="center"/>
    </xf>
    <xf numFmtId="0" fontId="6" fillId="8" borderId="28" xfId="0" applyFont="1" applyFill="1" applyBorder="1" applyAlignment="1">
      <alignment horizontal="left" indent="1"/>
    </xf>
    <xf numFmtId="0" fontId="2" fillId="8" borderId="31" xfId="0" applyFont="1" applyFill="1" applyBorder="1" applyAlignment="1">
      <alignment horizontal="left" indent="1"/>
    </xf>
    <xf numFmtId="164" fontId="0" fillId="8" borderId="0" xfId="0" applyNumberFormat="1" applyFill="1" applyBorder="1" applyAlignment="1">
      <alignment horizontal="left"/>
    </xf>
    <xf numFmtId="166" fontId="1" fillId="8" borderId="0" xfId="2" applyNumberFormat="1" applyFont="1" applyFill="1" applyBorder="1" applyAlignment="1">
      <alignment horizontal="right"/>
    </xf>
    <xf numFmtId="166" fontId="1" fillId="8" borderId="3" xfId="2" applyNumberFormat="1" applyFont="1" applyFill="1" applyBorder="1" applyAlignment="1">
      <alignment horizontal="center" wrapText="1"/>
    </xf>
    <xf numFmtId="1" fontId="13" fillId="8" borderId="29" xfId="0" applyNumberFormat="1" applyFont="1" applyFill="1" applyBorder="1" applyAlignment="1">
      <alignment horizontal="center"/>
    </xf>
    <xf numFmtId="166" fontId="2" fillId="8" borderId="29" xfId="2" applyNumberFormat="1" applyFont="1" applyFill="1" applyBorder="1" applyAlignment="1">
      <alignment horizontal="left"/>
    </xf>
    <xf numFmtId="166" fontId="2" fillId="8" borderId="30" xfId="2" applyNumberFormat="1" applyFont="1" applyFill="1" applyBorder="1" applyAlignment="1">
      <alignment horizontal="left"/>
    </xf>
    <xf numFmtId="166" fontId="2" fillId="8" borderId="36" xfId="2" applyNumberFormat="1" applyFont="1" applyFill="1" applyBorder="1" applyAlignment="1">
      <alignment horizontal="left"/>
    </xf>
    <xf numFmtId="166" fontId="2" fillId="8" borderId="37" xfId="2" applyNumberFormat="1" applyFont="1" applyFill="1" applyBorder="1" applyAlignment="1">
      <alignment horizontal="left"/>
    </xf>
    <xf numFmtId="166" fontId="2" fillId="8" borderId="38" xfId="2" applyNumberFormat="1" applyFont="1" applyFill="1" applyBorder="1" applyAlignment="1">
      <alignment horizontal="left"/>
    </xf>
    <xf numFmtId="164" fontId="0" fillId="8" borderId="33" xfId="0" applyNumberFormat="1" applyFill="1" applyBorder="1" applyAlignment="1">
      <alignment horizontal="left"/>
    </xf>
    <xf numFmtId="166" fontId="1" fillId="8" borderId="32" xfId="2" applyNumberFormat="1" applyFont="1" applyFill="1" applyBorder="1"/>
    <xf numFmtId="164" fontId="0" fillId="8" borderId="34" xfId="0" applyNumberFormat="1" applyFill="1" applyBorder="1" applyAlignment="1">
      <alignment horizontal="left"/>
    </xf>
    <xf numFmtId="164" fontId="0" fillId="8" borderId="17" xfId="0" applyNumberFormat="1" applyFill="1" applyBorder="1" applyAlignment="1">
      <alignment horizontal="left"/>
    </xf>
    <xf numFmtId="166" fontId="1" fillId="8" borderId="17" xfId="2" applyNumberFormat="1" applyFont="1" applyFill="1" applyBorder="1" applyAlignment="1">
      <alignment horizontal="right"/>
    </xf>
    <xf numFmtId="1" fontId="13" fillId="8" borderId="1" xfId="0" applyNumberFormat="1" applyFont="1" applyFill="1" applyBorder="1" applyAlignment="1">
      <alignment horizontal="center"/>
    </xf>
    <xf numFmtId="166" fontId="2" fillId="8" borderId="1" xfId="2" applyNumberFormat="1" applyFont="1" applyFill="1" applyBorder="1" applyAlignment="1">
      <alignment horizontal="left"/>
    </xf>
    <xf numFmtId="164" fontId="0" fillId="8" borderId="1" xfId="0" applyNumberFormat="1" applyFill="1" applyBorder="1" applyAlignment="1">
      <alignment horizontal="left"/>
    </xf>
    <xf numFmtId="0" fontId="13" fillId="3" borderId="0" xfId="0" applyFont="1" applyFill="1" applyBorder="1" applyAlignment="1">
      <alignment horizontal="center"/>
    </xf>
    <xf numFmtId="166" fontId="2" fillId="3" borderId="0" xfId="2" applyNumberFormat="1" applyFill="1" applyBorder="1" applyAlignment="1">
      <alignment horizontal="center"/>
    </xf>
    <xf numFmtId="0" fontId="6" fillId="3" borderId="39" xfId="0" applyFont="1" applyFill="1" applyBorder="1" applyAlignment="1">
      <alignment horizontal="left" indent="1"/>
    </xf>
    <xf numFmtId="0" fontId="13" fillId="3" borderId="29" xfId="0" applyFont="1" applyFill="1" applyBorder="1" applyAlignment="1">
      <alignment horizontal="center"/>
    </xf>
    <xf numFmtId="0" fontId="0" fillId="3" borderId="29" xfId="0" applyFill="1" applyBorder="1" applyAlignment="1">
      <alignment horizontal="center"/>
    </xf>
    <xf numFmtId="166" fontId="2" fillId="3" borderId="29" xfId="2" applyNumberFormat="1" applyFill="1" applyBorder="1" applyAlignment="1">
      <alignment horizontal="center"/>
    </xf>
    <xf numFmtId="166" fontId="5" fillId="3" borderId="30" xfId="2" applyNumberFormat="1" applyFont="1" applyFill="1" applyBorder="1" applyAlignment="1">
      <alignment horizontal="left"/>
    </xf>
    <xf numFmtId="0" fontId="2" fillId="3" borderId="33" xfId="0" applyFont="1" applyFill="1" applyBorder="1" applyAlignment="1">
      <alignment horizontal="left" indent="1"/>
    </xf>
    <xf numFmtId="166" fontId="1" fillId="3" borderId="32" xfId="2" applyNumberFormat="1" applyFont="1" applyFill="1" applyBorder="1"/>
    <xf numFmtId="166" fontId="1" fillId="3" borderId="17" xfId="2" applyNumberFormat="1" applyFont="1" applyFill="1" applyBorder="1" applyAlignment="1">
      <alignment horizontal="right"/>
    </xf>
    <xf numFmtId="166" fontId="2" fillId="3" borderId="40" xfId="2" applyNumberFormat="1" applyFont="1" applyFill="1" applyBorder="1" applyAlignment="1">
      <alignment horizontal="left"/>
    </xf>
    <xf numFmtId="166" fontId="2" fillId="3" borderId="36" xfId="2" applyNumberFormat="1" applyFont="1" applyFill="1" applyBorder="1" applyAlignment="1">
      <alignment horizontal="left"/>
    </xf>
    <xf numFmtId="166" fontId="2" fillId="3" borderId="37" xfId="2" applyNumberFormat="1" applyFont="1" applyFill="1" applyBorder="1" applyAlignment="1">
      <alignment horizontal="left"/>
    </xf>
    <xf numFmtId="166" fontId="3" fillId="3" borderId="3" xfId="2" applyNumberFormat="1" applyFont="1" applyFill="1" applyBorder="1" applyAlignment="1">
      <alignment horizontal="center"/>
    </xf>
    <xf numFmtId="0" fontId="0" fillId="0" borderId="0" xfId="0" applyNumberFormat="1" applyBorder="1" applyAlignment="1">
      <alignment horizontal="center"/>
    </xf>
    <xf numFmtId="166" fontId="2" fillId="0" borderId="0" xfId="2" applyNumberFormat="1" applyFill="1" applyBorder="1" applyAlignment="1">
      <alignment horizontal="center"/>
    </xf>
    <xf numFmtId="166" fontId="7" fillId="0" borderId="0" xfId="2" applyNumberFormat="1" applyFont="1" applyFill="1" applyBorder="1" applyAlignment="1">
      <alignment horizontal="center"/>
    </xf>
    <xf numFmtId="167" fontId="13" fillId="0" borderId="0" xfId="3" applyNumberFormat="1" applyFont="1" applyFill="1" applyBorder="1" applyAlignment="1">
      <alignment horizontal="center"/>
    </xf>
    <xf numFmtId="166" fontId="1" fillId="2" borderId="24" xfId="2" applyNumberFormat="1" applyFont="1" applyFill="1" applyBorder="1" applyAlignment="1">
      <alignment horizontal="left"/>
    </xf>
    <xf numFmtId="166" fontId="13" fillId="0" borderId="1" xfId="2" applyNumberFormat="1" applyFont="1" applyFill="1" applyBorder="1" applyAlignment="1">
      <alignment horizontal="left"/>
    </xf>
    <xf numFmtId="0" fontId="1" fillId="8" borderId="6" xfId="0" applyFont="1" applyFill="1" applyBorder="1" applyAlignment="1">
      <alignment horizontal="left" indent="1"/>
    </xf>
    <xf numFmtId="0" fontId="12" fillId="8" borderId="1" xfId="0" applyFont="1" applyFill="1" applyBorder="1" applyAlignment="1">
      <alignment horizontal="center"/>
    </xf>
    <xf numFmtId="166" fontId="1" fillId="8" borderId="1" xfId="2" applyNumberFormat="1" applyFont="1" applyFill="1" applyBorder="1" applyAlignment="1">
      <alignment horizontal="right"/>
    </xf>
    <xf numFmtId="0" fontId="5" fillId="8" borderId="1" xfId="0" applyFont="1" applyFill="1" applyBorder="1" applyAlignment="1">
      <alignment horizontal="center"/>
    </xf>
    <xf numFmtId="166" fontId="5" fillId="8" borderId="1" xfId="2" applyNumberFormat="1" applyFont="1" applyFill="1" applyBorder="1" applyAlignment="1">
      <alignment horizontal="right"/>
    </xf>
    <xf numFmtId="166" fontId="1" fillId="8" borderId="24" xfId="2" applyNumberFormat="1" applyFont="1" applyFill="1" applyBorder="1" applyAlignment="1">
      <alignment horizontal="left"/>
    </xf>
    <xf numFmtId="0" fontId="3" fillId="8" borderId="1" xfId="0" applyFont="1" applyFill="1" applyBorder="1" applyAlignment="1">
      <alignment horizontal="center"/>
    </xf>
    <xf numFmtId="166" fontId="3" fillId="8" borderId="1" xfId="2" applyNumberFormat="1" applyFont="1" applyFill="1" applyBorder="1" applyAlignment="1">
      <alignment horizontal="right"/>
    </xf>
    <xf numFmtId="169" fontId="2" fillId="0" borderId="6" xfId="0" applyNumberFormat="1" applyFont="1" applyFill="1" applyBorder="1" applyAlignment="1">
      <alignment horizontal="center"/>
    </xf>
    <xf numFmtId="166" fontId="13" fillId="6" borderId="1" xfId="2" applyNumberFormat="1" applyFont="1" applyFill="1" applyBorder="1" applyAlignment="1">
      <alignment horizontal="left"/>
    </xf>
    <xf numFmtId="44" fontId="13" fillId="6" borderId="1" xfId="2" applyNumberFormat="1" applyFont="1" applyFill="1" applyBorder="1" applyAlignment="1">
      <alignment horizontal="center"/>
    </xf>
    <xf numFmtId="37" fontId="2" fillId="3" borderId="15" xfId="2" applyNumberFormat="1" applyFont="1" applyFill="1" applyBorder="1" applyAlignment="1">
      <alignment horizontal="center"/>
    </xf>
    <xf numFmtId="166" fontId="3" fillId="8" borderId="0" xfId="2" applyNumberFormat="1" applyFont="1" applyFill="1" applyBorder="1" applyAlignment="1">
      <alignment horizontal="right"/>
    </xf>
    <xf numFmtId="166" fontId="2" fillId="8" borderId="15" xfId="2" applyNumberFormat="1" applyFont="1" applyFill="1" applyBorder="1" applyAlignment="1">
      <alignment horizontal="right"/>
    </xf>
    <xf numFmtId="171" fontId="2" fillId="8" borderId="0" xfId="2" applyNumberFormat="1" applyFont="1" applyFill="1" applyBorder="1" applyAlignment="1">
      <alignment horizontal="right"/>
    </xf>
    <xf numFmtId="166" fontId="2" fillId="0" borderId="0" xfId="2" applyNumberFormat="1" applyBorder="1"/>
    <xf numFmtId="0" fontId="2" fillId="0" borderId="7" xfId="0" applyFont="1" applyBorder="1" applyAlignment="1">
      <alignment horizontal="right" indent="1"/>
    </xf>
    <xf numFmtId="166" fontId="2" fillId="0" borderId="1" xfId="2" quotePrefix="1" applyNumberFormat="1" applyFont="1" applyFill="1" applyBorder="1" applyAlignment="1">
      <alignment horizontal="left"/>
    </xf>
    <xf numFmtId="167" fontId="2" fillId="0" borderId="1" xfId="3" applyNumberFormat="1" applyFont="1" applyFill="1" applyBorder="1" applyAlignment="1">
      <alignment horizontal="right"/>
    </xf>
    <xf numFmtId="3" fontId="4" fillId="0" borderId="0" xfId="0" applyNumberFormat="1" applyFont="1" applyBorder="1" applyAlignment="1">
      <alignment horizontal="left"/>
    </xf>
    <xf numFmtId="3" fontId="2" fillId="0" borderId="0" xfId="0" applyNumberFormat="1" applyFont="1" applyBorder="1" applyAlignment="1">
      <alignment horizontal="left"/>
    </xf>
    <xf numFmtId="0" fontId="1" fillId="0" borderId="0" xfId="0" applyFont="1" applyFill="1" applyBorder="1" applyAlignment="1">
      <alignment horizontal="left" wrapText="1"/>
    </xf>
    <xf numFmtId="3" fontId="4" fillId="0" borderId="0" xfId="0" applyNumberFormat="1" applyFont="1" applyFill="1" applyBorder="1" applyAlignment="1">
      <alignment horizontal="left"/>
    </xf>
    <xf numFmtId="3" fontId="2" fillId="0" borderId="0" xfId="0" applyNumberFormat="1" applyFont="1" applyFill="1" applyBorder="1" applyAlignment="1">
      <alignment horizontal="left"/>
    </xf>
    <xf numFmtId="0" fontId="2" fillId="0" borderId="7" xfId="0" applyFont="1" applyFill="1" applyBorder="1" applyAlignment="1">
      <alignment horizontal="right" indent="1"/>
    </xf>
    <xf numFmtId="166" fontId="2" fillId="0" borderId="0" xfId="2" quotePrefix="1" applyNumberFormat="1" applyFont="1" applyFill="1" applyBorder="1" applyAlignment="1">
      <alignment horizontal="left"/>
    </xf>
    <xf numFmtId="0" fontId="1" fillId="0" borderId="3" xfId="0" applyFont="1" applyFill="1" applyBorder="1" applyAlignment="1">
      <alignment horizontal="left" indent="1"/>
    </xf>
    <xf numFmtId="0" fontId="0" fillId="0" borderId="0" xfId="0" applyBorder="1"/>
    <xf numFmtId="0" fontId="0" fillId="0" borderId="2" xfId="0" applyBorder="1"/>
    <xf numFmtId="166" fontId="2" fillId="0" borderId="2" xfId="2" applyNumberFormat="1" applyBorder="1"/>
    <xf numFmtId="0" fontId="2" fillId="0" borderId="4" xfId="0" applyFont="1" applyFill="1" applyBorder="1" applyAlignment="1">
      <alignment horizontal="left"/>
    </xf>
    <xf numFmtId="10" fontId="2" fillId="0" borderId="1" xfId="3" applyNumberFormat="1" applyFill="1" applyBorder="1" applyAlignment="1">
      <alignment horizontal="center"/>
    </xf>
    <xf numFmtId="9" fontId="2" fillId="0" borderId="25" xfId="3" applyFont="1" applyFill="1" applyBorder="1" applyAlignment="1">
      <alignment horizontal="right"/>
    </xf>
    <xf numFmtId="0" fontId="0" fillId="0" borderId="1" xfId="0" applyBorder="1" applyAlignment="1">
      <alignment vertical="top"/>
    </xf>
    <xf numFmtId="38" fontId="0" fillId="0" borderId="1" xfId="0" applyNumberFormat="1" applyFill="1" applyBorder="1" applyAlignment="1">
      <alignment horizontal="left" vertical="top" wrapText="1"/>
    </xf>
    <xf numFmtId="166" fontId="2" fillId="0" borderId="1" xfId="2" applyNumberFormat="1" applyFont="1" applyBorder="1" applyAlignment="1">
      <alignment horizontal="left" vertical="top"/>
    </xf>
    <xf numFmtId="166" fontId="13" fillId="6" borderId="1" xfId="2" applyNumberFormat="1" applyFont="1" applyFill="1" applyBorder="1" applyAlignment="1">
      <alignment horizontal="center"/>
    </xf>
    <xf numFmtId="172" fontId="1" fillId="3" borderId="35" xfId="2" applyNumberFormat="1" applyFont="1" applyFill="1" applyBorder="1"/>
    <xf numFmtId="0" fontId="0" fillId="0" borderId="0" xfId="0" applyBorder="1" applyAlignment="1">
      <alignment horizontal="center"/>
    </xf>
    <xf numFmtId="2" fontId="13" fillId="0" borderId="1" xfId="0" applyNumberFormat="1" applyFont="1" applyBorder="1" applyAlignment="1">
      <alignment horizontal="center"/>
    </xf>
    <xf numFmtId="166" fontId="2" fillId="8" borderId="19" xfId="2" applyNumberFormat="1" applyFont="1" applyFill="1" applyBorder="1" applyAlignment="1">
      <alignment horizontal="left"/>
    </xf>
    <xf numFmtId="170" fontId="13" fillId="0" borderId="1" xfId="2" applyNumberFormat="1" applyFont="1" applyFill="1" applyBorder="1" applyAlignment="1">
      <alignment horizontal="center"/>
    </xf>
    <xf numFmtId="37" fontId="0" fillId="0" borderId="1" xfId="0" applyNumberFormat="1" applyBorder="1" applyAlignment="1">
      <alignment horizontal="center"/>
    </xf>
    <xf numFmtId="0" fontId="2" fillId="0" borderId="1" xfId="0" applyFont="1" applyBorder="1" applyAlignment="1">
      <alignment horizontal="center"/>
    </xf>
    <xf numFmtId="0" fontId="2" fillId="0" borderId="1" xfId="0" applyFont="1" applyFill="1" applyBorder="1" applyAlignment="1">
      <alignment horizontal="center"/>
    </xf>
    <xf numFmtId="0" fontId="1" fillId="2" borderId="1" xfId="0" applyFont="1" applyFill="1" applyBorder="1" applyAlignment="1">
      <alignment horizontal="center"/>
    </xf>
    <xf numFmtId="0" fontId="2" fillId="2" borderId="1" xfId="0" applyFont="1" applyFill="1" applyBorder="1" applyAlignment="1">
      <alignment horizontal="center"/>
    </xf>
    <xf numFmtId="169" fontId="2" fillId="0" borderId="1" xfId="0" applyNumberFormat="1" applyFont="1" applyFill="1" applyBorder="1" applyAlignment="1">
      <alignment horizontal="center"/>
    </xf>
    <xf numFmtId="0" fontId="2" fillId="0" borderId="0" xfId="0" quotePrefix="1" applyFont="1" applyBorder="1" applyAlignment="1">
      <alignment vertical="top" wrapText="1"/>
    </xf>
    <xf numFmtId="0" fontId="2" fillId="0" borderId="0" xfId="0" quotePrefix="1" applyFont="1" applyBorder="1" applyAlignment="1">
      <alignment horizontal="center" vertical="top" wrapText="1"/>
    </xf>
    <xf numFmtId="10" fontId="2" fillId="0" borderId="1" xfId="3" applyNumberFormat="1" applyFont="1" applyFill="1" applyBorder="1" applyAlignment="1">
      <alignment horizontal="center"/>
    </xf>
    <xf numFmtId="166" fontId="2" fillId="0" borderId="13" xfId="2" applyNumberFormat="1" applyFont="1" applyFill="1" applyBorder="1" applyAlignment="1">
      <alignment horizontal="right"/>
    </xf>
    <xf numFmtId="166" fontId="2" fillId="0" borderId="25" xfId="2" applyNumberFormat="1" applyFont="1" applyFill="1" applyBorder="1" applyAlignment="1">
      <alignment horizontal="right"/>
    </xf>
    <xf numFmtId="0" fontId="2" fillId="0" borderId="13" xfId="0" applyFont="1" applyBorder="1" applyAlignment="1">
      <alignment horizontal="center"/>
    </xf>
    <xf numFmtId="37" fontId="2" fillId="0" borderId="1" xfId="0" applyNumberFormat="1" applyFont="1" applyFill="1" applyBorder="1" applyAlignment="1">
      <alignment horizontal="center"/>
    </xf>
    <xf numFmtId="3" fontId="2" fillId="0" borderId="0" xfId="0" applyNumberFormat="1" applyFont="1" applyAlignment="1">
      <alignment horizontal="left"/>
    </xf>
    <xf numFmtId="2" fontId="2" fillId="0" borderId="0" xfId="0" applyNumberFormat="1" applyFont="1" applyBorder="1" applyAlignment="1">
      <alignment horizontal="center"/>
    </xf>
    <xf numFmtId="4" fontId="0" fillId="0" borderId="0" xfId="0" applyNumberFormat="1" applyAlignment="1">
      <alignment horizontal="center"/>
    </xf>
    <xf numFmtId="2" fontId="0" fillId="0" borderId="0" xfId="0" applyNumberFormat="1"/>
    <xf numFmtId="0" fontId="1" fillId="0" borderId="0" xfId="0" applyFont="1"/>
    <xf numFmtId="0" fontId="14" fillId="0" borderId="0" xfId="0" applyFont="1"/>
    <xf numFmtId="166" fontId="2" fillId="0" borderId="2" xfId="2" applyNumberFormat="1" applyBorder="1" applyAlignment="1">
      <alignment horizontal="center"/>
    </xf>
    <xf numFmtId="166" fontId="1" fillId="8" borderId="12" xfId="2" applyNumberFormat="1" applyFont="1" applyFill="1" applyBorder="1" applyAlignment="1">
      <alignment horizontal="center" wrapText="1"/>
    </xf>
    <xf numFmtId="166" fontId="1" fillId="3" borderId="12" xfId="2" applyNumberFormat="1" applyFont="1" applyFill="1" applyBorder="1" applyAlignment="1">
      <alignment horizontal="center" wrapText="1"/>
    </xf>
    <xf numFmtId="166" fontId="1" fillId="0" borderId="0" xfId="2" applyNumberFormat="1" applyFont="1" applyFill="1" applyBorder="1" applyAlignment="1">
      <alignment horizontal="right"/>
    </xf>
    <xf numFmtId="167" fontId="2" fillId="0" borderId="0" xfId="3" applyNumberFormat="1" applyFont="1" applyFill="1" applyBorder="1" applyAlignment="1">
      <alignment horizontal="center"/>
    </xf>
    <xf numFmtId="166" fontId="13" fillId="0" borderId="0" xfId="2" applyNumberFormat="1" applyFont="1" applyFill="1" applyBorder="1" applyAlignment="1">
      <alignment horizontal="left"/>
    </xf>
    <xf numFmtId="166" fontId="1" fillId="0" borderId="0" xfId="2" applyNumberFormat="1" applyFont="1" applyFill="1" applyBorder="1" applyAlignment="1">
      <alignment horizontal="left"/>
    </xf>
    <xf numFmtId="0" fontId="0" fillId="0" borderId="27" xfId="0" applyBorder="1" applyAlignment="1">
      <alignment horizontal="left" indent="1"/>
    </xf>
    <xf numFmtId="166" fontId="2" fillId="0" borderId="13" xfId="2" applyNumberFormat="1" applyFill="1" applyBorder="1" applyAlignment="1">
      <alignment horizontal="right"/>
    </xf>
    <xf numFmtId="166" fontId="2" fillId="0" borderId="13" xfId="2" applyNumberFormat="1" applyBorder="1"/>
    <xf numFmtId="166" fontId="2" fillId="0" borderId="13" xfId="2" applyNumberFormat="1" applyFill="1" applyBorder="1" applyAlignment="1">
      <alignment horizontal="left"/>
    </xf>
    <xf numFmtId="0" fontId="1" fillId="0" borderId="42" xfId="0" applyFont="1" applyBorder="1" applyAlignment="1">
      <alignment horizontal="left" indent="1"/>
    </xf>
    <xf numFmtId="0" fontId="2" fillId="0" borderId="25" xfId="0" applyFont="1" applyBorder="1" applyAlignment="1">
      <alignment horizontal="center"/>
    </xf>
    <xf numFmtId="166" fontId="2" fillId="0" borderId="25" xfId="2" applyNumberFormat="1" applyFill="1" applyBorder="1" applyAlignment="1">
      <alignment horizontal="left"/>
    </xf>
    <xf numFmtId="166" fontId="2" fillId="0" borderId="25" xfId="2" applyNumberFormat="1" applyBorder="1" applyAlignment="1">
      <alignment horizontal="left"/>
    </xf>
    <xf numFmtId="0" fontId="1" fillId="3" borderId="41" xfId="0" applyFont="1" applyFill="1" applyBorder="1" applyAlignment="1">
      <alignment horizontal="left" indent="1"/>
    </xf>
    <xf numFmtId="0" fontId="1" fillId="3" borderId="26" xfId="0" applyFont="1" applyFill="1" applyBorder="1" applyAlignment="1">
      <alignment horizontal="center"/>
    </xf>
    <xf numFmtId="166" fontId="1" fillId="3" borderId="26" xfId="2" applyNumberFormat="1" applyFont="1" applyFill="1" applyBorder="1" applyAlignment="1">
      <alignment horizontal="left"/>
    </xf>
    <xf numFmtId="0" fontId="0" fillId="0" borderId="13" xfId="0" applyBorder="1" applyAlignment="1">
      <alignment horizontal="center"/>
    </xf>
    <xf numFmtId="0" fontId="0" fillId="0" borderId="25" xfId="0" applyBorder="1" applyAlignment="1">
      <alignment horizontal="center"/>
    </xf>
    <xf numFmtId="0" fontId="1" fillId="8" borderId="41" xfId="0" applyFont="1" applyFill="1" applyBorder="1" applyAlignment="1">
      <alignment horizontal="left" indent="1"/>
    </xf>
    <xf numFmtId="0" fontId="0" fillId="8" borderId="26" xfId="0" applyFill="1" applyBorder="1" applyAlignment="1">
      <alignment horizontal="center"/>
    </xf>
    <xf numFmtId="166" fontId="2" fillId="8" borderId="26" xfId="2" applyNumberFormat="1" applyFill="1" applyBorder="1" applyAlignment="1">
      <alignment horizontal="right"/>
    </xf>
    <xf numFmtId="166" fontId="2" fillId="8" borderId="26" xfId="2" applyNumberFormat="1" applyFill="1" applyBorder="1"/>
    <xf numFmtId="166" fontId="2" fillId="8" borderId="26" xfId="2" applyNumberFormat="1" applyFill="1" applyBorder="1" applyAlignment="1">
      <alignment horizontal="left"/>
    </xf>
    <xf numFmtId="166" fontId="2" fillId="0" borderId="13" xfId="2" applyNumberFormat="1" applyBorder="1" applyAlignment="1">
      <alignment horizontal="right"/>
    </xf>
    <xf numFmtId="10" fontId="1" fillId="0" borderId="20" xfId="0" applyNumberFormat="1" applyFont="1" applyFill="1" applyBorder="1" applyAlignment="1">
      <alignment wrapText="1"/>
    </xf>
    <xf numFmtId="3" fontId="2" fillId="0" borderId="0" xfId="0" applyNumberFormat="1" applyFont="1" applyFill="1" applyBorder="1" applyAlignment="1"/>
    <xf numFmtId="166" fontId="1" fillId="8" borderId="11" xfId="2" applyNumberFormat="1" applyFont="1" applyFill="1" applyBorder="1" applyAlignment="1">
      <alignment wrapText="1"/>
    </xf>
    <xf numFmtId="166" fontId="1" fillId="8" borderId="12" xfId="2" applyNumberFormat="1" applyFont="1" applyFill="1" applyBorder="1" applyAlignment="1">
      <alignment wrapText="1"/>
    </xf>
    <xf numFmtId="166" fontId="2" fillId="0" borderId="25" xfId="2" quotePrefix="1" applyNumberFormat="1" applyFont="1" applyFill="1" applyBorder="1" applyAlignment="1">
      <alignment horizontal="left"/>
    </xf>
    <xf numFmtId="169" fontId="2" fillId="0" borderId="1" xfId="3" applyNumberFormat="1" applyFont="1" applyFill="1" applyBorder="1" applyAlignment="1">
      <alignment horizontal="right"/>
    </xf>
    <xf numFmtId="1" fontId="2" fillId="0" borderId="1" xfId="2" applyNumberFormat="1" applyFont="1" applyFill="1" applyBorder="1" applyAlignment="1">
      <alignment horizontal="right"/>
    </xf>
    <xf numFmtId="2" fontId="3" fillId="0" borderId="0" xfId="0" applyNumberFormat="1" applyFont="1" applyFill="1" applyBorder="1" applyAlignment="1">
      <alignment wrapText="1"/>
    </xf>
    <xf numFmtId="2" fontId="1" fillId="0" borderId="0" xfId="0" applyNumberFormat="1" applyFont="1" applyFill="1" applyBorder="1" applyAlignment="1">
      <alignment wrapText="1"/>
    </xf>
    <xf numFmtId="166" fontId="2" fillId="0" borderId="0" xfId="2" quotePrefix="1" applyNumberFormat="1" applyFill="1" applyBorder="1"/>
    <xf numFmtId="0" fontId="1" fillId="0" borderId="0" xfId="0" applyFont="1" applyFill="1" applyBorder="1" applyAlignment="1">
      <alignment horizontal="center" wrapText="1"/>
    </xf>
    <xf numFmtId="0" fontId="3" fillId="0" borderId="0" xfId="0" applyFont="1" applyFill="1" applyBorder="1" applyAlignment="1">
      <alignment horizontal="center" wrapText="1"/>
    </xf>
    <xf numFmtId="166" fontId="2" fillId="0" borderId="0" xfId="2" applyNumberFormat="1" applyFill="1" applyBorder="1"/>
    <xf numFmtId="0" fontId="0" fillId="0" borderId="22" xfId="0" applyFill="1" applyBorder="1" applyAlignment="1">
      <alignment horizontal="left"/>
    </xf>
    <xf numFmtId="3" fontId="2" fillId="0" borderId="4" xfId="0" applyNumberFormat="1" applyFont="1" applyBorder="1" applyAlignment="1">
      <alignment horizontal="left"/>
    </xf>
    <xf numFmtId="0" fontId="2" fillId="0" borderId="0" xfId="0" applyFont="1" applyBorder="1"/>
    <xf numFmtId="0" fontId="2" fillId="0" borderId="4" xfId="0" applyFont="1" applyBorder="1"/>
    <xf numFmtId="0" fontId="1" fillId="8" borderId="10" xfId="0" applyFont="1" applyFill="1" applyBorder="1" applyAlignment="1">
      <alignment horizontal="left"/>
    </xf>
    <xf numFmtId="169" fontId="2" fillId="0" borderId="25" xfId="3" applyNumberFormat="1" applyFont="1" applyFill="1" applyBorder="1" applyAlignment="1">
      <alignment horizontal="right"/>
    </xf>
    <xf numFmtId="4" fontId="8" fillId="8" borderId="10" xfId="0" applyNumberFormat="1" applyFont="1" applyFill="1" applyBorder="1" applyAlignment="1">
      <alignment horizontal="center"/>
    </xf>
    <xf numFmtId="0" fontId="15" fillId="8" borderId="21" xfId="0" applyFont="1" applyFill="1" applyBorder="1" applyAlignment="1">
      <alignment horizontal="center" wrapText="1"/>
    </xf>
    <xf numFmtId="0" fontId="15" fillId="8" borderId="0" xfId="0" applyFont="1" applyFill="1" applyBorder="1" applyAlignment="1">
      <alignment horizontal="right" wrapText="1"/>
    </xf>
    <xf numFmtId="165" fontId="15" fillId="8" borderId="0" xfId="1" applyNumberFormat="1" applyFont="1" applyFill="1" applyBorder="1" applyAlignment="1">
      <alignment horizontal="right" wrapText="1"/>
    </xf>
    <xf numFmtId="166" fontId="1" fillId="3" borderId="11" xfId="2" applyNumberFormat="1" applyFont="1" applyFill="1" applyBorder="1" applyAlignment="1">
      <alignment wrapText="1"/>
    </xf>
    <xf numFmtId="166" fontId="1" fillId="3" borderId="12" xfId="2" applyNumberFormat="1" applyFont="1" applyFill="1" applyBorder="1" applyAlignment="1">
      <alignment wrapText="1"/>
    </xf>
    <xf numFmtId="166" fontId="1" fillId="3" borderId="10" xfId="2" applyNumberFormat="1" applyFont="1" applyFill="1" applyBorder="1" applyAlignment="1">
      <alignment wrapText="1"/>
    </xf>
    <xf numFmtId="166" fontId="2" fillId="8" borderId="32" xfId="2" applyNumberFormat="1" applyFont="1" applyFill="1" applyBorder="1" applyAlignment="1">
      <alignment horizontal="left"/>
    </xf>
    <xf numFmtId="173" fontId="0" fillId="0" borderId="0" xfId="0" applyNumberFormat="1" applyAlignment="1">
      <alignment horizontal="left"/>
    </xf>
    <xf numFmtId="173" fontId="0" fillId="0" borderId="0" xfId="0" applyNumberFormat="1" applyFill="1" applyBorder="1" applyAlignment="1">
      <alignment horizontal="left"/>
    </xf>
    <xf numFmtId="173" fontId="1" fillId="0" borderId="0" xfId="0" applyNumberFormat="1" applyFont="1" applyFill="1" applyBorder="1" applyAlignment="1">
      <alignment horizontal="left"/>
    </xf>
    <xf numFmtId="173" fontId="2" fillId="0" borderId="0" xfId="0" applyNumberFormat="1" applyFont="1" applyFill="1" applyBorder="1" applyAlignment="1">
      <alignment horizontal="center"/>
    </xf>
    <xf numFmtId="173" fontId="1" fillId="0" borderId="0" xfId="2" applyNumberFormat="1" applyFont="1" applyFill="1" applyBorder="1" applyAlignment="1">
      <alignment horizontal="center" wrapText="1"/>
    </xf>
    <xf numFmtId="173" fontId="2" fillId="0" borderId="0" xfId="2" applyNumberFormat="1" applyFill="1" applyBorder="1" applyAlignment="1">
      <alignment horizontal="left"/>
    </xf>
    <xf numFmtId="173" fontId="13" fillId="0" borderId="0" xfId="2" applyNumberFormat="1" applyFont="1" applyFill="1" applyBorder="1" applyAlignment="1">
      <alignment horizontal="center"/>
    </xf>
    <xf numFmtId="173" fontId="14" fillId="0" borderId="0" xfId="2" applyNumberFormat="1" applyFont="1" applyFill="1" applyBorder="1" applyAlignment="1">
      <alignment horizontal="right"/>
    </xf>
    <xf numFmtId="173" fontId="3" fillId="0" borderId="0" xfId="2" applyNumberFormat="1" applyFont="1" applyFill="1" applyBorder="1" applyAlignment="1">
      <alignment horizontal="right"/>
    </xf>
    <xf numFmtId="173" fontId="13" fillId="0" borderId="0" xfId="2" applyNumberFormat="1" applyFont="1" applyFill="1" applyBorder="1" applyAlignment="1">
      <alignment horizontal="right"/>
    </xf>
    <xf numFmtId="173" fontId="12" fillId="0" borderId="0" xfId="2" applyNumberFormat="1" applyFont="1" applyFill="1" applyBorder="1" applyAlignment="1">
      <alignment horizontal="right"/>
    </xf>
    <xf numFmtId="173" fontId="2" fillId="0" borderId="0" xfId="2" applyNumberFormat="1" applyFont="1" applyFill="1" applyBorder="1" applyAlignment="1">
      <alignment horizontal="left"/>
    </xf>
    <xf numFmtId="173" fontId="5" fillId="0" borderId="0" xfId="2" applyNumberFormat="1" applyFont="1" applyFill="1" applyBorder="1" applyAlignment="1">
      <alignment horizontal="left"/>
    </xf>
    <xf numFmtId="173" fontId="3" fillId="0" borderId="0" xfId="2" applyNumberFormat="1" applyFont="1" applyFill="1" applyBorder="1" applyAlignment="1">
      <alignment horizontal="left"/>
    </xf>
    <xf numFmtId="173" fontId="2" fillId="0" borderId="0" xfId="2" applyNumberFormat="1" applyFill="1" applyBorder="1" applyAlignment="1">
      <alignment horizontal="left" vertical="top" wrapText="1"/>
    </xf>
    <xf numFmtId="173" fontId="0" fillId="0" borderId="0" xfId="0" applyNumberFormat="1" applyFill="1" applyBorder="1" applyAlignment="1">
      <alignment horizontal="left" vertical="top" wrapText="1"/>
    </xf>
    <xf numFmtId="173" fontId="2" fillId="0" borderId="0" xfId="2" applyNumberFormat="1" applyFont="1" applyBorder="1" applyAlignment="1">
      <alignment horizontal="left" vertical="top"/>
    </xf>
    <xf numFmtId="173" fontId="0" fillId="0" borderId="0" xfId="0" applyNumberFormat="1" applyBorder="1" applyAlignment="1">
      <alignment horizontal="left" vertical="top" wrapText="1"/>
    </xf>
    <xf numFmtId="173" fontId="2" fillId="0" borderId="0" xfId="2" applyNumberFormat="1" applyBorder="1" applyAlignment="1">
      <alignment horizontal="left" vertical="top" wrapText="1"/>
    </xf>
    <xf numFmtId="173" fontId="0" fillId="0" borderId="0" xfId="0" applyNumberFormat="1" applyAlignment="1">
      <alignment horizontal="left" vertical="top" wrapText="1"/>
    </xf>
    <xf numFmtId="166" fontId="2" fillId="0" borderId="1" xfId="0" applyNumberFormat="1" applyFont="1" applyBorder="1" applyAlignment="1">
      <alignment horizontal="center"/>
    </xf>
    <xf numFmtId="166" fontId="0" fillId="0" borderId="6" xfId="0" applyNumberFormat="1" applyBorder="1" applyAlignment="1">
      <alignment horizontal="left" indent="1"/>
    </xf>
    <xf numFmtId="0" fontId="2" fillId="0" borderId="1" xfId="0" quotePrefix="1" applyFont="1" applyFill="1" applyBorder="1" applyAlignment="1">
      <alignment horizontal="center"/>
    </xf>
    <xf numFmtId="167" fontId="13" fillId="0" borderId="1" xfId="0" applyNumberFormat="1" applyFont="1" applyFill="1" applyBorder="1" applyAlignment="1">
      <alignment horizontal="center"/>
    </xf>
    <xf numFmtId="0" fontId="13" fillId="0" borderId="13" xfId="0" applyFont="1" applyBorder="1" applyAlignment="1">
      <alignment horizontal="center"/>
    </xf>
    <xf numFmtId="166" fontId="1" fillId="0" borderId="25" xfId="2" applyNumberFormat="1" applyFont="1" applyFill="1" applyBorder="1" applyAlignment="1">
      <alignment horizontal="center"/>
    </xf>
    <xf numFmtId="166" fontId="1" fillId="3" borderId="26" xfId="2" applyNumberFormat="1" applyFont="1" applyFill="1" applyBorder="1" applyAlignment="1">
      <alignment horizontal="center"/>
    </xf>
    <xf numFmtId="166" fontId="13" fillId="0" borderId="1" xfId="2" applyNumberFormat="1" applyFont="1" applyBorder="1" applyAlignment="1">
      <alignment horizontal="left"/>
    </xf>
    <xf numFmtId="167" fontId="13" fillId="0" borderId="1" xfId="3" applyNumberFormat="1" applyFont="1" applyFill="1" applyBorder="1" applyAlignment="1">
      <alignment horizontal="right"/>
    </xf>
    <xf numFmtId="4" fontId="0" fillId="0" borderId="0" xfId="0" applyNumberFormat="1" applyAlignment="1">
      <alignment horizontal="right"/>
    </xf>
    <xf numFmtId="9" fontId="13" fillId="0" borderId="1" xfId="3" applyFont="1" applyBorder="1" applyAlignment="1">
      <alignment horizontal="right"/>
    </xf>
    <xf numFmtId="2" fontId="2" fillId="0" borderId="0" xfId="2" applyNumberFormat="1"/>
    <xf numFmtId="4" fontId="2" fillId="0" borderId="0" xfId="0" applyNumberFormat="1" applyFont="1" applyAlignment="1">
      <alignment horizontal="center"/>
    </xf>
    <xf numFmtId="2" fontId="14" fillId="9" borderId="1" xfId="0" applyNumberFormat="1" applyFont="1" applyFill="1" applyBorder="1" applyAlignment="1">
      <alignment horizontal="center"/>
    </xf>
    <xf numFmtId="3" fontId="2" fillId="0" borderId="0" xfId="0" applyNumberFormat="1" applyFont="1" applyAlignment="1">
      <alignment horizontal="right"/>
    </xf>
    <xf numFmtId="0" fontId="2" fillId="0" borderId="0" xfId="4" quotePrefix="1" applyNumberFormat="1" applyFont="1" applyFill="1" applyBorder="1" applyAlignment="1">
      <alignment horizontal="right"/>
    </xf>
    <xf numFmtId="0" fontId="2" fillId="4" borderId="0" xfId="4" quotePrefix="1" applyNumberFormat="1" applyFont="1" applyFill="1" applyBorder="1" applyAlignment="1">
      <alignment horizontal="right"/>
    </xf>
    <xf numFmtId="0" fontId="1" fillId="0" borderId="3" xfId="0" applyFont="1" applyFill="1" applyBorder="1" applyAlignment="1">
      <alignment horizontal="left" wrapText="1"/>
    </xf>
    <xf numFmtId="9" fontId="2" fillId="0" borderId="1" xfId="3" applyFont="1" applyFill="1" applyBorder="1" applyAlignment="1">
      <alignment horizontal="right"/>
    </xf>
    <xf numFmtId="166" fontId="1" fillId="8" borderId="35" xfId="2" applyNumberFormat="1" applyFont="1" applyFill="1" applyBorder="1"/>
    <xf numFmtId="0" fontId="1" fillId="0" borderId="43" xfId="0" applyFont="1" applyFill="1" applyBorder="1" applyAlignment="1">
      <alignment horizontal="left" indent="1"/>
    </xf>
    <xf numFmtId="166" fontId="3" fillId="3" borderId="20" xfId="2" applyNumberFormat="1" applyFont="1" applyFill="1" applyBorder="1" applyAlignment="1"/>
    <xf numFmtId="166" fontId="3" fillId="3" borderId="21" xfId="2" applyNumberFormat="1" applyFont="1" applyFill="1" applyBorder="1" applyAlignment="1"/>
    <xf numFmtId="3" fontId="8" fillId="8" borderId="22" xfId="0" applyNumberFormat="1" applyFont="1" applyFill="1" applyBorder="1" applyAlignment="1">
      <alignment horizontal="center"/>
    </xf>
    <xf numFmtId="169" fontId="2" fillId="0" borderId="0" xfId="2" applyNumberFormat="1" applyFont="1" applyFill="1" applyBorder="1" applyAlignment="1">
      <alignment horizontal="right"/>
    </xf>
    <xf numFmtId="166" fontId="2" fillId="0" borderId="0" xfId="2" quotePrefix="1" applyNumberFormat="1" applyFont="1" applyFill="1" applyBorder="1" applyAlignment="1"/>
    <xf numFmtId="172" fontId="2" fillId="0" borderId="0" xfId="2" applyNumberFormat="1" applyFont="1" applyFill="1" applyBorder="1" applyAlignment="1">
      <alignment horizontal="right"/>
    </xf>
    <xf numFmtId="0" fontId="2" fillId="0" borderId="0" xfId="2" applyNumberFormat="1" applyFont="1" applyFill="1" applyBorder="1" applyAlignment="1">
      <alignment horizontal="right"/>
    </xf>
    <xf numFmtId="0" fontId="2" fillId="0" borderId="20" xfId="0" applyFont="1" applyFill="1" applyBorder="1" applyAlignment="1">
      <alignment horizontal="left" indent="1"/>
    </xf>
    <xf numFmtId="166" fontId="2" fillId="0" borderId="21" xfId="2" applyNumberFormat="1" applyFont="1" applyFill="1" applyBorder="1" applyAlignment="1">
      <alignment horizontal="right"/>
    </xf>
    <xf numFmtId="166" fontId="2" fillId="0" borderId="21" xfId="2" applyNumberFormat="1" applyFont="1" applyFill="1" applyBorder="1" applyAlignment="1"/>
    <xf numFmtId="166" fontId="2" fillId="0" borderId="21" xfId="2" applyNumberFormat="1" applyFont="1" applyFill="1" applyBorder="1" applyAlignment="1">
      <alignment horizontal="left"/>
    </xf>
    <xf numFmtId="169" fontId="2" fillId="0" borderId="21" xfId="2" applyNumberFormat="1" applyFont="1" applyFill="1" applyBorder="1" applyAlignment="1">
      <alignment horizontal="right"/>
    </xf>
    <xf numFmtId="0" fontId="0" fillId="0" borderId="22" xfId="0" applyBorder="1" applyAlignment="1">
      <alignment horizontal="left"/>
    </xf>
    <xf numFmtId="0" fontId="2" fillId="0" borderId="7" xfId="0" applyFont="1" applyFill="1" applyBorder="1" applyAlignment="1">
      <alignment horizontal="left" indent="1"/>
    </xf>
    <xf numFmtId="0" fontId="0" fillId="0" borderId="4" xfId="0" applyBorder="1" applyAlignment="1">
      <alignment horizontal="left"/>
    </xf>
    <xf numFmtId="0" fontId="2" fillId="0" borderId="4" xfId="0" applyFont="1" applyBorder="1" applyAlignment="1">
      <alignment horizontal="left"/>
    </xf>
    <xf numFmtId="1" fontId="2" fillId="0" borderId="1" xfId="3" applyNumberFormat="1" applyFont="1" applyFill="1" applyBorder="1" applyAlignment="1">
      <alignment horizontal="right"/>
    </xf>
    <xf numFmtId="44" fontId="2" fillId="0" borderId="0" xfId="2" applyNumberFormat="1" applyFont="1" applyFill="1" applyBorder="1" applyAlignment="1">
      <alignment horizontal="right"/>
    </xf>
    <xf numFmtId="3" fontId="2" fillId="0" borderId="9" xfId="0" applyNumberFormat="1" applyFont="1" applyFill="1" applyBorder="1" applyAlignment="1">
      <alignment horizontal="left"/>
    </xf>
    <xf numFmtId="1" fontId="2" fillId="0" borderId="2" xfId="2" applyNumberFormat="1" applyBorder="1"/>
    <xf numFmtId="37" fontId="0" fillId="0" borderId="2" xfId="0" applyNumberFormat="1" applyBorder="1"/>
    <xf numFmtId="0" fontId="2" fillId="0" borderId="8" xfId="0" applyFont="1" applyBorder="1" applyAlignment="1">
      <alignment horizontal="left" indent="1"/>
    </xf>
    <xf numFmtId="0" fontId="2" fillId="0" borderId="0" xfId="2" applyNumberFormat="1" applyFont="1" applyFill="1" applyBorder="1" applyAlignment="1">
      <alignment horizontal="center"/>
    </xf>
    <xf numFmtId="0" fontId="3" fillId="0" borderId="15" xfId="2" applyNumberFormat="1" applyFont="1" applyFill="1" applyBorder="1" applyAlignment="1">
      <alignment horizontal="center"/>
    </xf>
    <xf numFmtId="0" fontId="3" fillId="8" borderId="15" xfId="2" applyNumberFormat="1" applyFont="1" applyFill="1" applyBorder="1" applyAlignment="1">
      <alignment horizontal="center"/>
    </xf>
    <xf numFmtId="167" fontId="2" fillId="0" borderId="13" xfId="3" applyNumberFormat="1" applyFont="1" applyFill="1" applyBorder="1" applyAlignment="1">
      <alignment horizontal="right"/>
    </xf>
    <xf numFmtId="0" fontId="15" fillId="8" borderId="0" xfId="0" applyNumberFormat="1" applyFont="1" applyFill="1" applyBorder="1" applyAlignment="1">
      <alignment horizontal="right" wrapText="1"/>
    </xf>
    <xf numFmtId="1" fontId="2" fillId="4" borderId="0" xfId="4" quotePrefix="1" applyNumberFormat="1" applyFont="1" applyFill="1" applyBorder="1" applyAlignment="1">
      <alignment horizontal="right"/>
    </xf>
    <xf numFmtId="1" fontId="2" fillId="0" borderId="0" xfId="4" quotePrefix="1" applyNumberFormat="1" applyFont="1" applyFill="1" applyBorder="1" applyAlignment="1">
      <alignment horizontal="right"/>
    </xf>
    <xf numFmtId="1" fontId="2" fillId="0" borderId="0" xfId="4" applyNumberFormat="1"/>
    <xf numFmtId="1" fontId="2" fillId="4" borderId="0" xfId="4" applyNumberFormat="1" applyFont="1" applyFill="1"/>
    <xf numFmtId="167" fontId="2" fillId="0" borderId="0" xfId="3" applyNumberFormat="1" applyFont="1" applyFill="1" applyBorder="1" applyAlignment="1">
      <alignment horizontal="right"/>
    </xf>
    <xf numFmtId="3" fontId="2" fillId="0" borderId="0" xfId="0" applyNumberFormat="1" applyFont="1" applyFill="1" applyAlignment="1">
      <alignment horizontal="left"/>
    </xf>
    <xf numFmtId="4" fontId="2" fillId="0" borderId="0" xfId="0" applyNumberFormat="1" applyFont="1" applyFill="1" applyAlignment="1">
      <alignment horizontal="center"/>
    </xf>
    <xf numFmtId="4" fontId="0" fillId="0" borderId="0" xfId="0" applyNumberFormat="1" applyFill="1" applyAlignment="1">
      <alignment horizontal="center"/>
    </xf>
    <xf numFmtId="2" fontId="1" fillId="0" borderId="1" xfId="0" applyNumberFormat="1" applyFont="1" applyFill="1" applyBorder="1" applyAlignment="1">
      <alignment horizontal="center"/>
    </xf>
    <xf numFmtId="9" fontId="16" fillId="0" borderId="0" xfId="3" applyFont="1"/>
    <xf numFmtId="1" fontId="2" fillId="4" borderId="0" xfId="4" applyNumberFormat="1" applyFill="1"/>
    <xf numFmtId="169" fontId="2" fillId="4" borderId="0" xfId="4" applyNumberFormat="1" applyFont="1" applyFill="1" applyAlignment="1">
      <alignment horizontal="right"/>
    </xf>
    <xf numFmtId="0" fontId="2" fillId="4" borderId="0" xfId="4" applyFont="1" applyFill="1"/>
    <xf numFmtId="0" fontId="0" fillId="0" borderId="0" xfId="0" applyAlignment="1">
      <alignment horizontal="right" indent="1"/>
    </xf>
    <xf numFmtId="0" fontId="1" fillId="3" borderId="12" xfId="0" applyFont="1" applyFill="1" applyBorder="1" applyAlignment="1">
      <alignment horizontal="center"/>
    </xf>
    <xf numFmtId="0" fontId="0" fillId="0" borderId="7" xfId="0" applyBorder="1"/>
    <xf numFmtId="0" fontId="0" fillId="0" borderId="8" xfId="0" applyBorder="1"/>
    <xf numFmtId="0" fontId="0" fillId="3" borderId="2" xfId="0" applyFill="1" applyBorder="1"/>
    <xf numFmtId="0" fontId="0" fillId="3" borderId="12" xfId="0" applyFill="1" applyBorder="1"/>
    <xf numFmtId="0" fontId="0" fillId="0" borderId="10" xfId="0" applyBorder="1"/>
    <xf numFmtId="0" fontId="1" fillId="3" borderId="11" xfId="0" applyFont="1" applyFill="1" applyBorder="1"/>
    <xf numFmtId="0" fontId="2" fillId="0" borderId="7" xfId="0" applyFont="1" applyBorder="1"/>
    <xf numFmtId="174" fontId="13" fillId="0" borderId="0" xfId="2" applyNumberFormat="1" applyFont="1" applyFill="1" applyBorder="1" applyAlignment="1">
      <alignment horizontal="center"/>
    </xf>
    <xf numFmtId="10" fontId="2" fillId="0" borderId="8" xfId="0" applyNumberFormat="1" applyFont="1" applyFill="1" applyBorder="1" applyAlignment="1">
      <alignment wrapText="1"/>
    </xf>
    <xf numFmtId="0" fontId="2" fillId="0" borderId="43" xfId="0" applyFont="1" applyFill="1" applyBorder="1" applyAlignment="1"/>
    <xf numFmtId="3" fontId="2" fillId="0" borderId="44" xfId="0" applyNumberFormat="1" applyFont="1" applyFill="1" applyBorder="1" applyAlignment="1"/>
    <xf numFmtId="49" fontId="2" fillId="0" borderId="44" xfId="0" applyNumberFormat="1" applyFont="1" applyFill="1" applyBorder="1" applyAlignment="1"/>
    <xf numFmtId="49" fontId="2" fillId="0" borderId="44" xfId="0" quotePrefix="1" applyNumberFormat="1" applyFont="1" applyFill="1" applyBorder="1" applyAlignment="1"/>
    <xf numFmtId="0" fontId="2" fillId="0" borderId="44" xfId="0" applyFont="1" applyFill="1" applyBorder="1" applyAlignment="1"/>
    <xf numFmtId="0" fontId="2" fillId="0" borderId="44" xfId="0" applyFont="1" applyBorder="1" applyAlignment="1"/>
    <xf numFmtId="10" fontId="1" fillId="8" borderId="20" xfId="0" applyNumberFormat="1" applyFont="1" applyFill="1" applyBorder="1" applyAlignment="1">
      <alignment wrapText="1"/>
    </xf>
    <xf numFmtId="0" fontId="1" fillId="8" borderId="21" xfId="0" applyFont="1" applyFill="1" applyBorder="1" applyAlignment="1">
      <alignment horizontal="center" wrapText="1"/>
    </xf>
    <xf numFmtId="0" fontId="1" fillId="0" borderId="21" xfId="0" applyFont="1" applyFill="1" applyBorder="1" applyAlignment="1">
      <alignment horizontal="left" wrapText="1"/>
    </xf>
    <xf numFmtId="0" fontId="1" fillId="0" borderId="22" xfId="0" applyFont="1" applyFill="1" applyBorder="1" applyAlignment="1">
      <alignment horizontal="left" wrapText="1"/>
    </xf>
    <xf numFmtId="0" fontId="15" fillId="8" borderId="2" xfId="0" applyNumberFormat="1" applyFont="1" applyFill="1" applyBorder="1" applyAlignment="1">
      <alignment horizontal="right" wrapText="1"/>
    </xf>
    <xf numFmtId="0" fontId="2" fillId="0" borderId="9" xfId="0" applyFont="1" applyBorder="1"/>
    <xf numFmtId="3" fontId="0" fillId="0" borderId="44" xfId="0" applyNumberFormat="1" applyFill="1" applyBorder="1" applyAlignment="1">
      <alignment horizontal="left"/>
    </xf>
    <xf numFmtId="0" fontId="2" fillId="0" borderId="45" xfId="0" applyFont="1" applyBorder="1" applyAlignment="1"/>
    <xf numFmtId="1" fontId="2" fillId="0" borderId="1" xfId="0" applyNumberFormat="1" applyFont="1" applyBorder="1" applyAlignment="1">
      <alignment horizontal="center"/>
    </xf>
    <xf numFmtId="0" fontId="1" fillId="0" borderId="0" xfId="0" applyFont="1" applyFill="1" applyBorder="1" applyAlignment="1">
      <alignment wrapText="1"/>
    </xf>
    <xf numFmtId="166" fontId="2" fillId="0" borderId="46" xfId="2" applyNumberFormat="1" applyFont="1" applyFill="1" applyBorder="1" applyAlignment="1">
      <alignment horizontal="right"/>
    </xf>
    <xf numFmtId="166" fontId="1" fillId="0" borderId="46" xfId="2" applyNumberFormat="1" applyFont="1" applyFill="1" applyBorder="1" applyAlignment="1">
      <alignment horizontal="right"/>
    </xf>
    <xf numFmtId="171" fontId="0" fillId="0" borderId="0" xfId="0" applyNumberFormat="1" applyBorder="1" applyAlignment="1">
      <alignment horizontal="center"/>
    </xf>
    <xf numFmtId="2" fontId="13" fillId="0" borderId="0" xfId="0" applyNumberFormat="1" applyFont="1" applyBorder="1" applyAlignment="1">
      <alignment horizontal="center"/>
    </xf>
    <xf numFmtId="1" fontId="13" fillId="0" borderId="46" xfId="0" applyNumberFormat="1" applyFont="1" applyBorder="1" applyAlignment="1">
      <alignment horizontal="center"/>
    </xf>
    <xf numFmtId="171" fontId="0" fillId="0" borderId="46" xfId="0" applyNumberFormat="1" applyBorder="1" applyAlignment="1">
      <alignment horizontal="center"/>
    </xf>
    <xf numFmtId="44" fontId="0" fillId="0" borderId="0" xfId="0" applyNumberFormat="1" applyFill="1"/>
    <xf numFmtId="166" fontId="0" fillId="0" borderId="0" xfId="0" applyNumberFormat="1" applyFill="1"/>
    <xf numFmtId="1" fontId="2" fillId="4" borderId="0" xfId="4" applyNumberFormat="1" applyFill="1" applyAlignment="1">
      <alignment horizontal="right"/>
    </xf>
    <xf numFmtId="1" fontId="2" fillId="0" borderId="0" xfId="4" applyNumberFormat="1" applyAlignment="1">
      <alignment horizontal="right"/>
    </xf>
    <xf numFmtId="169" fontId="8" fillId="0" borderId="0" xfId="4" applyNumberFormat="1" applyFont="1" applyAlignment="1">
      <alignment horizontal="right"/>
    </xf>
    <xf numFmtId="169" fontId="8" fillId="0" borderId="0" xfId="4" applyNumberFormat="1" applyFont="1"/>
    <xf numFmtId="3" fontId="0" fillId="0" borderId="2" xfId="0" applyNumberFormat="1" applyBorder="1" applyAlignment="1">
      <alignment horizontal="left"/>
    </xf>
    <xf numFmtId="0" fontId="23" fillId="0" borderId="0" xfId="0" applyFont="1" applyAlignment="1">
      <alignment horizontal="left" indent="1"/>
    </xf>
    <xf numFmtId="10" fontId="2" fillId="0" borderId="7" xfId="0" applyNumberFormat="1" applyFont="1" applyFill="1" applyBorder="1" applyAlignment="1"/>
    <xf numFmtId="0" fontId="2" fillId="0" borderId="25" xfId="2" applyNumberFormat="1" applyFont="1" applyFill="1" applyBorder="1" applyAlignment="1">
      <alignment horizontal="right"/>
    </xf>
    <xf numFmtId="1" fontId="2" fillId="0" borderId="0" xfId="2" applyNumberFormat="1" applyFont="1" applyFill="1" applyBorder="1" applyAlignment="1">
      <alignment horizontal="right"/>
    </xf>
    <xf numFmtId="165" fontId="0" fillId="3" borderId="0" xfId="1" applyNumberFormat="1" applyFont="1" applyFill="1" applyBorder="1"/>
    <xf numFmtId="165" fontId="0" fillId="3" borderId="0" xfId="1" applyNumberFormat="1" applyFont="1" applyFill="1"/>
    <xf numFmtId="166" fontId="1" fillId="8" borderId="11" xfId="2" applyNumberFormat="1" applyFont="1" applyFill="1" applyBorder="1" applyAlignment="1">
      <alignment horizontal="center" wrapText="1"/>
    </xf>
    <xf numFmtId="166" fontId="1" fillId="8" borderId="12" xfId="2" applyNumberFormat="1" applyFont="1" applyFill="1" applyBorder="1" applyAlignment="1">
      <alignment horizontal="center" wrapText="1"/>
    </xf>
    <xf numFmtId="166" fontId="1" fillId="8" borderId="20" xfId="2" applyNumberFormat="1" applyFont="1" applyFill="1" applyBorder="1" applyAlignment="1">
      <alignment horizontal="center" wrapText="1"/>
    </xf>
    <xf numFmtId="166" fontId="1" fillId="8" borderId="21" xfId="2" applyNumberFormat="1" applyFont="1" applyFill="1" applyBorder="1" applyAlignment="1">
      <alignment horizontal="center" wrapText="1"/>
    </xf>
    <xf numFmtId="166" fontId="1" fillId="3" borderId="11" xfId="2" applyNumberFormat="1" applyFont="1" applyFill="1" applyBorder="1" applyAlignment="1">
      <alignment horizontal="center" wrapText="1"/>
    </xf>
    <xf numFmtId="166" fontId="1" fillId="3" borderId="12" xfId="2" applyNumberFormat="1" applyFont="1" applyFill="1" applyBorder="1" applyAlignment="1">
      <alignment horizontal="center" wrapText="1"/>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3" borderId="10" xfId="0" applyFont="1" applyFill="1" applyBorder="1" applyAlignment="1">
      <alignment horizontal="center"/>
    </xf>
    <xf numFmtId="0" fontId="1" fillId="8" borderId="11" xfId="0" applyFont="1" applyFill="1" applyBorder="1" applyAlignment="1">
      <alignment horizontal="center"/>
    </xf>
    <xf numFmtId="0" fontId="1" fillId="8" borderId="12" xfId="0" applyFont="1" applyFill="1" applyBorder="1" applyAlignment="1">
      <alignment horizontal="center"/>
    </xf>
    <xf numFmtId="0" fontId="1" fillId="8" borderId="10" xfId="0" applyFont="1" applyFill="1" applyBorder="1" applyAlignment="1">
      <alignment horizontal="center"/>
    </xf>
    <xf numFmtId="0" fontId="2" fillId="6" borderId="0" xfId="4" applyFill="1" applyAlignment="1">
      <alignment horizontal="left"/>
    </xf>
    <xf numFmtId="168" fontId="2" fillId="6" borderId="0" xfId="5" applyFont="1" applyFill="1" applyAlignment="1">
      <alignment horizontal="left"/>
    </xf>
    <xf numFmtId="0" fontId="9" fillId="6" borderId="0" xfId="6" applyFill="1" applyAlignment="1" applyProtection="1">
      <alignment horizontal="left"/>
    </xf>
  </cellXfs>
  <cellStyles count="8">
    <cellStyle name="Comma" xfId="1" builtinId="3"/>
    <cellStyle name="Currency" xfId="2" builtinId="4"/>
    <cellStyle name="Hyperlink" xfId="6" builtinId="8"/>
    <cellStyle name="Normal" xfId="0" builtinId="0"/>
    <cellStyle name="Normal 2" xfId="5"/>
    <cellStyle name="Normal_Cost indices" xfId="4"/>
    <cellStyle name="Percent" xfId="3" builtinId="5"/>
    <cellStyle name="Style 1"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66"/>
      <color rgb="FF0070C0"/>
      <color rgb="FFCCFFFF"/>
      <color rgb="FFFF7C80"/>
      <color rgb="FFCCFF33"/>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Reference Plant Overnight Installed Costs</a:t>
            </a:r>
          </a:p>
        </c:rich>
      </c:tx>
      <c:layout>
        <c:manualLayout>
          <c:xMode val="edge"/>
          <c:yMode val="edge"/>
          <c:x val="0.3088329362282774"/>
          <c:y val="0.94242933391483164"/>
        </c:manualLayout>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'SAM Exchange'!$B$26:$B$39</c:f>
              <c:strCache>
                <c:ptCount val="14"/>
                <c:pt idx="0">
                  <c:v>Site Improvements</c:v>
                </c:pt>
                <c:pt idx="1">
                  <c:v>Heliostat Field</c:v>
                </c:pt>
                <c:pt idx="2">
                  <c:v>Tower</c:v>
                </c:pt>
                <c:pt idx="3">
                  <c:v>Receiver</c:v>
                </c:pt>
                <c:pt idx="4">
                  <c:v>Thermal Energy Storage</c:v>
                </c:pt>
                <c:pt idx="5">
                  <c:v>Fossil Backup</c:v>
                </c:pt>
                <c:pt idx="6">
                  <c:v>Balance of Plant</c:v>
                </c:pt>
                <c:pt idx="7">
                  <c:v>Power Plant</c:v>
                </c:pt>
                <c:pt idx="8">
                  <c:v>Contingency</c:v>
                </c:pt>
                <c:pt idx="9">
                  <c:v>Total Direct Costs</c:v>
                </c:pt>
                <c:pt idx="10">
                  <c:v>Indirect Capital Cost Summary</c:v>
                </c:pt>
                <c:pt idx="11">
                  <c:v>EPC and Owner Costs</c:v>
                </c:pt>
                <c:pt idx="12">
                  <c:v>Land</c:v>
                </c:pt>
                <c:pt idx="13">
                  <c:v>DC's Sales Tax </c:v>
                </c:pt>
              </c:strCache>
            </c:strRef>
          </c:cat>
          <c:val>
            <c:numRef>
              <c:f>'SAM Exchange'!$D$26:$D$39</c:f>
              <c:numCache>
                <c:formatCode>_("$"* #,##0_);_("$"* \(#,##0\);_("$"* "-"??_);_(@_)</c:formatCode>
                <c:ptCount val="14"/>
                <c:pt idx="0">
                  <c:v>10994540</c:v>
                </c:pt>
                <c:pt idx="1">
                  <c:v>233500000</c:v>
                </c:pt>
                <c:pt idx="2">
                  <c:v>28500000</c:v>
                </c:pt>
                <c:pt idx="3">
                  <c:v>97020000</c:v>
                </c:pt>
                <c:pt idx="4">
                  <c:v>73600000</c:v>
                </c:pt>
                <c:pt idx="5">
                  <c:v>0</c:v>
                </c:pt>
                <c:pt idx="6">
                  <c:v>40770000</c:v>
                </c:pt>
                <c:pt idx="7">
                  <c:v>138050000</c:v>
                </c:pt>
                <c:pt idx="8">
                  <c:v>43570000</c:v>
                </c:pt>
                <c:pt idx="11">
                  <c:v>73260000</c:v>
                </c:pt>
                <c:pt idx="12">
                  <c:v>10180000</c:v>
                </c:pt>
                <c:pt idx="13">
                  <c:v>26049000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txPr>
    <a:bodyPr/>
    <a:lstStyle/>
    <a:p>
      <a:pPr>
        <a:defRPr sz="1400"/>
      </a:pPr>
      <a:endParaRPr lang="en-US"/>
    </a:p>
  </c:txPr>
  <c:printSettings>
    <c:headerFooter/>
    <c:pageMargins b="0.75000000000001232" l="0.70000000000000062" r="0.70000000000000062" t="0.750000000000012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 Plant Overnight Installed Costs</a:t>
            </a:r>
          </a:p>
        </c:rich>
      </c:tx>
      <c:layout>
        <c:manualLayout>
          <c:xMode val="edge"/>
          <c:yMode val="edge"/>
          <c:x val="0.30883293622827751"/>
          <c:y val="0.94242933391483164"/>
        </c:manualLayout>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'SAM Exchange'!$B$26:$B$39</c:f>
              <c:strCache>
                <c:ptCount val="14"/>
                <c:pt idx="0">
                  <c:v>Site Improvements</c:v>
                </c:pt>
                <c:pt idx="1">
                  <c:v>Heliostat Field</c:v>
                </c:pt>
                <c:pt idx="2">
                  <c:v>Tower</c:v>
                </c:pt>
                <c:pt idx="3">
                  <c:v>Receiver</c:v>
                </c:pt>
                <c:pt idx="4">
                  <c:v>Thermal Energy Storage</c:v>
                </c:pt>
                <c:pt idx="5">
                  <c:v>Fossil Backup</c:v>
                </c:pt>
                <c:pt idx="6">
                  <c:v>Balance of Plant</c:v>
                </c:pt>
                <c:pt idx="7">
                  <c:v>Power Plant</c:v>
                </c:pt>
                <c:pt idx="8">
                  <c:v>Contingency</c:v>
                </c:pt>
                <c:pt idx="9">
                  <c:v>Total Direct Costs</c:v>
                </c:pt>
                <c:pt idx="10">
                  <c:v>Indirect Capital Cost Summary</c:v>
                </c:pt>
                <c:pt idx="11">
                  <c:v>EPC and Owner Costs</c:v>
                </c:pt>
                <c:pt idx="12">
                  <c:v>Land</c:v>
                </c:pt>
                <c:pt idx="13">
                  <c:v>DC's Sales Tax </c:v>
                </c:pt>
              </c:strCache>
            </c:strRef>
          </c:cat>
          <c:val>
            <c:numRef>
              <c:f>'SAM Exchange'!$H$26:$H$39</c:f>
              <c:numCache>
                <c:formatCode>_("$"* #,##0_);_("$"* \(#,##0\);_("$"* "-"??_);_(@_)</c:formatCode>
                <c:ptCount val="14"/>
                <c:pt idx="0">
                  <c:v>21476402.957405958</c:v>
                </c:pt>
                <c:pt idx="1">
                  <c:v>233500000</c:v>
                </c:pt>
                <c:pt idx="2">
                  <c:v>29791687.394565113</c:v>
                </c:pt>
                <c:pt idx="3">
                  <c:v>85113356.703562126</c:v>
                </c:pt>
                <c:pt idx="4">
                  <c:v>76248130.198917732</c:v>
                </c:pt>
                <c:pt idx="5">
                  <c:v>0</c:v>
                </c:pt>
                <c:pt idx="6">
                  <c:v>40770000</c:v>
                </c:pt>
                <c:pt idx="7">
                  <c:v>138050000</c:v>
                </c:pt>
                <c:pt idx="8">
                  <c:v>43746470.407811575</c:v>
                </c:pt>
                <c:pt idx="11">
                  <c:v>73526904.896417603</c:v>
                </c:pt>
                <c:pt idx="12">
                  <c:v>19530000</c:v>
                </c:pt>
                <c:pt idx="13">
                  <c:v>26201303.400105271</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txPr>
    <a:bodyPr/>
    <a:lstStyle/>
    <a:p>
      <a:pPr>
        <a:defRPr sz="1400"/>
      </a:pPr>
      <a:endParaRPr lang="en-US"/>
    </a:p>
  </c:tx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 Indices History</a:t>
            </a:r>
          </a:p>
        </c:rich>
      </c:tx>
      <c:layout/>
      <c:overlay val="1"/>
    </c:title>
    <c:autoTitleDeleted val="0"/>
    <c:plotArea>
      <c:layout>
        <c:manualLayout>
          <c:layoutTarget val="inner"/>
          <c:xMode val="edge"/>
          <c:yMode val="edge"/>
          <c:x val="8.0564784053156147E-2"/>
          <c:y val="9.8633420822397247E-2"/>
          <c:w val="0.68936903235934088"/>
          <c:h val="0.81402401972480765"/>
        </c:manualLayout>
      </c:layout>
      <c:lineChart>
        <c:grouping val="standard"/>
        <c:varyColors val="0"/>
        <c:ser>
          <c:idx val="0"/>
          <c:order val="0"/>
          <c:tx>
            <c:strRef>
              <c:f>CI!$B$6</c:f>
              <c:strCache>
                <c:ptCount val="1"/>
                <c:pt idx="0">
                  <c:v>CE INDEX</c:v>
                </c:pt>
              </c:strCache>
            </c:strRef>
          </c:tx>
          <c:spPr>
            <a:ln w="31750">
              <a:solidFill>
                <a:srgbClr val="000080"/>
              </a:solidFill>
              <a:prstDash val="solid"/>
            </a:ln>
          </c:spPr>
          <c:marker>
            <c:symbol val="diamond"/>
            <c:size val="5"/>
            <c:spPr>
              <a:solidFill>
                <a:srgbClr val="000080"/>
              </a:solidFill>
              <a:ln>
                <a:solidFill>
                  <a:srgbClr val="000080"/>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CI!$B$7:$B$23</c:f>
              <c:numCache>
                <c:formatCode>0.0</c:formatCode>
                <c:ptCount val="17"/>
                <c:pt idx="0">
                  <c:v>389.5</c:v>
                </c:pt>
                <c:pt idx="1">
                  <c:v>390.6</c:v>
                </c:pt>
                <c:pt idx="2">
                  <c:v>394.1</c:v>
                </c:pt>
                <c:pt idx="3">
                  <c:v>394.3</c:v>
                </c:pt>
                <c:pt idx="4">
                  <c:v>395.6</c:v>
                </c:pt>
                <c:pt idx="5">
                  <c:v>402.08333333333331</c:v>
                </c:pt>
                <c:pt idx="6">
                  <c:v>444.22500000000002</c:v>
                </c:pt>
                <c:pt idx="7">
                  <c:v>468.16666666666669</c:v>
                </c:pt>
                <c:pt idx="8">
                  <c:v>499.55</c:v>
                </c:pt>
                <c:pt idx="9">
                  <c:v>525.41666666666663</c:v>
                </c:pt>
                <c:pt idx="10">
                  <c:v>575.4</c:v>
                </c:pt>
                <c:pt idx="11">
                  <c:v>521.92499999999984</c:v>
                </c:pt>
                <c:pt idx="12">
                  <c:v>550.80833333333339</c:v>
                </c:pt>
                <c:pt idx="13">
                  <c:v>585.98333333333346</c:v>
                </c:pt>
                <c:pt idx="14">
                  <c:v>593.79999999999995</c:v>
                </c:pt>
                <c:pt idx="15">
                  <c:v>0</c:v>
                </c:pt>
                <c:pt idx="16">
                  <c:v>0</c:v>
                </c:pt>
              </c:numCache>
            </c:numRef>
          </c:val>
          <c:smooth val="0"/>
        </c:ser>
        <c:ser>
          <c:idx val="1"/>
          <c:order val="1"/>
          <c:tx>
            <c:strRef>
              <c:f>CI!$C$6</c:f>
              <c:strCache>
                <c:ptCount val="1"/>
                <c:pt idx="0">
                  <c:v>Equipment</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CI!$C$7:$C$23</c:f>
              <c:numCache>
                <c:formatCode>0.0</c:formatCode>
                <c:ptCount val="17"/>
                <c:pt idx="0">
                  <c:v>436</c:v>
                </c:pt>
                <c:pt idx="1">
                  <c:v>435.5</c:v>
                </c:pt>
                <c:pt idx="2">
                  <c:v>438</c:v>
                </c:pt>
                <c:pt idx="3">
                  <c:v>437.3</c:v>
                </c:pt>
                <c:pt idx="4">
                  <c:v>437.51666666666665</c:v>
                </c:pt>
                <c:pt idx="5">
                  <c:v>445.47500000000002</c:v>
                </c:pt>
                <c:pt idx="6">
                  <c:v>508.125</c:v>
                </c:pt>
                <c:pt idx="7">
                  <c:v>543.67499999999995</c:v>
                </c:pt>
                <c:pt idx="8">
                  <c:v>588.04166666666663</c:v>
                </c:pt>
                <c:pt idx="9">
                  <c:v>624.35833333333323</c:v>
                </c:pt>
                <c:pt idx="10">
                  <c:v>696.8</c:v>
                </c:pt>
                <c:pt idx="11">
                  <c:v>615.67500000000007</c:v>
                </c:pt>
                <c:pt idx="12">
                  <c:v>659.38333333333344</c:v>
                </c:pt>
                <c:pt idx="13">
                  <c:v>713.29166666666663</c:v>
                </c:pt>
                <c:pt idx="14">
                  <c:v>726.2</c:v>
                </c:pt>
                <c:pt idx="15">
                  <c:v>0</c:v>
                </c:pt>
                <c:pt idx="16">
                  <c:v>0</c:v>
                </c:pt>
              </c:numCache>
            </c:numRef>
          </c:val>
          <c:smooth val="0"/>
        </c:ser>
        <c:ser>
          <c:idx val="2"/>
          <c:order val="2"/>
          <c:tx>
            <c:strRef>
              <c:f>CI!$D$6</c:f>
              <c:strCache>
                <c:ptCount val="1"/>
                <c:pt idx="0">
                  <c:v>  Heat Exchangers and Tanks</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CI!$D$7:$D$23</c:f>
              <c:numCache>
                <c:formatCode>0.0</c:formatCode>
                <c:ptCount val="17"/>
                <c:pt idx="0">
                  <c:v>382.8</c:v>
                </c:pt>
                <c:pt idx="1">
                  <c:v>371.2</c:v>
                </c:pt>
                <c:pt idx="2">
                  <c:v>370.6</c:v>
                </c:pt>
                <c:pt idx="3">
                  <c:v>363.9</c:v>
                </c:pt>
                <c:pt idx="4">
                  <c:v>356.92500000000001</c:v>
                </c:pt>
                <c:pt idx="5">
                  <c:v>363.53333333333336</c:v>
                </c:pt>
                <c:pt idx="6">
                  <c:v>464.82499999999999</c:v>
                </c:pt>
                <c:pt idx="7">
                  <c:v>513.93333333333328</c:v>
                </c:pt>
                <c:pt idx="8">
                  <c:v>547.95000000000005</c:v>
                </c:pt>
                <c:pt idx="9">
                  <c:v>592.10833333333335</c:v>
                </c:pt>
                <c:pt idx="10">
                  <c:v>687.6</c:v>
                </c:pt>
                <c:pt idx="11">
                  <c:v>558.32499999999993</c:v>
                </c:pt>
                <c:pt idx="12">
                  <c:v>610.40000000000009</c:v>
                </c:pt>
                <c:pt idx="13">
                  <c:v>675.86666666666667</c:v>
                </c:pt>
                <c:pt idx="14">
                  <c:v>683.6</c:v>
                </c:pt>
                <c:pt idx="15">
                  <c:v>0</c:v>
                </c:pt>
                <c:pt idx="16">
                  <c:v>0</c:v>
                </c:pt>
              </c:numCache>
            </c:numRef>
          </c:val>
          <c:smooth val="0"/>
        </c:ser>
        <c:ser>
          <c:idx val="3"/>
          <c:order val="3"/>
          <c:tx>
            <c:strRef>
              <c:f>CI!$E$6</c:f>
              <c:strCache>
                <c:ptCount val="1"/>
                <c:pt idx="0">
                  <c:v>  Process Machinery</c:v>
                </c:pt>
              </c:strCache>
            </c:strRef>
          </c:tx>
          <c:spPr>
            <a:ln w="12700">
              <a:solidFill>
                <a:srgbClr val="00FFFF"/>
              </a:solidFill>
              <a:prstDash val="solid"/>
            </a:ln>
          </c:spPr>
          <c:marker>
            <c:symbol val="x"/>
            <c:size val="5"/>
            <c:spPr>
              <a:noFill/>
              <a:ln>
                <a:solidFill>
                  <a:srgbClr val="00FFFF"/>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CI!$E$7:$E$19</c:f>
              <c:numCache>
                <c:formatCode>0.0</c:formatCode>
                <c:ptCount val="13"/>
                <c:pt idx="0">
                  <c:v>430.8</c:v>
                </c:pt>
                <c:pt idx="1">
                  <c:v>433.6</c:v>
                </c:pt>
                <c:pt idx="2">
                  <c:v>439.4</c:v>
                </c:pt>
                <c:pt idx="3">
                  <c:v>439.5</c:v>
                </c:pt>
                <c:pt idx="4">
                  <c:v>444.15</c:v>
                </c:pt>
                <c:pt idx="5">
                  <c:v>451.54166666666669</c:v>
                </c:pt>
                <c:pt idx="6">
                  <c:v>490.98333333333329</c:v>
                </c:pt>
                <c:pt idx="7">
                  <c:v>519.65</c:v>
                </c:pt>
                <c:pt idx="8">
                  <c:v>549.70833333333337</c:v>
                </c:pt>
                <c:pt idx="9">
                  <c:v>598.26666666666654</c:v>
                </c:pt>
                <c:pt idx="10">
                  <c:v>643.4</c:v>
                </c:pt>
                <c:pt idx="11">
                  <c:v>598.55000000000007</c:v>
                </c:pt>
                <c:pt idx="12">
                  <c:v>622.49166666666667</c:v>
                </c:pt>
              </c:numCache>
            </c:numRef>
          </c:val>
          <c:smooth val="0"/>
        </c:ser>
        <c:ser>
          <c:idx val="4"/>
          <c:order val="4"/>
          <c:tx>
            <c:strRef>
              <c:f>CI!$F$6</c:f>
              <c:strCache>
                <c:ptCount val="1"/>
                <c:pt idx="0">
                  <c:v>  Pipe, valves and fittings</c:v>
                </c:pt>
              </c:strCache>
            </c:strRef>
          </c:tx>
          <c:spPr>
            <a:ln w="12700">
              <a:solidFill>
                <a:srgbClr val="800080"/>
              </a:solidFill>
              <a:prstDash val="solid"/>
            </a:ln>
          </c:spPr>
          <c:marker>
            <c:symbol val="star"/>
            <c:size val="5"/>
            <c:spPr>
              <a:noFill/>
              <a:ln>
                <a:solidFill>
                  <a:srgbClr val="800080"/>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CI!$F$7:$F$23</c:f>
              <c:numCache>
                <c:formatCode>0.0</c:formatCode>
                <c:ptCount val="17"/>
                <c:pt idx="0">
                  <c:v>534.79999999999995</c:v>
                </c:pt>
                <c:pt idx="1">
                  <c:v>531.6</c:v>
                </c:pt>
                <c:pt idx="2">
                  <c:v>545.9</c:v>
                </c:pt>
                <c:pt idx="3">
                  <c:v>548.1</c:v>
                </c:pt>
                <c:pt idx="4">
                  <c:v>555.84166666666681</c:v>
                </c:pt>
                <c:pt idx="5">
                  <c:v>570.79999999999995</c:v>
                </c:pt>
                <c:pt idx="6">
                  <c:v>600.625</c:v>
                </c:pt>
                <c:pt idx="7">
                  <c:v>623.70000000000005</c:v>
                </c:pt>
                <c:pt idx="8">
                  <c:v>708.00833333333333</c:v>
                </c:pt>
                <c:pt idx="9">
                  <c:v>733.6</c:v>
                </c:pt>
                <c:pt idx="10">
                  <c:v>827.6</c:v>
                </c:pt>
                <c:pt idx="11">
                  <c:v>760.73333333333323</c:v>
                </c:pt>
                <c:pt idx="12">
                  <c:v>824.41666666666663</c:v>
                </c:pt>
                <c:pt idx="13">
                  <c:v>889.16666666666663</c:v>
                </c:pt>
                <c:pt idx="14">
                  <c:v>926.7</c:v>
                </c:pt>
                <c:pt idx="15">
                  <c:v>0</c:v>
                </c:pt>
                <c:pt idx="16">
                  <c:v>0</c:v>
                </c:pt>
              </c:numCache>
            </c:numRef>
          </c:val>
          <c:smooth val="0"/>
        </c:ser>
        <c:ser>
          <c:idx val="5"/>
          <c:order val="5"/>
          <c:tx>
            <c:strRef>
              <c:f>CI!$G$6</c:f>
              <c:strCache>
                <c:ptCount val="1"/>
                <c:pt idx="0">
                  <c:v>  Process Instruments</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CI!$G$7:$G$23</c:f>
              <c:numCache>
                <c:formatCode>0.0</c:formatCode>
                <c:ptCount val="17"/>
                <c:pt idx="0">
                  <c:v>365.3</c:v>
                </c:pt>
                <c:pt idx="1">
                  <c:v>363.5</c:v>
                </c:pt>
                <c:pt idx="2">
                  <c:v>368.5</c:v>
                </c:pt>
                <c:pt idx="3">
                  <c:v>362.9</c:v>
                </c:pt>
                <c:pt idx="4">
                  <c:v>363.50833333333327</c:v>
                </c:pt>
                <c:pt idx="5">
                  <c:v>365.38333333333327</c:v>
                </c:pt>
                <c:pt idx="6">
                  <c:v>374.33333333333331</c:v>
                </c:pt>
                <c:pt idx="7">
                  <c:v>381.82499999999999</c:v>
                </c:pt>
                <c:pt idx="8">
                  <c:v>420.125</c:v>
                </c:pt>
                <c:pt idx="9">
                  <c:v>425.25</c:v>
                </c:pt>
                <c:pt idx="10">
                  <c:v>434.6</c:v>
                </c:pt>
                <c:pt idx="11">
                  <c:v>397.4666666666667</c:v>
                </c:pt>
                <c:pt idx="12">
                  <c:v>422.18333333333339</c:v>
                </c:pt>
                <c:pt idx="13">
                  <c:v>437.80833333333339</c:v>
                </c:pt>
                <c:pt idx="14">
                  <c:v>428.9</c:v>
                </c:pt>
                <c:pt idx="15">
                  <c:v>0</c:v>
                </c:pt>
                <c:pt idx="16">
                  <c:v>0</c:v>
                </c:pt>
              </c:numCache>
            </c:numRef>
          </c:val>
          <c:smooth val="0"/>
        </c:ser>
        <c:ser>
          <c:idx val="6"/>
          <c:order val="6"/>
          <c:tx>
            <c:strRef>
              <c:f>CI!$H$6</c:f>
              <c:strCache>
                <c:ptCount val="1"/>
                <c:pt idx="0">
                  <c:v>  Pumps and Compressors</c:v>
                </c:pt>
              </c:strCache>
            </c:strRef>
          </c:tx>
          <c:spPr>
            <a:ln w="12700">
              <a:solidFill>
                <a:srgbClr val="008080"/>
              </a:solidFill>
              <a:prstDash val="solid"/>
            </a:ln>
          </c:spPr>
          <c:marker>
            <c:symbol val="plus"/>
            <c:size val="5"/>
            <c:spPr>
              <a:noFill/>
              <a:ln>
                <a:solidFill>
                  <a:srgbClr val="008080"/>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CI!$H$7:$H$23</c:f>
              <c:numCache>
                <c:formatCode>0.0</c:formatCode>
                <c:ptCount val="17"/>
                <c:pt idx="0">
                  <c:v>648.5</c:v>
                </c:pt>
                <c:pt idx="1">
                  <c:v>658.4</c:v>
                </c:pt>
                <c:pt idx="2">
                  <c:v>665.3</c:v>
                </c:pt>
                <c:pt idx="3">
                  <c:v>683.2</c:v>
                </c:pt>
                <c:pt idx="4">
                  <c:v>699.19166666666661</c:v>
                </c:pt>
                <c:pt idx="5">
                  <c:v>705.30833333333339</c:v>
                </c:pt>
                <c:pt idx="6">
                  <c:v>719.43333333333328</c:v>
                </c:pt>
                <c:pt idx="7">
                  <c:v>752.5</c:v>
                </c:pt>
                <c:pt idx="8">
                  <c:v>785.73333333333323</c:v>
                </c:pt>
                <c:pt idx="9">
                  <c:v>831.17499999999995</c:v>
                </c:pt>
                <c:pt idx="10">
                  <c:v>871.7</c:v>
                </c:pt>
                <c:pt idx="11">
                  <c:v>897.26666666666677</c:v>
                </c:pt>
                <c:pt idx="12">
                  <c:v>902.63333333333333</c:v>
                </c:pt>
                <c:pt idx="13">
                  <c:v>903.64166666666654</c:v>
                </c:pt>
                <c:pt idx="14">
                  <c:v>928.1</c:v>
                </c:pt>
                <c:pt idx="15">
                  <c:v>0</c:v>
                </c:pt>
                <c:pt idx="16">
                  <c:v>0</c:v>
                </c:pt>
              </c:numCache>
            </c:numRef>
          </c:val>
          <c:smooth val="0"/>
        </c:ser>
        <c:ser>
          <c:idx val="7"/>
          <c:order val="7"/>
          <c:tx>
            <c:strRef>
              <c:f>CI!$I$6</c:f>
              <c:strCache>
                <c:ptCount val="1"/>
                <c:pt idx="0">
                  <c:v>  Electrical equipment</c:v>
                </c:pt>
              </c:strCache>
            </c:strRef>
          </c:tx>
          <c:spPr>
            <a:ln w="12700">
              <a:solidFill>
                <a:srgbClr val="0000FF"/>
              </a:solidFill>
              <a:prstDash val="solid"/>
            </a:ln>
          </c:spPr>
          <c:marker>
            <c:symbol val="dot"/>
            <c:size val="5"/>
            <c:spPr>
              <a:noFill/>
              <a:ln>
                <a:solidFill>
                  <a:srgbClr val="0000FF"/>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CI!$I$7:$I$23</c:f>
              <c:numCache>
                <c:formatCode>0.0</c:formatCode>
                <c:ptCount val="17"/>
                <c:pt idx="0">
                  <c:v>333.6</c:v>
                </c:pt>
                <c:pt idx="1">
                  <c:v>335.8</c:v>
                </c:pt>
                <c:pt idx="2">
                  <c:v>339.4</c:v>
                </c:pt>
                <c:pt idx="3">
                  <c:v>341.2</c:v>
                </c:pt>
                <c:pt idx="4">
                  <c:v>341.35833333333329</c:v>
                </c:pt>
                <c:pt idx="5">
                  <c:v>341.58333333333331</c:v>
                </c:pt>
                <c:pt idx="6">
                  <c:v>351.01666666666665</c:v>
                </c:pt>
                <c:pt idx="7">
                  <c:v>372.14166666666665</c:v>
                </c:pt>
                <c:pt idx="8">
                  <c:v>403.06666666666661</c:v>
                </c:pt>
                <c:pt idx="9">
                  <c:v>430.4666666666667</c:v>
                </c:pt>
                <c:pt idx="10">
                  <c:v>458.5</c:v>
                </c:pt>
                <c:pt idx="11">
                  <c:v>461.52499999999992</c:v>
                </c:pt>
                <c:pt idx="12">
                  <c:v>478.71666666666664</c:v>
                </c:pt>
                <c:pt idx="13">
                  <c:v>506.25833333333338</c:v>
                </c:pt>
                <c:pt idx="14">
                  <c:v>515.20000000000005</c:v>
                </c:pt>
                <c:pt idx="15">
                  <c:v>0</c:v>
                </c:pt>
                <c:pt idx="16">
                  <c:v>0</c:v>
                </c:pt>
              </c:numCache>
            </c:numRef>
          </c:val>
          <c:smooth val="0"/>
        </c:ser>
        <c:ser>
          <c:idx val="8"/>
          <c:order val="8"/>
          <c:tx>
            <c:strRef>
              <c:f>CI!$J$6</c:f>
              <c:strCache>
                <c:ptCount val="1"/>
                <c:pt idx="0">
                  <c:v>  Structural supports</c:v>
                </c:pt>
              </c:strCache>
            </c:strRef>
          </c:tx>
          <c:spPr>
            <a:ln w="12700">
              <a:solidFill>
                <a:srgbClr val="00CCFF"/>
              </a:solidFill>
              <a:prstDash val="solid"/>
            </a:ln>
          </c:spPr>
          <c:marker>
            <c:symbol val="dash"/>
            <c:size val="5"/>
            <c:spPr>
              <a:noFill/>
              <a:ln>
                <a:solidFill>
                  <a:srgbClr val="00CCFF"/>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CI!$J$7:$J$23</c:f>
              <c:numCache>
                <c:formatCode>0.0</c:formatCode>
                <c:ptCount val="17"/>
                <c:pt idx="0">
                  <c:v>394.3</c:v>
                </c:pt>
                <c:pt idx="1">
                  <c:v>413.1</c:v>
                </c:pt>
                <c:pt idx="2">
                  <c:v>408.7</c:v>
                </c:pt>
                <c:pt idx="3">
                  <c:v>413.9</c:v>
                </c:pt>
                <c:pt idx="4">
                  <c:v>415.45</c:v>
                </c:pt>
                <c:pt idx="5">
                  <c:v>428.48333333333335</c:v>
                </c:pt>
                <c:pt idx="6">
                  <c:v>537.48333333333335</c:v>
                </c:pt>
                <c:pt idx="7">
                  <c:v>584.76666666666665</c:v>
                </c:pt>
                <c:pt idx="8">
                  <c:v>625.29999999999995</c:v>
                </c:pt>
                <c:pt idx="9">
                  <c:v>662.61666666666667</c:v>
                </c:pt>
                <c:pt idx="10">
                  <c:v>748.6</c:v>
                </c:pt>
                <c:pt idx="11">
                  <c:v>629.15</c:v>
                </c:pt>
                <c:pt idx="12">
                  <c:v>679.98333333333335</c:v>
                </c:pt>
                <c:pt idx="13">
                  <c:v>754.99166666666667</c:v>
                </c:pt>
                <c:pt idx="14">
                  <c:v>763.8</c:v>
                </c:pt>
                <c:pt idx="15">
                  <c:v>0</c:v>
                </c:pt>
                <c:pt idx="16">
                  <c:v>0</c:v>
                </c:pt>
              </c:numCache>
            </c:numRef>
          </c:val>
          <c:smooth val="0"/>
        </c:ser>
        <c:ser>
          <c:idx val="9"/>
          <c:order val="9"/>
          <c:tx>
            <c:strRef>
              <c:f>CI!$K$6</c:f>
              <c:strCache>
                <c:ptCount val="1"/>
                <c:pt idx="0">
                  <c:v>Construction Labor</c:v>
                </c:pt>
              </c:strCache>
            </c:strRef>
          </c:tx>
          <c:spPr>
            <a:ln w="12700">
              <a:solidFill>
                <a:srgbClr val="CCFFFF"/>
              </a:solidFill>
              <a:prstDash val="solid"/>
            </a:ln>
          </c:spPr>
          <c:marker>
            <c:symbol val="diamond"/>
            <c:size val="5"/>
            <c:spPr>
              <a:solidFill>
                <a:srgbClr val="CCFFFF"/>
              </a:solidFill>
              <a:ln>
                <a:solidFill>
                  <a:srgbClr val="CCFFFF"/>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CI!$K$7:$K$23</c:f>
              <c:numCache>
                <c:formatCode>0.0</c:formatCode>
                <c:ptCount val="17"/>
                <c:pt idx="0">
                  <c:v>287.39999999999998</c:v>
                </c:pt>
                <c:pt idx="1">
                  <c:v>292.5</c:v>
                </c:pt>
                <c:pt idx="2">
                  <c:v>299.2</c:v>
                </c:pt>
                <c:pt idx="3">
                  <c:v>302.3</c:v>
                </c:pt>
                <c:pt idx="4">
                  <c:v>305.79166666666669</c:v>
                </c:pt>
                <c:pt idx="5">
                  <c:v>308.81666666666666</c:v>
                </c:pt>
                <c:pt idx="6">
                  <c:v>307.73333333333329</c:v>
                </c:pt>
                <c:pt idx="7">
                  <c:v>305.55</c:v>
                </c:pt>
                <c:pt idx="8">
                  <c:v>309.31666666666666</c:v>
                </c:pt>
                <c:pt idx="9">
                  <c:v>315.125</c:v>
                </c:pt>
                <c:pt idx="10">
                  <c:v>321.7</c:v>
                </c:pt>
                <c:pt idx="11">
                  <c:v>327.42499999999995</c:v>
                </c:pt>
                <c:pt idx="12">
                  <c:v>328.89166666666671</c:v>
                </c:pt>
                <c:pt idx="13">
                  <c:v>327.39166666666665</c:v>
                </c:pt>
                <c:pt idx="14">
                  <c:v>322.89999999999998</c:v>
                </c:pt>
                <c:pt idx="15">
                  <c:v>0</c:v>
                </c:pt>
                <c:pt idx="16">
                  <c:v>0</c:v>
                </c:pt>
              </c:numCache>
            </c:numRef>
          </c:val>
          <c:smooth val="0"/>
        </c:ser>
        <c:ser>
          <c:idx val="10"/>
          <c:order val="10"/>
          <c:tx>
            <c:strRef>
              <c:f>CI!$L$6</c:f>
              <c:strCache>
                <c:ptCount val="1"/>
                <c:pt idx="0">
                  <c:v>Buildings</c:v>
                </c:pt>
              </c:strCache>
            </c:strRef>
          </c:tx>
          <c:spPr>
            <a:ln w="12700">
              <a:solidFill>
                <a:srgbClr val="CCFFCC"/>
              </a:solidFill>
              <a:prstDash val="solid"/>
            </a:ln>
          </c:spPr>
          <c:marker>
            <c:symbol val="square"/>
            <c:size val="5"/>
            <c:spPr>
              <a:solidFill>
                <a:srgbClr val="CCFFCC"/>
              </a:solidFill>
              <a:ln>
                <a:solidFill>
                  <a:srgbClr val="CCFFCC"/>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CI!$L$7:$L$23</c:f>
              <c:numCache>
                <c:formatCode>0.0</c:formatCode>
                <c:ptCount val="17"/>
                <c:pt idx="0">
                  <c:v>374.2</c:v>
                </c:pt>
                <c:pt idx="1">
                  <c:v>380.2</c:v>
                </c:pt>
                <c:pt idx="2">
                  <c:v>385.6</c:v>
                </c:pt>
                <c:pt idx="3">
                  <c:v>385.6</c:v>
                </c:pt>
                <c:pt idx="4">
                  <c:v>390.41666666666669</c:v>
                </c:pt>
                <c:pt idx="5">
                  <c:v>400.16666666666674</c:v>
                </c:pt>
                <c:pt idx="6">
                  <c:v>428.56666666666678</c:v>
                </c:pt>
                <c:pt idx="7">
                  <c:v>445.1</c:v>
                </c:pt>
                <c:pt idx="8">
                  <c:v>468.56666666666666</c:v>
                </c:pt>
                <c:pt idx="9">
                  <c:v>476.77499999999998</c:v>
                </c:pt>
                <c:pt idx="10">
                  <c:v>506.9</c:v>
                </c:pt>
                <c:pt idx="11">
                  <c:v>492.0333333333333</c:v>
                </c:pt>
                <c:pt idx="12">
                  <c:v>504.32499999999999</c:v>
                </c:pt>
                <c:pt idx="13">
                  <c:v>517.13333333333333</c:v>
                </c:pt>
                <c:pt idx="14">
                  <c:v>527.70000000000005</c:v>
                </c:pt>
                <c:pt idx="15">
                  <c:v>0</c:v>
                </c:pt>
                <c:pt idx="16">
                  <c:v>0</c:v>
                </c:pt>
              </c:numCache>
            </c:numRef>
          </c:val>
          <c:smooth val="0"/>
        </c:ser>
        <c:ser>
          <c:idx val="11"/>
          <c:order val="11"/>
          <c:tx>
            <c:strRef>
              <c:f>CI!$M$6</c:f>
              <c:strCache>
                <c:ptCount val="1"/>
                <c:pt idx="0">
                  <c:v>Engineering Supervision</c:v>
                </c:pt>
              </c:strCache>
            </c:strRef>
          </c:tx>
          <c:spPr>
            <a:ln w="12700">
              <a:solidFill>
                <a:srgbClr val="FFFF99"/>
              </a:solidFill>
              <a:prstDash val="solid"/>
            </a:ln>
          </c:spPr>
          <c:marker>
            <c:symbol val="triangle"/>
            <c:size val="5"/>
            <c:spPr>
              <a:noFill/>
              <a:ln>
                <a:solidFill>
                  <a:srgbClr val="FFFF99"/>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CI!$M$7:$M$23</c:f>
              <c:numCache>
                <c:formatCode>0.0</c:formatCode>
                <c:ptCount val="17"/>
                <c:pt idx="0">
                  <c:v>341.2</c:v>
                </c:pt>
                <c:pt idx="1">
                  <c:v>339.9</c:v>
                </c:pt>
                <c:pt idx="2">
                  <c:v>340.6</c:v>
                </c:pt>
                <c:pt idx="3">
                  <c:v>341.5</c:v>
                </c:pt>
                <c:pt idx="4">
                  <c:v>345.33333333333331</c:v>
                </c:pt>
                <c:pt idx="5">
                  <c:v>347.41666666666669</c:v>
                </c:pt>
                <c:pt idx="6">
                  <c:v>345.18333333333334</c:v>
                </c:pt>
                <c:pt idx="7">
                  <c:v>346.79166666666669</c:v>
                </c:pt>
                <c:pt idx="8">
                  <c:v>350.92500000000001</c:v>
                </c:pt>
                <c:pt idx="9">
                  <c:v>357.00833333333338</c:v>
                </c:pt>
                <c:pt idx="10">
                  <c:v>352.9</c:v>
                </c:pt>
                <c:pt idx="11">
                  <c:v>346.84999999999997</c:v>
                </c:pt>
                <c:pt idx="12">
                  <c:v>339.05833333333334</c:v>
                </c:pt>
                <c:pt idx="13">
                  <c:v>332.36666666666667</c:v>
                </c:pt>
                <c:pt idx="14">
                  <c:v>328.3</c:v>
                </c:pt>
                <c:pt idx="15">
                  <c:v>0</c:v>
                </c:pt>
                <c:pt idx="16">
                  <c:v>0</c:v>
                </c:pt>
              </c:numCache>
            </c:numRef>
          </c:val>
          <c:smooth val="0"/>
        </c:ser>
        <c:ser>
          <c:idx val="12"/>
          <c:order val="12"/>
          <c:tx>
            <c:strRef>
              <c:f>CI!$N$6</c:f>
              <c:strCache>
                <c:ptCount val="1"/>
                <c:pt idx="0">
                  <c:v>PPI WPU1311 Flat Glass</c:v>
                </c:pt>
              </c:strCache>
            </c:strRef>
          </c:tx>
          <c:spPr>
            <a:ln w="12700">
              <a:solidFill>
                <a:srgbClr val="99CCFF"/>
              </a:solidFill>
              <a:prstDash val="solid"/>
            </a:ln>
          </c:spPr>
          <c:marker>
            <c:symbol val="x"/>
            <c:size val="5"/>
            <c:spPr>
              <a:noFill/>
              <a:ln>
                <a:solidFill>
                  <a:srgbClr val="99CCFF"/>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CI!$N$7:$N$23</c:f>
              <c:numCache>
                <c:formatCode>0.0</c:formatCode>
                <c:ptCount val="17"/>
                <c:pt idx="0">
                  <c:v>107.1</c:v>
                </c:pt>
                <c:pt idx="1">
                  <c:v>106.4</c:v>
                </c:pt>
                <c:pt idx="2">
                  <c:v>109.7</c:v>
                </c:pt>
                <c:pt idx="3">
                  <c:v>112</c:v>
                </c:pt>
                <c:pt idx="4">
                  <c:v>111.24166666666666</c:v>
                </c:pt>
                <c:pt idx="5">
                  <c:v>110.97499999999999</c:v>
                </c:pt>
                <c:pt idx="6">
                  <c:v>108.58333333333331</c:v>
                </c:pt>
                <c:pt idx="7">
                  <c:v>110.98333333333335</c:v>
                </c:pt>
                <c:pt idx="8">
                  <c:v>113.45833333333331</c:v>
                </c:pt>
                <c:pt idx="9">
                  <c:v>114.16666666666664</c:v>
                </c:pt>
                <c:pt idx="10">
                  <c:v>115.9</c:v>
                </c:pt>
                <c:pt idx="11">
                  <c:v>115</c:v>
                </c:pt>
                <c:pt idx="12">
                  <c:v>111.2</c:v>
                </c:pt>
                <c:pt idx="13">
                  <c:v>112.8</c:v>
                </c:pt>
                <c:pt idx="14">
                  <c:v>113.9</c:v>
                </c:pt>
                <c:pt idx="15">
                  <c:v>0</c:v>
                </c:pt>
                <c:pt idx="16">
                  <c:v>0</c:v>
                </c:pt>
              </c:numCache>
            </c:numRef>
          </c:val>
          <c:smooth val="0"/>
        </c:ser>
        <c:ser>
          <c:idx val="13"/>
          <c:order val="13"/>
          <c:tx>
            <c:strRef>
              <c:f>CI!$O$6</c:f>
              <c:strCache>
                <c:ptCount val="1"/>
                <c:pt idx="0">
                  <c:v>PPI WPU06520135 Syn NH3 </c:v>
                </c:pt>
              </c:strCache>
            </c:strRef>
          </c:tx>
          <c:spPr>
            <a:ln w="25400">
              <a:solidFill>
                <a:srgbClr val="FF99CC"/>
              </a:solidFill>
              <a:prstDash val="solid"/>
            </a:ln>
          </c:spPr>
          <c:marker>
            <c:symbol val="star"/>
            <c:size val="7"/>
            <c:spPr>
              <a:noFill/>
              <a:ln>
                <a:solidFill>
                  <a:srgbClr val="FF99CC"/>
                </a:solidFill>
                <a:prstDash val="solid"/>
              </a:ln>
            </c:spPr>
          </c:marker>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CI!$O$7:$O$23</c:f>
              <c:numCache>
                <c:formatCode>0.0</c:formatCode>
                <c:ptCount val="17"/>
                <c:pt idx="5">
                  <c:v>101.04285714285716</c:v>
                </c:pt>
                <c:pt idx="6">
                  <c:v>115.05</c:v>
                </c:pt>
                <c:pt idx="7">
                  <c:v>132.21666666666667</c:v>
                </c:pt>
                <c:pt idx="8">
                  <c:v>139.55833333333334</c:v>
                </c:pt>
                <c:pt idx="9">
                  <c:v>156</c:v>
                </c:pt>
                <c:pt idx="10">
                  <c:v>240.3</c:v>
                </c:pt>
                <c:pt idx="11">
                  <c:v>169</c:v>
                </c:pt>
                <c:pt idx="12">
                  <c:v>171.4</c:v>
                </c:pt>
                <c:pt idx="13">
                  <c:v>237.1</c:v>
                </c:pt>
                <c:pt idx="14">
                  <c:v>254.2</c:v>
                </c:pt>
                <c:pt idx="15">
                  <c:v>0</c:v>
                </c:pt>
                <c:pt idx="16">
                  <c:v>0</c:v>
                </c:pt>
              </c:numCache>
            </c:numRef>
          </c:val>
          <c:smooth val="0"/>
        </c:ser>
        <c:ser>
          <c:idx val="14"/>
          <c:order val="14"/>
          <c:tx>
            <c:strRef>
              <c:f>CI!$U$6</c:f>
              <c:strCache>
                <c:ptCount val="1"/>
                <c:pt idx="0">
                  <c:v>Solar Salt ($/MT)</c:v>
                </c:pt>
              </c:strCache>
            </c:strRef>
          </c:tx>
          <c:cat>
            <c:numRef>
              <c:f>CI!$A$7:$A$23</c:f>
              <c:numCache>
                <c:formatCode>General</c:formatCode>
                <c:ptCount val="1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numCache>
            </c:numRef>
          </c:cat>
          <c:val>
            <c:numRef>
              <c:f>CI!$U$7:$U$23</c:f>
              <c:numCache>
                <c:formatCode>0.0</c:formatCode>
                <c:ptCount val="17"/>
                <c:pt idx="3" formatCode="0">
                  <c:v>400</c:v>
                </c:pt>
                <c:pt idx="4" formatCode="0">
                  <c:v>520</c:v>
                </c:pt>
                <c:pt idx="5" formatCode="0">
                  <c:v>650</c:v>
                </c:pt>
                <c:pt idx="6" formatCode="0">
                  <c:v>780</c:v>
                </c:pt>
                <c:pt idx="7" formatCode="0">
                  <c:v>900</c:v>
                </c:pt>
                <c:pt idx="8" formatCode="0">
                  <c:v>1020</c:v>
                </c:pt>
                <c:pt idx="9" formatCode="0">
                  <c:v>1150</c:v>
                </c:pt>
                <c:pt idx="10" formatCode="0">
                  <c:v>1300</c:v>
                </c:pt>
                <c:pt idx="11" formatCode="0">
                  <c:v>1080</c:v>
                </c:pt>
                <c:pt idx="12" formatCode="0">
                  <c:v>1200</c:v>
                </c:pt>
                <c:pt idx="13" formatCode="0">
                  <c:v>1200</c:v>
                </c:pt>
                <c:pt idx="14" formatCode="0">
                  <c:v>1200</c:v>
                </c:pt>
                <c:pt idx="15" formatCode="0">
                  <c:v>0</c:v>
                </c:pt>
                <c:pt idx="16" formatCode="0">
                  <c:v>0</c:v>
                </c:pt>
              </c:numCache>
            </c:numRef>
          </c:val>
          <c:smooth val="0"/>
        </c:ser>
        <c:dLbls>
          <c:showLegendKey val="0"/>
          <c:showVal val="0"/>
          <c:showCatName val="0"/>
          <c:showSerName val="0"/>
          <c:showPercent val="0"/>
          <c:showBubbleSize val="0"/>
        </c:dLbls>
        <c:marker val="1"/>
        <c:smooth val="0"/>
        <c:axId val="123406208"/>
        <c:axId val="123407744"/>
      </c:lineChart>
      <c:catAx>
        <c:axId val="123406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23407744"/>
        <c:crosses val="autoZero"/>
        <c:auto val="1"/>
        <c:lblAlgn val="ctr"/>
        <c:lblOffset val="100"/>
        <c:tickLblSkip val="1"/>
        <c:tickMarkSkip val="1"/>
        <c:noMultiLvlLbl val="0"/>
      </c:catAx>
      <c:valAx>
        <c:axId val="123407744"/>
        <c:scaling>
          <c:orientation val="minMax"/>
        </c:scaling>
        <c:delete val="0"/>
        <c:axPos val="l"/>
        <c:majorGridlines>
          <c:spPr>
            <a:ln w="3175">
              <a:solidFill>
                <a:srgbClr val="000000"/>
              </a:solidFill>
              <a:prstDash val="sysDash"/>
            </a:ln>
          </c:spPr>
        </c:majorGridlines>
        <c:title>
          <c:tx>
            <c:rich>
              <a:bodyPr rot="-5400000" vert="horz"/>
              <a:lstStyle/>
              <a:p>
                <a:pPr>
                  <a:defRPr/>
                </a:pPr>
                <a:r>
                  <a:rPr lang="en-US"/>
                  <a:t>Cost Index Value</a:t>
                </a:r>
              </a:p>
            </c:rich>
          </c:tx>
          <c:layout/>
          <c:overlay val="0"/>
        </c:title>
        <c:numFmt formatCode="0.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23406208"/>
        <c:crosses val="autoZero"/>
        <c:crossBetween val="between"/>
      </c:valAx>
      <c:spPr>
        <a:solidFill>
          <a:srgbClr val="C0C0C0"/>
        </a:solidFill>
        <a:ln w="3175">
          <a:solidFill>
            <a:srgbClr val="000000"/>
          </a:solidFill>
          <a:prstDash val="solid"/>
        </a:ln>
      </c:spPr>
    </c:plotArea>
    <c:legend>
      <c:legendPos val="r"/>
      <c:layout>
        <c:manualLayout>
          <c:xMode val="edge"/>
          <c:yMode val="edge"/>
          <c:x val="0.77907011623550382"/>
          <c:y val="0.19251374326872242"/>
          <c:w val="0.22092988376452943"/>
          <c:h val="0.6121970047861664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1399" r="0.75000000000001399"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1365250</xdr:colOff>
      <xdr:row>48</xdr:row>
      <xdr:rowOff>63500</xdr:rowOff>
    </xdr:from>
    <xdr:to>
      <xdr:col>6</xdr:col>
      <xdr:colOff>391585</xdr:colOff>
      <xdr:row>75</xdr:row>
      <xdr:rowOff>10583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719666</xdr:colOff>
      <xdr:row>48</xdr:row>
      <xdr:rowOff>105834</xdr:rowOff>
    </xdr:from>
    <xdr:to>
      <xdr:col>10</xdr:col>
      <xdr:colOff>508000</xdr:colOff>
      <xdr:row>75</xdr:row>
      <xdr:rowOff>42333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30</xdr:row>
      <xdr:rowOff>114300</xdr:rowOff>
    </xdr:from>
    <xdr:to>
      <xdr:col>17</xdr:col>
      <xdr:colOff>148167</xdr:colOff>
      <xdr:row>63</xdr:row>
      <xdr:rowOff>114300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www.bls.gov/ppi/"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2"/>
    <pageSetUpPr fitToPage="1"/>
  </sheetPr>
  <dimension ref="A1:AC167"/>
  <sheetViews>
    <sheetView tabSelected="1" topLeftCell="C1" zoomScale="90" zoomScaleNormal="90" workbookViewId="0">
      <selection activeCell="H23" sqref="H23"/>
    </sheetView>
  </sheetViews>
  <sheetFormatPr defaultRowHeight="12.75" x14ac:dyDescent="0.2"/>
  <cols>
    <col min="1" max="1" width="2" style="72" customWidth="1"/>
    <col min="2" max="2" width="37.7109375" style="65" customWidth="1"/>
    <col min="3" max="3" width="16.7109375" customWidth="1"/>
    <col min="4" max="4" width="15.7109375" customWidth="1"/>
    <col min="5" max="5" width="16.42578125" customWidth="1"/>
    <col min="6" max="6" width="11.140625" customWidth="1"/>
    <col min="7" max="7" width="31.85546875" customWidth="1"/>
    <col min="8" max="8" width="21" style="37" customWidth="1"/>
    <col min="9" max="9" width="16.7109375" style="37" customWidth="1"/>
    <col min="10" max="10" width="23" style="37" customWidth="1"/>
    <col min="11" max="11" width="45" style="89" customWidth="1"/>
    <col min="12" max="12" width="13.5703125" style="7" customWidth="1"/>
    <col min="13" max="13" width="14.28515625" style="7" customWidth="1"/>
    <col min="14" max="16" width="15.42578125" style="7" customWidth="1"/>
    <col min="17" max="19" width="14" style="7" customWidth="1"/>
    <col min="20" max="29" width="9.140625" style="7"/>
  </cols>
  <sheetData>
    <row r="1" spans="2:14" x14ac:dyDescent="0.2">
      <c r="B1" s="108" t="s">
        <v>251</v>
      </c>
    </row>
    <row r="2" spans="2:14" x14ac:dyDescent="0.2">
      <c r="B2" s="170" t="s">
        <v>215</v>
      </c>
      <c r="C2" s="317" t="s">
        <v>203</v>
      </c>
    </row>
    <row r="3" spans="2:14" x14ac:dyDescent="0.2">
      <c r="B3" s="97"/>
      <c r="C3" s="32" t="s">
        <v>300</v>
      </c>
    </row>
    <row r="4" spans="2:14" x14ac:dyDescent="0.2">
      <c r="B4" s="97"/>
      <c r="C4" s="32"/>
    </row>
    <row r="5" spans="2:14" x14ac:dyDescent="0.2">
      <c r="B5" s="97"/>
      <c r="C5" s="32" t="s">
        <v>301</v>
      </c>
      <c r="D5" s="32" t="s">
        <v>328</v>
      </c>
    </row>
    <row r="6" spans="2:14" x14ac:dyDescent="0.2">
      <c r="B6" s="316"/>
      <c r="C6" s="32"/>
      <c r="D6" t="s">
        <v>302</v>
      </c>
    </row>
    <row r="7" spans="2:14" x14ac:dyDescent="0.2">
      <c r="B7" s="316"/>
      <c r="C7" s="32"/>
      <c r="D7" t="s">
        <v>309</v>
      </c>
    </row>
    <row r="8" spans="2:14" x14ac:dyDescent="0.2">
      <c r="D8" s="32" t="s">
        <v>327</v>
      </c>
    </row>
    <row r="9" spans="2:14" ht="38.25" x14ac:dyDescent="0.2">
      <c r="C9" s="459" t="s">
        <v>280</v>
      </c>
      <c r="D9" s="457"/>
      <c r="E9" s="453" t="s">
        <v>279</v>
      </c>
      <c r="F9" s="458"/>
      <c r="G9" s="469" t="s">
        <v>217</v>
      </c>
      <c r="H9" s="470" t="s">
        <v>218</v>
      </c>
      <c r="I9" s="471" t="s">
        <v>79</v>
      </c>
      <c r="J9" s="472" t="s">
        <v>80</v>
      </c>
      <c r="K9" s="408" t="s">
        <v>237</v>
      </c>
      <c r="L9" s="354"/>
      <c r="M9" s="278"/>
      <c r="N9" s="278"/>
    </row>
    <row r="10" spans="2:14" x14ac:dyDescent="0.2">
      <c r="C10" s="454"/>
      <c r="D10" s="284"/>
      <c r="E10" s="209"/>
      <c r="F10" s="284"/>
      <c r="G10" s="344"/>
      <c r="H10" s="364"/>
      <c r="I10" s="145"/>
      <c r="J10" s="357"/>
      <c r="K10" s="463"/>
      <c r="L10" s="355"/>
      <c r="M10" s="146"/>
      <c r="N10" s="279"/>
    </row>
    <row r="11" spans="2:14" x14ac:dyDescent="0.2">
      <c r="C11" s="460" t="s">
        <v>354</v>
      </c>
      <c r="D11" s="284"/>
      <c r="E11" s="497">
        <f>ROUND('Cap$'!G33*(VLOOKUP(Cost_Yr,CI!$A$5:$AD$29,2)/VLOOKUP('Cap$'!C35,CI!$A$5:$AD$29,2))/(EXP(Ref_Tower_Height*0.0113)),-4)</f>
        <v>3100000</v>
      </c>
      <c r="F11" s="284" t="s">
        <v>238</v>
      </c>
      <c r="G11" s="127" t="s">
        <v>329</v>
      </c>
      <c r="H11" s="365">
        <v>115</v>
      </c>
      <c r="I11" s="359" t="s">
        <v>45</v>
      </c>
      <c r="J11" s="360" t="s">
        <v>81</v>
      </c>
      <c r="K11" s="464"/>
      <c r="L11" s="351"/>
      <c r="M11" s="128"/>
      <c r="N11" s="146"/>
    </row>
    <row r="12" spans="2:14" x14ac:dyDescent="0.2">
      <c r="C12" s="460" t="s">
        <v>355</v>
      </c>
      <c r="D12" s="284"/>
      <c r="E12" s="496">
        <f>ROUND('Cap$'!G40*VLOOKUP(Cost_Yr,CI!$A$5:$AD$29,2)/VLOOKUP('Cap$'!C35,CI!$A$5:$AD$29,2),-5)</f>
        <v>104600000</v>
      </c>
      <c r="F12" s="359" t="s">
        <v>238</v>
      </c>
      <c r="G12" s="493" t="s">
        <v>330</v>
      </c>
      <c r="H12" s="365">
        <v>279</v>
      </c>
      <c r="I12" s="147" t="s">
        <v>258</v>
      </c>
      <c r="J12" s="358" t="s">
        <v>294</v>
      </c>
      <c r="K12" s="465"/>
      <c r="L12" s="351"/>
      <c r="M12" s="128"/>
      <c r="N12" s="146"/>
    </row>
    <row r="13" spans="2:14" x14ac:dyDescent="0.2">
      <c r="C13" s="460" t="s">
        <v>353</v>
      </c>
      <c r="D13" s="284"/>
      <c r="E13" s="209">
        <f>Ref_Receiver_Area</f>
        <v>1571</v>
      </c>
      <c r="F13" s="359" t="s">
        <v>46</v>
      </c>
      <c r="G13" s="127" t="s">
        <v>331</v>
      </c>
      <c r="H13" s="365">
        <v>10</v>
      </c>
      <c r="I13" s="147" t="s">
        <v>293</v>
      </c>
      <c r="J13" s="358" t="s">
        <v>295</v>
      </c>
      <c r="K13" s="465"/>
      <c r="L13" s="351"/>
      <c r="M13" s="128"/>
      <c r="N13" s="146"/>
    </row>
    <row r="14" spans="2:14" x14ac:dyDescent="0.2">
      <c r="C14" s="460" t="s">
        <v>281</v>
      </c>
      <c r="D14" s="284"/>
      <c r="E14" s="209">
        <f>'Cap$'!I35</f>
        <v>0.7</v>
      </c>
      <c r="F14" s="284"/>
      <c r="G14" s="127" t="s">
        <v>332</v>
      </c>
      <c r="H14" s="365">
        <v>1953</v>
      </c>
      <c r="I14" s="147" t="s">
        <v>254</v>
      </c>
      <c r="J14" s="358" t="s">
        <v>256</v>
      </c>
      <c r="K14" s="465"/>
      <c r="L14" s="351"/>
      <c r="M14" s="128"/>
      <c r="N14" s="146"/>
    </row>
    <row r="15" spans="2:14" x14ac:dyDescent="0.2">
      <c r="C15" s="454"/>
      <c r="D15" s="284"/>
      <c r="E15" s="209"/>
      <c r="F15" s="284"/>
      <c r="G15" s="127" t="s">
        <v>333</v>
      </c>
      <c r="H15" s="366">
        <v>1289000</v>
      </c>
      <c r="I15" s="147" t="s">
        <v>46</v>
      </c>
      <c r="J15" s="358" t="s">
        <v>82</v>
      </c>
      <c r="K15" s="466" t="s">
        <v>337</v>
      </c>
      <c r="L15" s="351"/>
      <c r="M15" s="128"/>
      <c r="N15" s="147"/>
    </row>
    <row r="16" spans="2:14" x14ac:dyDescent="0.2">
      <c r="C16" s="454"/>
      <c r="D16" s="284"/>
      <c r="E16" s="209"/>
      <c r="F16" s="284"/>
      <c r="G16" s="127" t="s">
        <v>334</v>
      </c>
      <c r="H16" s="366">
        <v>670</v>
      </c>
      <c r="I16" s="147" t="s">
        <v>258</v>
      </c>
      <c r="J16" s="358" t="s">
        <v>260</v>
      </c>
      <c r="K16" s="465"/>
      <c r="L16" s="351"/>
      <c r="M16" s="94"/>
      <c r="N16" s="146"/>
    </row>
    <row r="17" spans="1:14" x14ac:dyDescent="0.2">
      <c r="C17" s="454"/>
      <c r="D17" s="284"/>
      <c r="E17" s="209"/>
      <c r="F17" s="284"/>
      <c r="G17" s="127" t="s">
        <v>335</v>
      </c>
      <c r="H17" s="366">
        <v>1133</v>
      </c>
      <c r="I17" s="147" t="s">
        <v>46</v>
      </c>
      <c r="J17" s="358" t="s">
        <v>299</v>
      </c>
      <c r="K17" s="465" t="s">
        <v>336</v>
      </c>
      <c r="L17" s="351"/>
      <c r="M17" s="94"/>
      <c r="N17" s="147"/>
    </row>
    <row r="18" spans="1:14" x14ac:dyDescent="0.2">
      <c r="C18" s="454"/>
      <c r="D18" s="284"/>
      <c r="E18" s="209"/>
      <c r="F18" s="284"/>
      <c r="G18" s="127" t="s">
        <v>261</v>
      </c>
      <c r="H18" s="365">
        <v>203</v>
      </c>
      <c r="I18" s="147" t="s">
        <v>176</v>
      </c>
      <c r="J18" s="358" t="s">
        <v>262</v>
      </c>
      <c r="K18" s="465"/>
      <c r="L18" s="351"/>
      <c r="M18" s="94"/>
      <c r="N18" s="146"/>
    </row>
    <row r="19" spans="1:14" x14ac:dyDescent="0.2">
      <c r="C19" s="454"/>
      <c r="D19" s="284"/>
      <c r="E19" s="209"/>
      <c r="F19" s="284"/>
      <c r="G19" s="127" t="s">
        <v>90</v>
      </c>
      <c r="H19" s="438">
        <v>2.5000000000000001E-2</v>
      </c>
      <c r="I19" s="146"/>
      <c r="J19" s="358" t="s">
        <v>91</v>
      </c>
      <c r="K19" s="467"/>
      <c r="L19" s="352"/>
      <c r="M19" s="94"/>
      <c r="N19" s="147"/>
    </row>
    <row r="20" spans="1:14" x14ac:dyDescent="0.2">
      <c r="C20" s="454"/>
      <c r="D20" s="284"/>
      <c r="E20" s="209"/>
      <c r="F20" s="284"/>
      <c r="G20" s="127" t="s">
        <v>189</v>
      </c>
      <c r="H20" s="438">
        <v>0.05</v>
      </c>
      <c r="I20" s="146"/>
      <c r="J20" s="287" t="s">
        <v>190</v>
      </c>
      <c r="K20" s="468"/>
      <c r="L20" s="351"/>
      <c r="M20" s="128"/>
      <c r="N20" s="146"/>
    </row>
    <row r="21" spans="1:14" x14ac:dyDescent="0.2">
      <c r="C21" s="454"/>
      <c r="D21" s="284"/>
      <c r="E21" s="209"/>
      <c r="F21" s="284"/>
      <c r="G21" s="127" t="s">
        <v>236</v>
      </c>
      <c r="H21" s="365">
        <v>2012</v>
      </c>
      <c r="I21" s="146"/>
      <c r="J21" s="358" t="s">
        <v>86</v>
      </c>
      <c r="K21" s="475" t="s">
        <v>296</v>
      </c>
      <c r="L21" s="351"/>
      <c r="M21" s="128"/>
      <c r="N21" s="146"/>
    </row>
    <row r="22" spans="1:14" x14ac:dyDescent="0.2">
      <c r="C22" s="454"/>
      <c r="D22" s="284"/>
      <c r="E22" s="209"/>
      <c r="F22" s="284"/>
      <c r="G22" s="127" t="s">
        <v>352</v>
      </c>
      <c r="H22" s="438">
        <v>1</v>
      </c>
      <c r="I22" s="146"/>
      <c r="J22" s="287" t="s">
        <v>245</v>
      </c>
      <c r="K22" s="468" t="s">
        <v>247</v>
      </c>
      <c r="L22" s="351"/>
      <c r="M22" s="353"/>
      <c r="N22" s="356"/>
    </row>
    <row r="23" spans="1:14" x14ac:dyDescent="0.2">
      <c r="C23" s="455"/>
      <c r="D23" s="285"/>
      <c r="E23" s="456"/>
      <c r="F23" s="285"/>
      <c r="G23" s="462"/>
      <c r="H23" s="473"/>
      <c r="I23" s="285"/>
      <c r="J23" s="474"/>
      <c r="K23" s="476"/>
      <c r="L23" s="478"/>
      <c r="M23" s="356"/>
      <c r="N23" s="356"/>
    </row>
    <row r="25" spans="1:14" s="67" customFormat="1" ht="35.25" customHeight="1" x14ac:dyDescent="0.2">
      <c r="A25" s="72"/>
      <c r="B25" s="283" t="s">
        <v>186</v>
      </c>
      <c r="C25" s="367" t="s">
        <v>221</v>
      </c>
      <c r="D25" s="320" t="s">
        <v>222</v>
      </c>
      <c r="E25" s="368"/>
      <c r="F25" s="369" t="s">
        <v>79</v>
      </c>
      <c r="G25" s="346" t="s">
        <v>179</v>
      </c>
      <c r="H25" s="319" t="s">
        <v>222</v>
      </c>
      <c r="I25" s="347" t="s">
        <v>223</v>
      </c>
      <c r="J25" s="347" t="s">
        <v>79</v>
      </c>
      <c r="K25" s="361" t="s">
        <v>220</v>
      </c>
    </row>
    <row r="26" spans="1:14" ht="15" customHeight="1" x14ac:dyDescent="0.2">
      <c r="A26" s="77"/>
      <c r="B26" s="54" t="s">
        <v>42</v>
      </c>
      <c r="C26" s="50"/>
      <c r="D26" s="50">
        <f>'Cap$'!G21</f>
        <v>10994540</v>
      </c>
      <c r="E26" s="50">
        <f>D26/Ref_Land_Area</f>
        <v>10800.137524557957</v>
      </c>
      <c r="F26" s="274" t="s">
        <v>303</v>
      </c>
      <c r="G26" s="348"/>
      <c r="H26" s="309">
        <f>'Cap$'!R21</f>
        <v>21476402.957405958</v>
      </c>
      <c r="I26" s="494">
        <f>ROUND(H26/Proj_SF_Area,0)</f>
        <v>17</v>
      </c>
      <c r="J26" s="348" t="s">
        <v>199</v>
      </c>
      <c r="K26" s="147" t="s">
        <v>339</v>
      </c>
    </row>
    <row r="27" spans="1:14" ht="15" customHeight="1" x14ac:dyDescent="0.2">
      <c r="A27" s="77"/>
      <c r="B27" s="54" t="s">
        <v>283</v>
      </c>
      <c r="C27" s="50"/>
      <c r="D27" s="50">
        <f>'Cap$'!G29</f>
        <v>233500000</v>
      </c>
      <c r="E27" s="50">
        <f>D27/Ref_SF_area</f>
        <v>181.14817688130333</v>
      </c>
      <c r="F27" s="274" t="s">
        <v>47</v>
      </c>
      <c r="G27" s="274"/>
      <c r="H27" s="50">
        <f>'Cap$'!R29</f>
        <v>233500000</v>
      </c>
      <c r="I27" s="350">
        <f>ROUND(H27/Proj_SF_Area,0)</f>
        <v>181</v>
      </c>
      <c r="J27" s="274" t="s">
        <v>199</v>
      </c>
      <c r="K27" s="147" t="s">
        <v>340</v>
      </c>
    </row>
    <row r="28" spans="1:14" ht="15" customHeight="1" x14ac:dyDescent="0.2">
      <c r="A28" s="77"/>
      <c r="B28" s="166" t="s">
        <v>322</v>
      </c>
      <c r="C28" s="50"/>
      <c r="D28" s="50">
        <f>'Cap$'!G33</f>
        <v>28500000</v>
      </c>
      <c r="E28" s="50"/>
      <c r="F28" s="274"/>
      <c r="G28" s="274"/>
      <c r="H28" s="50">
        <f>'Cap$'!R33</f>
        <v>29791687.394565113</v>
      </c>
      <c r="I28" s="350"/>
      <c r="J28" s="274"/>
      <c r="K28" s="147" t="s">
        <v>338</v>
      </c>
    </row>
    <row r="29" spans="1:14" ht="15" customHeight="1" x14ac:dyDescent="0.2">
      <c r="A29" s="77"/>
      <c r="B29" s="166" t="s">
        <v>323</v>
      </c>
      <c r="C29" s="50"/>
      <c r="D29" s="50">
        <f>'Cap$'!G40</f>
        <v>97020000</v>
      </c>
      <c r="E29" s="350">
        <f>D29/Ref_Rcvr_MWt/1000</f>
        <v>106.61538461538461</v>
      </c>
      <c r="F29" s="274" t="s">
        <v>273</v>
      </c>
      <c r="G29" s="274"/>
      <c r="H29" s="50">
        <f>'Cap$'!R40</f>
        <v>85113356.703562126</v>
      </c>
      <c r="I29" s="350">
        <f>H29/Proj_Rcvr_MWt/1000</f>
        <v>127.03486075158527</v>
      </c>
      <c r="J29" s="274" t="s">
        <v>273</v>
      </c>
      <c r="K29" s="147" t="s">
        <v>338</v>
      </c>
    </row>
    <row r="30" spans="1:14" ht="15" customHeight="1" x14ac:dyDescent="0.2">
      <c r="A30" s="77"/>
      <c r="B30" s="54" t="s">
        <v>43</v>
      </c>
      <c r="C30" s="50"/>
      <c r="D30" s="50">
        <f>'Cap$'!G48</f>
        <v>73600000</v>
      </c>
      <c r="E30" s="50">
        <f>D30/Ref_TES_capacity/1000</f>
        <v>26.379928315412187</v>
      </c>
      <c r="F30" s="274" t="s">
        <v>51</v>
      </c>
      <c r="G30" s="274"/>
      <c r="H30" s="50">
        <f>'Cap$'!R48</f>
        <v>76248130.198917732</v>
      </c>
      <c r="I30" s="350">
        <f>ROUND(IF(Proj_TES_hrs&gt;0,H30/(Proj_TES_hrs*PB_Thermal_Design_Capacity*1000),0),0)</f>
        <v>27</v>
      </c>
      <c r="J30" s="274" t="s">
        <v>201</v>
      </c>
      <c r="K30" s="147" t="s">
        <v>341</v>
      </c>
    </row>
    <row r="31" spans="1:14" ht="15" customHeight="1" x14ac:dyDescent="0.2">
      <c r="A31" s="78"/>
      <c r="B31" s="54" t="s">
        <v>38</v>
      </c>
      <c r="C31" s="50"/>
      <c r="D31" s="50">
        <f>'Cap$'!G50</f>
        <v>0</v>
      </c>
      <c r="E31" s="50">
        <f>D31/Ref_Turb_Gross/1000</f>
        <v>0</v>
      </c>
      <c r="F31" s="274" t="s">
        <v>48</v>
      </c>
      <c r="G31" s="274"/>
      <c r="H31" s="50">
        <f>'Cap$'!R50</f>
        <v>0</v>
      </c>
      <c r="I31" s="350">
        <f>ROUND(H31/Proj_Turb_Gross/1000,0)</f>
        <v>0</v>
      </c>
      <c r="J31" s="274" t="s">
        <v>200</v>
      </c>
      <c r="K31" s="147" t="s">
        <v>342</v>
      </c>
    </row>
    <row r="32" spans="1:14" ht="15" customHeight="1" x14ac:dyDescent="0.2">
      <c r="A32" s="78"/>
      <c r="B32" s="166" t="s">
        <v>321</v>
      </c>
      <c r="C32" s="50"/>
      <c r="D32" s="50">
        <f>'Cap$'!G58</f>
        <v>40770000</v>
      </c>
      <c r="E32" s="50">
        <f>D32/Ref_Turb_Gross/1000</f>
        <v>354.52173913043475</v>
      </c>
      <c r="F32" s="274" t="s">
        <v>48</v>
      </c>
      <c r="G32" s="274"/>
      <c r="H32" s="50">
        <f>'Cap$'!R58</f>
        <v>40770000</v>
      </c>
      <c r="I32" s="350">
        <f>ROUND(H32/Proj_Turb_Gross/1000,0)</f>
        <v>355</v>
      </c>
      <c r="J32" s="274" t="s">
        <v>200</v>
      </c>
      <c r="K32" s="147" t="s">
        <v>343</v>
      </c>
    </row>
    <row r="33" spans="1:29" ht="15" customHeight="1" x14ac:dyDescent="0.2">
      <c r="A33" s="77"/>
      <c r="B33" s="54" t="s">
        <v>44</v>
      </c>
      <c r="C33" s="50"/>
      <c r="D33" s="50">
        <f>'Cap$'!G77</f>
        <v>138050000</v>
      </c>
      <c r="E33" s="50">
        <f>D33/Ref_Turb_Gross/1000</f>
        <v>1200.4347826086955</v>
      </c>
      <c r="F33" s="274" t="s">
        <v>48</v>
      </c>
      <c r="G33" s="274"/>
      <c r="H33" s="50">
        <f>'Cap$'!R77</f>
        <v>138050000</v>
      </c>
      <c r="I33" s="350">
        <f>ROUND(H33/Proj_Turb_Gross/1000,0)</f>
        <v>1200</v>
      </c>
      <c r="J33" s="274" t="s">
        <v>200</v>
      </c>
      <c r="K33" s="147" t="s">
        <v>344</v>
      </c>
    </row>
    <row r="34" spans="1:29" ht="15" customHeight="1" x14ac:dyDescent="0.2">
      <c r="A34" s="77"/>
      <c r="B34" s="54" t="s">
        <v>41</v>
      </c>
      <c r="C34" s="50"/>
      <c r="D34" s="50">
        <f>'Cap$'!G81</f>
        <v>43570000</v>
      </c>
      <c r="E34" s="275">
        <f>D34/SUM(D26:D33)</f>
        <v>6.9999328764756535E-2</v>
      </c>
      <c r="F34" s="42"/>
      <c r="G34" s="42"/>
      <c r="H34" s="50">
        <f>'Cap$'!R81</f>
        <v>43746470.407811575</v>
      </c>
      <c r="I34" s="349">
        <f>H34/SUM(H26:H33)*100</f>
        <v>7.0000000000000009</v>
      </c>
      <c r="J34" s="274" t="s">
        <v>198</v>
      </c>
      <c r="K34" s="345" t="s">
        <v>53</v>
      </c>
    </row>
    <row r="35" spans="1:29" ht="15" customHeight="1" x14ac:dyDescent="0.2">
      <c r="A35" s="77"/>
      <c r="B35" s="273" t="s">
        <v>180</v>
      </c>
      <c r="C35" s="113">
        <f>SUM(D26:D34)</f>
        <v>666004540</v>
      </c>
      <c r="E35" s="113"/>
      <c r="F35" s="116"/>
      <c r="G35" s="113">
        <f>SUM(H26:H34)</f>
        <v>668696047.66226256</v>
      </c>
      <c r="I35" s="113"/>
      <c r="J35" s="116"/>
      <c r="K35" s="95"/>
    </row>
    <row r="36" spans="1:29" ht="23.25" customHeight="1" x14ac:dyDescent="0.2">
      <c r="A36" s="77"/>
      <c r="B36" s="283" t="s">
        <v>187</v>
      </c>
      <c r="C36" s="502"/>
      <c r="D36" s="503"/>
      <c r="E36" s="503"/>
      <c r="F36" s="503"/>
      <c r="G36" s="498"/>
      <c r="H36" s="499"/>
      <c r="I36" s="499"/>
      <c r="J36" s="499"/>
      <c r="K36" s="363"/>
    </row>
    <row r="37" spans="1:29" ht="15" customHeight="1" x14ac:dyDescent="0.2">
      <c r="A37" s="78"/>
      <c r="B37" s="166" t="s">
        <v>274</v>
      </c>
      <c r="C37" s="50"/>
      <c r="D37" s="50">
        <f>ROUND('Cap$'!G92,-3)</f>
        <v>73260000</v>
      </c>
      <c r="E37" s="275">
        <f>D37/$C$35</f>
        <v>0.1099992501552617</v>
      </c>
      <c r="F37" s="42" t="s">
        <v>181</v>
      </c>
      <c r="G37" s="193"/>
      <c r="H37" s="309">
        <f>'Cap$'!R92</f>
        <v>73526904.896417603</v>
      </c>
      <c r="I37" s="362">
        <f>ROUND(H37/$G$35*100,1)</f>
        <v>11</v>
      </c>
      <c r="J37" s="348" t="s">
        <v>219</v>
      </c>
      <c r="K37" s="280" t="s">
        <v>345</v>
      </c>
    </row>
    <row r="38" spans="1:29" ht="15" customHeight="1" x14ac:dyDescent="0.2">
      <c r="A38" s="78"/>
      <c r="B38" s="58" t="s">
        <v>275</v>
      </c>
      <c r="C38" s="50"/>
      <c r="D38" s="50">
        <f>ROUND('Cap$'!G113,-3)</f>
        <v>10180000</v>
      </c>
      <c r="E38" s="50">
        <f>'Cap$'!E95</f>
        <v>10000</v>
      </c>
      <c r="F38" s="274" t="s">
        <v>303</v>
      </c>
      <c r="G38" s="42"/>
      <c r="H38" s="50">
        <f>'Cap$'!R113</f>
        <v>19530000</v>
      </c>
      <c r="I38" s="349">
        <f>Proj_land_cost</f>
        <v>10000</v>
      </c>
      <c r="J38" s="42" t="s">
        <v>310</v>
      </c>
      <c r="K38" s="147" t="s">
        <v>346</v>
      </c>
    </row>
    <row r="39" spans="1:29" ht="15" customHeight="1" x14ac:dyDescent="0.2">
      <c r="A39" s="78"/>
      <c r="B39" s="126" t="s">
        <v>182</v>
      </c>
      <c r="C39" s="50"/>
      <c r="D39" s="50">
        <f>ROUND('Cap$'!G119,-3)</f>
        <v>26049000</v>
      </c>
      <c r="E39" s="437">
        <f>D39/$C$35</f>
        <v>3.9112345990914718E-2</v>
      </c>
      <c r="F39" s="116" t="s">
        <v>181</v>
      </c>
      <c r="G39" s="116"/>
      <c r="H39" s="272">
        <f>'Cap$'!R119</f>
        <v>26201303.400105271</v>
      </c>
      <c r="I39" s="428">
        <f>ROUND(H39/Sales_Tax_Rate/G35*100,0)</f>
        <v>78</v>
      </c>
      <c r="J39" s="274" t="s">
        <v>241</v>
      </c>
      <c r="K39" s="147" t="s">
        <v>347</v>
      </c>
    </row>
    <row r="40" spans="1:29" ht="15" customHeight="1" x14ac:dyDescent="0.2">
      <c r="A40" s="78"/>
      <c r="B40" s="281" t="s">
        <v>185</v>
      </c>
      <c r="C40" s="113">
        <f>C35+SUM(D37:D39)</f>
        <v>775493540</v>
      </c>
      <c r="D40" s="113"/>
      <c r="E40" s="443"/>
      <c r="F40" s="116"/>
      <c r="G40" s="113">
        <f>G35+SUM(H37:H39)</f>
        <v>787954255.95878541</v>
      </c>
      <c r="H40" s="272"/>
      <c r="I40" s="113"/>
      <c r="J40" s="116"/>
      <c r="K40" s="96"/>
    </row>
    <row r="41" spans="1:29" ht="15" customHeight="1" x14ac:dyDescent="0.2">
      <c r="A41" s="78"/>
      <c r="B41" s="281"/>
      <c r="C41" s="113"/>
      <c r="D41" s="282"/>
      <c r="E41" s="113"/>
      <c r="F41" s="116"/>
      <c r="G41" s="113"/>
      <c r="H41" s="282"/>
      <c r="I41" s="116"/>
      <c r="J41" s="116"/>
      <c r="K41" s="96"/>
    </row>
    <row r="42" spans="1:29" ht="24" customHeight="1" x14ac:dyDescent="0.2">
      <c r="A42" s="78"/>
      <c r="B42" s="411" t="s">
        <v>188</v>
      </c>
      <c r="C42" s="412"/>
      <c r="D42" s="413"/>
      <c r="E42" s="413"/>
      <c r="F42" s="413"/>
      <c r="G42" s="500"/>
      <c r="H42" s="501"/>
      <c r="I42" s="501"/>
      <c r="J42" s="501"/>
      <c r="K42" s="414"/>
    </row>
    <row r="43" spans="1:29" ht="15" customHeight="1" x14ac:dyDescent="0.2">
      <c r="A43" s="78"/>
      <c r="B43" s="419" t="s">
        <v>160</v>
      </c>
      <c r="C43" s="420"/>
      <c r="D43" s="420"/>
      <c r="E43" s="420">
        <v>0</v>
      </c>
      <c r="F43" s="421"/>
      <c r="G43" s="422"/>
      <c r="H43" s="420"/>
      <c r="I43" s="423">
        <v>0</v>
      </c>
      <c r="J43" s="421"/>
      <c r="K43" s="424" t="s">
        <v>160</v>
      </c>
    </row>
    <row r="44" spans="1:29" ht="15" customHeight="1" x14ac:dyDescent="0.2">
      <c r="A44" s="78"/>
      <c r="B44" s="425" t="s">
        <v>162</v>
      </c>
      <c r="C44" s="113"/>
      <c r="D44" s="113"/>
      <c r="E44" s="113">
        <f>'O&amp;M$'!G84</f>
        <v>72.071494000000001</v>
      </c>
      <c r="F44" s="416" t="s">
        <v>235</v>
      </c>
      <c r="G44" s="116"/>
      <c r="H44" s="113"/>
      <c r="I44" s="495">
        <f>ROUND('O&amp;M$'!N84,0)</f>
        <v>70</v>
      </c>
      <c r="J44" s="416" t="s">
        <v>234</v>
      </c>
      <c r="K44" s="426" t="s">
        <v>162</v>
      </c>
    </row>
    <row r="45" spans="1:29" ht="15" customHeight="1" x14ac:dyDescent="0.2">
      <c r="A45" s="78"/>
      <c r="B45" s="425" t="s">
        <v>161</v>
      </c>
      <c r="C45" s="113"/>
      <c r="D45" s="113"/>
      <c r="E45" s="417">
        <f>'O&amp;M$'!G85</f>
        <v>3.9919606949152544</v>
      </c>
      <c r="F45" s="416" t="s">
        <v>52</v>
      </c>
      <c r="G45" s="116"/>
      <c r="H45" s="113"/>
      <c r="I45" s="418">
        <f>ROUND('O&amp;M$'!N85,-4)</f>
        <v>2210000</v>
      </c>
      <c r="J45" s="416" t="s">
        <v>238</v>
      </c>
      <c r="K45" s="427" t="s">
        <v>351</v>
      </c>
    </row>
    <row r="46" spans="1:29" ht="15" customHeight="1" x14ac:dyDescent="0.2">
      <c r="A46" s="78"/>
      <c r="B46" s="425" t="s">
        <v>184</v>
      </c>
      <c r="C46" s="113"/>
      <c r="D46" s="113"/>
      <c r="E46" s="429">
        <f>'O&amp;M$'!F61</f>
        <v>6</v>
      </c>
      <c r="F46" s="416" t="s">
        <v>183</v>
      </c>
      <c r="G46" s="116"/>
      <c r="H46" s="113"/>
      <c r="I46" s="415">
        <f>'O&amp;M$'!F61*'O&amp;M$'!L61</f>
        <v>6</v>
      </c>
      <c r="J46" s="416" t="s">
        <v>202</v>
      </c>
      <c r="K46" s="426" t="s">
        <v>348</v>
      </c>
    </row>
    <row r="47" spans="1:29" ht="15" customHeight="1" x14ac:dyDescent="0.2">
      <c r="A47" s="78"/>
      <c r="B47" s="433" t="s">
        <v>243</v>
      </c>
      <c r="C47" s="285"/>
      <c r="D47" s="285"/>
      <c r="E47" s="432">
        <f>'O&amp;M$'!E49</f>
        <v>40</v>
      </c>
      <c r="F47" s="285"/>
      <c r="G47" s="285"/>
      <c r="H47" s="286"/>
      <c r="I47" s="431">
        <f>ROUND('O&amp;M$'!J54,0)</f>
        <v>40</v>
      </c>
      <c r="J47" s="286"/>
      <c r="K47" s="430" t="s">
        <v>243</v>
      </c>
    </row>
    <row r="48" spans="1:29" s="18" customFormat="1" x14ac:dyDescent="0.2">
      <c r="A48" s="79"/>
      <c r="B48" s="59"/>
      <c r="C48" s="28"/>
      <c r="D48" s="28"/>
      <c r="E48" s="28"/>
      <c r="F48" s="28"/>
      <c r="G48" s="28"/>
      <c r="H48" s="44"/>
      <c r="I48" s="44"/>
      <c r="J48" s="44"/>
      <c r="K48" s="70"/>
      <c r="L48" s="70"/>
      <c r="M48" s="70"/>
      <c r="N48" s="70"/>
      <c r="O48" s="70"/>
      <c r="P48" s="70"/>
      <c r="Q48" s="70"/>
      <c r="R48" s="70"/>
      <c r="S48" s="70"/>
      <c r="T48" s="70"/>
      <c r="U48" s="70"/>
      <c r="V48" s="70"/>
      <c r="W48" s="70"/>
      <c r="X48" s="70"/>
      <c r="Y48" s="70"/>
      <c r="Z48" s="70"/>
      <c r="AA48" s="70"/>
      <c r="AB48" s="70"/>
      <c r="AC48" s="70"/>
    </row>
    <row r="49" spans="1:29" s="18" customFormat="1" x14ac:dyDescent="0.2">
      <c r="A49" s="79"/>
      <c r="B49" s="60"/>
      <c r="C49" s="15"/>
      <c r="D49" s="19"/>
      <c r="E49" s="19"/>
      <c r="F49" s="19"/>
      <c r="G49" s="19"/>
      <c r="H49" s="29"/>
      <c r="I49" s="29"/>
      <c r="J49" s="29"/>
      <c r="K49" s="90"/>
      <c r="L49" s="70"/>
      <c r="M49" s="70"/>
      <c r="N49" s="70"/>
      <c r="O49" s="70"/>
      <c r="P49" s="70"/>
      <c r="Q49" s="70"/>
      <c r="R49" s="70"/>
      <c r="S49" s="70"/>
      <c r="T49" s="70"/>
      <c r="U49" s="70"/>
      <c r="V49" s="70"/>
      <c r="W49" s="70"/>
      <c r="X49" s="70"/>
      <c r="Y49" s="70"/>
      <c r="Z49" s="70"/>
      <c r="AA49" s="70"/>
      <c r="AB49" s="70"/>
      <c r="AC49" s="70"/>
    </row>
    <row r="50" spans="1:29" s="18" customFormat="1" x14ac:dyDescent="0.2">
      <c r="A50" s="79"/>
      <c r="B50" s="61"/>
      <c r="C50" s="15"/>
      <c r="D50" s="19"/>
      <c r="E50" s="19"/>
      <c r="F50" s="19"/>
      <c r="G50" s="19"/>
      <c r="H50" s="23"/>
      <c r="I50" s="23"/>
      <c r="J50" s="23"/>
      <c r="K50" s="91"/>
      <c r="L50" s="70"/>
      <c r="M50" s="70"/>
      <c r="N50" s="70"/>
      <c r="O50" s="70"/>
      <c r="P50" s="70"/>
      <c r="Q50" s="70"/>
      <c r="R50" s="70"/>
      <c r="S50" s="70"/>
      <c r="T50" s="70"/>
      <c r="U50" s="70"/>
      <c r="V50" s="70"/>
      <c r="W50" s="70"/>
      <c r="X50" s="70"/>
      <c r="Y50" s="70"/>
      <c r="Z50" s="70"/>
      <c r="AA50" s="70"/>
      <c r="AB50" s="70"/>
      <c r="AC50" s="70"/>
    </row>
    <row r="51" spans="1:29" s="48" customFormat="1" x14ac:dyDescent="0.2">
      <c r="A51" s="72"/>
      <c r="B51" s="65"/>
      <c r="C51"/>
      <c r="D51"/>
      <c r="E51"/>
      <c r="F51"/>
      <c r="G51"/>
      <c r="H51" s="37"/>
      <c r="I51" s="37"/>
      <c r="J51" s="37"/>
      <c r="K51" s="93"/>
      <c r="L51" s="7"/>
      <c r="M51" s="7"/>
      <c r="N51" s="7"/>
      <c r="O51" s="7"/>
      <c r="P51" s="7"/>
      <c r="Q51" s="7"/>
      <c r="R51" s="7"/>
      <c r="S51" s="7"/>
      <c r="T51" s="7"/>
      <c r="U51" s="7"/>
      <c r="V51" s="7"/>
      <c r="W51" s="7"/>
      <c r="X51" s="7"/>
      <c r="Y51" s="7"/>
      <c r="Z51" s="7"/>
      <c r="AA51" s="7"/>
      <c r="AB51" s="7"/>
      <c r="AC51" s="7"/>
    </row>
    <row r="52" spans="1:29" s="48" customFormat="1" ht="20.25" customHeight="1" x14ac:dyDescent="0.2">
      <c r="A52" s="72"/>
      <c r="B52" s="108"/>
      <c r="C52"/>
      <c r="D52"/>
      <c r="E52"/>
      <c r="F52"/>
      <c r="G52"/>
      <c r="H52" s="37"/>
      <c r="I52" s="197"/>
      <c r="J52" s="197"/>
      <c r="K52" s="93"/>
      <c r="L52" s="7"/>
      <c r="M52" s="7"/>
      <c r="N52" s="7"/>
      <c r="O52" s="7"/>
      <c r="P52" s="7"/>
      <c r="Q52" s="7"/>
      <c r="R52" s="7"/>
      <c r="S52" s="7"/>
      <c r="T52" s="7"/>
      <c r="U52" s="7"/>
      <c r="V52" s="7"/>
      <c r="W52" s="7"/>
      <c r="X52" s="7"/>
      <c r="Y52" s="7"/>
      <c r="Z52" s="7"/>
      <c r="AA52" s="7"/>
      <c r="AB52" s="7"/>
      <c r="AC52" s="7"/>
    </row>
    <row r="53" spans="1:29" s="48" customFormat="1" ht="33" customHeight="1" x14ac:dyDescent="0.2">
      <c r="I53" s="278"/>
      <c r="J53" s="278"/>
      <c r="K53" s="93"/>
      <c r="L53" s="7"/>
      <c r="M53" s="7"/>
      <c r="N53" s="7"/>
      <c r="O53" s="7"/>
      <c r="P53" s="7"/>
      <c r="Q53" s="7"/>
      <c r="R53" s="7"/>
      <c r="S53" s="7"/>
      <c r="T53" s="7"/>
      <c r="U53" s="7"/>
      <c r="V53" s="7"/>
      <c r="W53" s="7"/>
      <c r="X53" s="7"/>
      <c r="Y53" s="7"/>
      <c r="Z53" s="7"/>
      <c r="AA53" s="7"/>
      <c r="AB53" s="7"/>
      <c r="AC53" s="7"/>
    </row>
    <row r="54" spans="1:29" s="48" customFormat="1" x14ac:dyDescent="0.2">
      <c r="I54" s="279"/>
      <c r="J54" s="279"/>
      <c r="K54" s="93"/>
      <c r="L54" s="7"/>
      <c r="M54" s="7"/>
      <c r="N54" s="7"/>
      <c r="O54" s="7"/>
      <c r="P54" s="7"/>
      <c r="Q54" s="7"/>
      <c r="R54" s="7"/>
      <c r="S54" s="7"/>
      <c r="T54" s="7"/>
      <c r="U54" s="7"/>
      <c r="V54" s="7"/>
      <c r="W54" s="7"/>
      <c r="X54" s="7"/>
      <c r="Y54" s="7"/>
      <c r="Z54" s="7"/>
      <c r="AA54" s="7"/>
      <c r="AB54" s="7"/>
      <c r="AC54" s="7"/>
    </row>
    <row r="55" spans="1:29" s="48" customFormat="1" x14ac:dyDescent="0.2">
      <c r="I55" s="280"/>
      <c r="J55" s="280"/>
      <c r="K55" s="93"/>
      <c r="L55" s="7"/>
      <c r="M55" s="7"/>
      <c r="N55" s="7"/>
      <c r="O55" s="7"/>
      <c r="P55" s="7"/>
      <c r="Q55" s="7"/>
      <c r="R55" s="7"/>
      <c r="S55" s="7"/>
      <c r="T55" s="7"/>
      <c r="U55" s="7"/>
      <c r="V55" s="7"/>
      <c r="W55" s="7"/>
      <c r="X55" s="7"/>
      <c r="Y55" s="7"/>
      <c r="Z55" s="7"/>
      <c r="AA55" s="7"/>
      <c r="AB55" s="7"/>
      <c r="AC55" s="7"/>
    </row>
    <row r="56" spans="1:29" s="48" customFormat="1" x14ac:dyDescent="0.2">
      <c r="I56" s="280"/>
      <c r="J56" s="280"/>
      <c r="K56" s="93"/>
      <c r="L56" s="7"/>
      <c r="M56" s="7"/>
      <c r="N56" s="7"/>
      <c r="O56" s="7"/>
      <c r="P56" s="7"/>
      <c r="Q56" s="7"/>
      <c r="R56" s="7"/>
      <c r="S56" s="7"/>
      <c r="T56" s="7"/>
      <c r="U56" s="7"/>
      <c r="V56" s="7"/>
      <c r="W56" s="7"/>
      <c r="X56" s="7"/>
      <c r="Y56" s="7"/>
      <c r="Z56" s="7"/>
      <c r="AA56" s="7"/>
      <c r="AB56" s="7"/>
      <c r="AC56" s="7"/>
    </row>
    <row r="57" spans="1:29" s="48" customFormat="1" x14ac:dyDescent="0.2">
      <c r="I57" s="277"/>
      <c r="J57" s="277"/>
      <c r="K57" s="93"/>
      <c r="L57" s="7"/>
      <c r="M57" s="7"/>
      <c r="N57" s="7"/>
      <c r="O57" s="7"/>
      <c r="P57" s="7"/>
      <c r="Q57" s="7"/>
      <c r="R57" s="7"/>
      <c r="S57" s="7"/>
      <c r="T57" s="7"/>
      <c r="U57" s="7"/>
      <c r="V57" s="7"/>
      <c r="W57" s="7"/>
      <c r="X57" s="7"/>
      <c r="Y57" s="7"/>
      <c r="Z57" s="7"/>
      <c r="AA57" s="7"/>
      <c r="AB57" s="7"/>
      <c r="AC57" s="7"/>
    </row>
    <row r="58" spans="1:29" s="48" customFormat="1" x14ac:dyDescent="0.2">
      <c r="I58" s="277"/>
      <c r="J58" s="277"/>
      <c r="K58" s="93"/>
      <c r="L58" s="7"/>
      <c r="M58" s="7"/>
      <c r="N58" s="7"/>
      <c r="O58" s="7"/>
      <c r="P58" s="7"/>
      <c r="Q58" s="7"/>
      <c r="R58" s="7"/>
      <c r="S58" s="7"/>
      <c r="T58" s="7"/>
      <c r="U58" s="7"/>
      <c r="V58" s="7"/>
      <c r="W58" s="7"/>
      <c r="X58" s="7"/>
      <c r="Y58" s="7"/>
      <c r="Z58" s="7"/>
      <c r="AA58" s="7"/>
      <c r="AB58" s="7"/>
      <c r="AC58" s="7"/>
    </row>
    <row r="59" spans="1:29" s="48" customFormat="1" x14ac:dyDescent="0.2">
      <c r="I59" s="277"/>
      <c r="J59" s="277"/>
      <c r="K59" s="93"/>
      <c r="L59" s="7"/>
      <c r="M59" s="7"/>
      <c r="N59" s="7"/>
      <c r="O59" s="7"/>
      <c r="P59" s="7"/>
      <c r="Q59" s="7"/>
      <c r="R59" s="7"/>
      <c r="S59" s="7"/>
      <c r="T59" s="7"/>
      <c r="U59" s="7"/>
      <c r="V59" s="7"/>
      <c r="W59" s="7"/>
      <c r="X59" s="7"/>
      <c r="Y59" s="7"/>
      <c r="Z59" s="7"/>
      <c r="AA59" s="7"/>
      <c r="AB59" s="7"/>
      <c r="AC59" s="7"/>
    </row>
    <row r="60" spans="1:29" s="48" customFormat="1" x14ac:dyDescent="0.2">
      <c r="I60" s="277"/>
      <c r="J60" s="277"/>
      <c r="K60" s="93"/>
      <c r="L60" s="7"/>
      <c r="M60" s="7"/>
      <c r="N60" s="7"/>
      <c r="O60" s="7"/>
      <c r="P60" s="7"/>
      <c r="Q60" s="7"/>
      <c r="R60" s="7"/>
      <c r="S60" s="7"/>
      <c r="T60" s="7"/>
      <c r="U60" s="7"/>
      <c r="V60" s="7"/>
      <c r="W60" s="7"/>
      <c r="X60" s="7"/>
      <c r="Y60" s="7"/>
      <c r="Z60" s="7"/>
      <c r="AA60" s="7"/>
      <c r="AB60" s="7"/>
      <c r="AC60" s="7"/>
    </row>
    <row r="61" spans="1:29" s="48" customFormat="1" x14ac:dyDescent="0.2">
      <c r="I61" s="276"/>
      <c r="J61" s="276"/>
      <c r="K61" s="93"/>
      <c r="L61" s="7"/>
      <c r="M61" s="7"/>
      <c r="N61" s="7"/>
      <c r="O61" s="7"/>
      <c r="P61" s="7"/>
      <c r="Q61" s="7"/>
      <c r="R61" s="7"/>
      <c r="S61" s="7"/>
      <c r="T61" s="7"/>
      <c r="U61" s="7"/>
      <c r="V61" s="7"/>
      <c r="W61" s="7"/>
      <c r="X61" s="7"/>
      <c r="Y61" s="7"/>
      <c r="Z61" s="7"/>
      <c r="AA61" s="7"/>
      <c r="AB61" s="7"/>
      <c r="AC61" s="7"/>
    </row>
    <row r="62" spans="1:29" s="48" customFormat="1" x14ac:dyDescent="0.2">
      <c r="I62" s="277"/>
      <c r="J62" s="277"/>
      <c r="K62" s="93"/>
      <c r="L62" s="7"/>
      <c r="M62" s="7"/>
      <c r="N62" s="7"/>
      <c r="O62" s="7"/>
      <c r="P62" s="7"/>
      <c r="Q62" s="7"/>
      <c r="R62" s="7"/>
      <c r="S62" s="7"/>
      <c r="T62" s="7"/>
      <c r="U62" s="7"/>
      <c r="V62" s="7"/>
      <c r="W62" s="7"/>
      <c r="X62" s="7"/>
      <c r="Y62" s="7"/>
      <c r="Z62" s="7"/>
      <c r="AA62" s="7"/>
      <c r="AB62" s="7"/>
      <c r="AC62" s="7"/>
    </row>
    <row r="63" spans="1:29" s="48" customFormat="1" x14ac:dyDescent="0.2">
      <c r="I63" s="277"/>
      <c r="J63" s="277"/>
      <c r="K63" s="93"/>
      <c r="L63" s="7"/>
      <c r="M63" s="7"/>
      <c r="N63" s="7"/>
      <c r="O63" s="7"/>
      <c r="P63" s="7"/>
      <c r="Q63" s="7"/>
      <c r="R63" s="7"/>
      <c r="S63" s="7"/>
      <c r="T63" s="7"/>
      <c r="U63" s="7"/>
      <c r="V63" s="7"/>
      <c r="W63" s="7"/>
      <c r="X63" s="7"/>
      <c r="Y63" s="7"/>
      <c r="Z63" s="7"/>
      <c r="AA63" s="7"/>
      <c r="AB63" s="7"/>
      <c r="AC63" s="7"/>
    </row>
    <row r="64" spans="1:29" s="48" customFormat="1" x14ac:dyDescent="0.2">
      <c r="I64" s="277"/>
      <c r="J64" s="277"/>
      <c r="K64" s="93"/>
      <c r="L64" s="7"/>
      <c r="M64" s="7"/>
      <c r="N64" s="7"/>
      <c r="O64" s="7"/>
      <c r="P64" s="7"/>
      <c r="Q64" s="7"/>
      <c r="R64" s="7"/>
      <c r="S64" s="7"/>
      <c r="T64" s="7"/>
      <c r="U64" s="7"/>
      <c r="V64" s="7"/>
      <c r="W64" s="7"/>
      <c r="X64" s="7"/>
      <c r="Y64" s="7"/>
      <c r="Z64" s="7"/>
      <c r="AA64" s="7"/>
      <c r="AB64" s="7"/>
      <c r="AC64" s="7"/>
    </row>
    <row r="65" spans="1:29" s="48" customFormat="1" x14ac:dyDescent="0.2">
      <c r="I65" s="276"/>
      <c r="J65" s="276"/>
      <c r="K65" s="93"/>
      <c r="L65" s="7"/>
      <c r="M65" s="7"/>
      <c r="N65" s="7"/>
      <c r="O65" s="7"/>
      <c r="P65" s="7"/>
      <c r="Q65" s="7"/>
      <c r="R65" s="7"/>
      <c r="S65" s="7"/>
      <c r="T65" s="7"/>
      <c r="U65" s="7"/>
      <c r="V65" s="7"/>
      <c r="W65" s="7"/>
      <c r="X65" s="7"/>
      <c r="Y65" s="7"/>
      <c r="Z65" s="7"/>
      <c r="AA65" s="7"/>
      <c r="AB65" s="7"/>
      <c r="AC65" s="7"/>
    </row>
    <row r="66" spans="1:29" s="48" customFormat="1" x14ac:dyDescent="0.2">
      <c r="I66" s="276"/>
      <c r="J66" s="276"/>
      <c r="K66" s="93"/>
      <c r="L66" s="7"/>
      <c r="M66" s="7"/>
      <c r="N66" s="7"/>
      <c r="O66" s="7"/>
      <c r="P66" s="7"/>
      <c r="Q66" s="7"/>
      <c r="R66" s="7"/>
      <c r="S66" s="7"/>
      <c r="T66" s="7"/>
      <c r="U66" s="7"/>
      <c r="V66" s="7"/>
      <c r="W66" s="7"/>
      <c r="X66" s="7"/>
      <c r="Y66" s="7"/>
      <c r="Z66" s="7"/>
      <c r="AA66" s="7"/>
      <c r="AB66" s="7"/>
      <c r="AC66" s="7"/>
    </row>
    <row r="67" spans="1:29" s="7" customFormat="1" x14ac:dyDescent="0.2">
      <c r="I67" s="146"/>
      <c r="J67" s="146"/>
      <c r="K67" s="93"/>
    </row>
    <row r="68" spans="1:29" s="7" customFormat="1" x14ac:dyDescent="0.2">
      <c r="I68" s="146"/>
      <c r="J68" s="146"/>
      <c r="K68" s="93"/>
    </row>
    <row r="69" spans="1:29" s="7" customFormat="1" x14ac:dyDescent="0.2">
      <c r="I69" s="146"/>
      <c r="J69" s="146"/>
      <c r="K69" s="93"/>
      <c r="T69" s="81"/>
    </row>
    <row r="70" spans="1:29" s="7" customFormat="1" x14ac:dyDescent="0.2">
      <c r="I70" s="146"/>
      <c r="J70" s="146"/>
      <c r="K70" s="93"/>
    </row>
    <row r="71" spans="1:29" s="7" customFormat="1" x14ac:dyDescent="0.2">
      <c r="I71" s="146"/>
      <c r="J71" s="146"/>
      <c r="K71" s="93"/>
    </row>
    <row r="72" spans="1:29" s="7" customFormat="1" x14ac:dyDescent="0.2">
      <c r="I72" s="146"/>
      <c r="J72" s="146"/>
      <c r="K72" s="93"/>
    </row>
    <row r="73" spans="1:29" s="7" customFormat="1" x14ac:dyDescent="0.2">
      <c r="I73" s="146"/>
      <c r="J73" s="146"/>
      <c r="K73" s="93"/>
    </row>
    <row r="74" spans="1:29" s="7" customFormat="1" x14ac:dyDescent="0.2">
      <c r="I74" s="146"/>
      <c r="J74" s="146"/>
      <c r="K74" s="93"/>
    </row>
    <row r="75" spans="1:29" s="7" customFormat="1" x14ac:dyDescent="0.2">
      <c r="I75" s="146"/>
      <c r="J75" s="146"/>
      <c r="K75" s="93"/>
    </row>
    <row r="76" spans="1:29" s="7" customFormat="1" x14ac:dyDescent="0.2">
      <c r="I76" s="146"/>
      <c r="J76" s="146"/>
      <c r="K76" s="93"/>
    </row>
    <row r="77" spans="1:29" s="7" customFormat="1" x14ac:dyDescent="0.2">
      <c r="I77" s="146"/>
      <c r="J77" s="146"/>
      <c r="K77" s="93"/>
    </row>
    <row r="78" spans="1:29" s="7" customFormat="1" x14ac:dyDescent="0.2">
      <c r="I78" s="146"/>
      <c r="J78" s="146"/>
      <c r="K78" s="93"/>
    </row>
    <row r="79" spans="1:29" s="7" customFormat="1" x14ac:dyDescent="0.2">
      <c r="A79" s="72"/>
      <c r="B79" s="65"/>
      <c r="C79"/>
      <c r="D79"/>
      <c r="E79"/>
      <c r="F79"/>
      <c r="G79"/>
      <c r="H79" s="37"/>
      <c r="I79" s="37"/>
      <c r="J79" s="37"/>
      <c r="K79" s="93"/>
    </row>
    <row r="80" spans="1:29" s="7" customFormat="1" x14ac:dyDescent="0.2">
      <c r="A80" s="72"/>
      <c r="B80" s="65"/>
      <c r="C80"/>
      <c r="D80"/>
      <c r="E80"/>
      <c r="F80"/>
      <c r="G80"/>
      <c r="H80" s="37"/>
      <c r="I80" s="37"/>
      <c r="J80" s="37"/>
      <c r="K80" s="93"/>
    </row>
    <row r="81" spans="1:29" s="7" customFormat="1" x14ac:dyDescent="0.2">
      <c r="A81" s="72"/>
      <c r="B81" s="65"/>
      <c r="C81"/>
      <c r="D81"/>
      <c r="E81"/>
      <c r="F81"/>
      <c r="G81"/>
      <c r="H81" s="37"/>
      <c r="I81" s="37"/>
      <c r="J81" s="37"/>
      <c r="K81" s="93"/>
    </row>
    <row r="82" spans="1:29" s="7" customFormat="1" x14ac:dyDescent="0.2">
      <c r="A82" s="72"/>
      <c r="B82" s="65"/>
      <c r="C82"/>
      <c r="D82"/>
      <c r="E82"/>
      <c r="F82"/>
      <c r="G82"/>
      <c r="H82" s="37"/>
      <c r="I82" s="37"/>
      <c r="J82" s="37"/>
      <c r="K82" s="93"/>
    </row>
    <row r="83" spans="1:29" s="48" customFormat="1" x14ac:dyDescent="0.2">
      <c r="A83" s="72"/>
      <c r="B83" s="65"/>
      <c r="C83"/>
      <c r="D83"/>
      <c r="E83"/>
      <c r="F83"/>
      <c r="G83"/>
      <c r="H83" s="37"/>
      <c r="I83" s="37"/>
      <c r="J83" s="37"/>
      <c r="K83" s="93"/>
      <c r="L83" s="7"/>
      <c r="M83" s="7"/>
      <c r="N83" s="7"/>
      <c r="O83" s="7"/>
      <c r="P83" s="7"/>
      <c r="Q83" s="7"/>
      <c r="R83" s="7"/>
      <c r="S83" s="7"/>
      <c r="T83" s="7"/>
      <c r="U83" s="7"/>
      <c r="V83" s="7"/>
      <c r="W83" s="7"/>
      <c r="X83" s="7"/>
      <c r="Y83" s="7"/>
      <c r="Z83" s="7"/>
      <c r="AA83" s="7"/>
      <c r="AB83" s="7"/>
      <c r="AC83" s="7"/>
    </row>
    <row r="84" spans="1:29" s="48" customFormat="1" x14ac:dyDescent="0.2">
      <c r="A84" s="72"/>
      <c r="B84" s="65"/>
      <c r="C84"/>
      <c r="D84"/>
      <c r="E84"/>
      <c r="F84"/>
      <c r="G84"/>
      <c r="H84" s="37"/>
      <c r="I84" s="37"/>
      <c r="J84" s="37"/>
      <c r="K84" s="93"/>
      <c r="L84" s="7"/>
      <c r="M84" s="7"/>
      <c r="N84" s="7"/>
      <c r="O84" s="7"/>
      <c r="P84" s="7"/>
      <c r="Q84" s="7"/>
      <c r="R84" s="7"/>
      <c r="S84" s="7"/>
      <c r="T84" s="7"/>
      <c r="U84" s="7"/>
      <c r="V84" s="7"/>
      <c r="W84" s="7"/>
      <c r="X84" s="7"/>
      <c r="Y84" s="7"/>
      <c r="Z84" s="7"/>
      <c r="AA84" s="7"/>
      <c r="AB84" s="7"/>
      <c r="AC84" s="7"/>
    </row>
    <row r="85" spans="1:29" s="48" customFormat="1" x14ac:dyDescent="0.2">
      <c r="A85" s="72"/>
      <c r="B85" s="65"/>
      <c r="C85"/>
      <c r="D85"/>
      <c r="E85"/>
      <c r="F85"/>
      <c r="G85"/>
      <c r="H85" s="37"/>
      <c r="I85" s="37"/>
      <c r="J85" s="37"/>
      <c r="K85" s="93"/>
      <c r="L85" s="7"/>
      <c r="M85" s="7"/>
      <c r="N85" s="7"/>
      <c r="O85" s="7"/>
      <c r="P85" s="7"/>
      <c r="Q85" s="7"/>
      <c r="R85" s="7"/>
      <c r="S85" s="7"/>
      <c r="T85" s="7"/>
      <c r="U85" s="7"/>
      <c r="V85" s="7"/>
      <c r="W85" s="7"/>
      <c r="X85" s="7"/>
      <c r="Y85" s="7"/>
      <c r="Z85" s="7"/>
      <c r="AA85" s="7"/>
      <c r="AB85" s="7"/>
      <c r="AC85" s="7"/>
    </row>
    <row r="86" spans="1:29" s="48" customFormat="1" x14ac:dyDescent="0.2">
      <c r="A86" s="72"/>
      <c r="B86" s="65"/>
      <c r="C86"/>
      <c r="D86"/>
      <c r="E86"/>
      <c r="F86"/>
      <c r="G86"/>
      <c r="H86" s="37"/>
      <c r="I86" s="37"/>
      <c r="J86" s="37"/>
      <c r="K86" s="93"/>
      <c r="L86" s="7"/>
      <c r="M86" s="7"/>
      <c r="N86" s="7"/>
      <c r="O86" s="7"/>
      <c r="P86" s="7"/>
      <c r="Q86" s="7"/>
      <c r="R86" s="7"/>
      <c r="S86" s="7"/>
      <c r="T86" s="7"/>
      <c r="U86" s="7"/>
      <c r="V86" s="7"/>
      <c r="W86" s="7"/>
      <c r="X86" s="7"/>
      <c r="Y86" s="7"/>
      <c r="Z86" s="7"/>
      <c r="AA86" s="7"/>
      <c r="AB86" s="7"/>
      <c r="AC86" s="7"/>
    </row>
    <row r="87" spans="1:29" s="48" customFormat="1" x14ac:dyDescent="0.2">
      <c r="A87" s="72"/>
      <c r="B87" s="65"/>
      <c r="C87"/>
      <c r="D87"/>
      <c r="E87"/>
      <c r="F87"/>
      <c r="G87"/>
      <c r="H87" s="37"/>
      <c r="I87" s="37"/>
      <c r="J87" s="37"/>
      <c r="K87" s="93"/>
      <c r="L87" s="7"/>
      <c r="M87" s="7"/>
      <c r="N87" s="7"/>
      <c r="O87" s="7"/>
      <c r="P87" s="7"/>
      <c r="Q87" s="7"/>
      <c r="R87" s="7"/>
      <c r="S87" s="7"/>
      <c r="T87" s="7"/>
      <c r="U87" s="7"/>
      <c r="V87" s="7"/>
      <c r="W87" s="7"/>
      <c r="X87" s="7"/>
      <c r="Y87" s="7"/>
      <c r="Z87" s="7"/>
      <c r="AA87" s="7"/>
      <c r="AB87" s="7"/>
      <c r="AC87" s="7"/>
    </row>
    <row r="88" spans="1:29" s="48" customFormat="1" x14ac:dyDescent="0.2">
      <c r="A88" s="72"/>
      <c r="B88" s="65"/>
      <c r="C88"/>
      <c r="D88"/>
      <c r="E88"/>
      <c r="F88"/>
      <c r="G88"/>
      <c r="H88" s="37"/>
      <c r="I88" s="37"/>
      <c r="J88" s="37"/>
      <c r="K88" s="93"/>
      <c r="L88" s="7"/>
      <c r="M88" s="7"/>
      <c r="N88" s="7"/>
      <c r="O88" s="7"/>
      <c r="P88" s="7"/>
      <c r="Q88" s="7"/>
      <c r="R88" s="7"/>
      <c r="S88" s="7"/>
      <c r="T88" s="7"/>
      <c r="U88" s="7"/>
      <c r="V88" s="7"/>
      <c r="W88" s="7"/>
      <c r="X88" s="7"/>
      <c r="Y88" s="7"/>
      <c r="Z88" s="7"/>
      <c r="AA88" s="7"/>
      <c r="AB88" s="7"/>
      <c r="AC88" s="7"/>
    </row>
    <row r="89" spans="1:29" s="48" customFormat="1" x14ac:dyDescent="0.2">
      <c r="A89" s="72"/>
      <c r="B89" s="65"/>
      <c r="C89"/>
      <c r="D89"/>
      <c r="E89"/>
      <c r="F89"/>
      <c r="G89"/>
      <c r="H89" s="37"/>
      <c r="I89" s="37"/>
      <c r="J89" s="37"/>
      <c r="K89" s="93"/>
      <c r="L89" s="7"/>
      <c r="M89" s="7"/>
      <c r="N89" s="7"/>
      <c r="O89" s="7"/>
      <c r="P89" s="7"/>
      <c r="Q89" s="7"/>
      <c r="R89" s="7"/>
      <c r="S89" s="7"/>
      <c r="T89" s="7"/>
      <c r="U89" s="7"/>
      <c r="V89" s="7"/>
      <c r="W89" s="7"/>
      <c r="X89" s="7"/>
      <c r="Y89" s="7"/>
      <c r="Z89" s="7"/>
      <c r="AA89" s="7"/>
      <c r="AB89" s="7"/>
      <c r="AC89" s="7"/>
    </row>
    <row r="90" spans="1:29" s="48" customFormat="1" x14ac:dyDescent="0.2">
      <c r="A90" s="72"/>
      <c r="B90" s="65"/>
      <c r="C90"/>
      <c r="D90"/>
      <c r="E90"/>
      <c r="F90"/>
      <c r="G90"/>
      <c r="H90" s="37"/>
      <c r="I90" s="37"/>
      <c r="J90" s="37"/>
      <c r="K90" s="93"/>
      <c r="L90" s="7"/>
      <c r="M90" s="7"/>
      <c r="N90" s="7"/>
      <c r="O90" s="7"/>
      <c r="P90" s="7"/>
      <c r="Q90" s="7"/>
      <c r="R90" s="7"/>
      <c r="S90" s="7"/>
      <c r="T90" s="7"/>
      <c r="U90" s="7"/>
      <c r="V90" s="7"/>
      <c r="W90" s="7"/>
      <c r="X90" s="7"/>
      <c r="Y90" s="7"/>
      <c r="Z90" s="7"/>
      <c r="AA90" s="7"/>
      <c r="AB90" s="7"/>
      <c r="AC90" s="7"/>
    </row>
    <row r="91" spans="1:29" s="48" customFormat="1" x14ac:dyDescent="0.2">
      <c r="A91" s="72"/>
      <c r="B91" s="65"/>
      <c r="C91"/>
      <c r="D91"/>
      <c r="E91"/>
      <c r="F91"/>
      <c r="G91"/>
      <c r="H91" s="37"/>
      <c r="I91" s="37"/>
      <c r="J91" s="37"/>
      <c r="K91" s="93"/>
      <c r="L91" s="7"/>
      <c r="M91" s="7"/>
      <c r="N91" s="7"/>
      <c r="O91" s="7"/>
      <c r="P91" s="7"/>
      <c r="Q91" s="7"/>
      <c r="R91" s="7"/>
      <c r="S91" s="7"/>
      <c r="T91" s="7"/>
      <c r="U91" s="7"/>
      <c r="V91" s="7"/>
      <c r="W91" s="7"/>
      <c r="X91" s="7"/>
      <c r="Y91" s="7"/>
      <c r="Z91" s="7"/>
      <c r="AA91" s="7"/>
      <c r="AB91" s="7"/>
      <c r="AC91" s="7"/>
    </row>
    <row r="92" spans="1:29" s="48" customFormat="1" x14ac:dyDescent="0.2">
      <c r="A92" s="72"/>
      <c r="B92" s="65"/>
      <c r="C92"/>
      <c r="D92"/>
      <c r="E92"/>
      <c r="F92"/>
      <c r="G92"/>
      <c r="H92" s="37"/>
      <c r="I92" s="37"/>
      <c r="J92" s="37"/>
      <c r="K92" s="93"/>
      <c r="L92" s="7"/>
      <c r="M92" s="7"/>
      <c r="N92" s="7"/>
      <c r="O92" s="7"/>
      <c r="P92" s="7"/>
      <c r="Q92" s="7"/>
      <c r="R92" s="7"/>
      <c r="S92" s="7"/>
      <c r="T92" s="7"/>
      <c r="U92" s="7"/>
      <c r="V92" s="7"/>
      <c r="W92" s="7"/>
      <c r="X92" s="7"/>
      <c r="Y92" s="7"/>
      <c r="Z92" s="7"/>
      <c r="AA92" s="7"/>
      <c r="AB92" s="7"/>
      <c r="AC92" s="7"/>
    </row>
    <row r="93" spans="1:29" s="48" customFormat="1" x14ac:dyDescent="0.2">
      <c r="A93" s="72"/>
      <c r="B93" s="65"/>
      <c r="C93"/>
      <c r="D93"/>
      <c r="E93"/>
      <c r="F93"/>
      <c r="G93"/>
      <c r="H93" s="37"/>
      <c r="I93" s="37"/>
      <c r="J93" s="37"/>
      <c r="K93" s="93"/>
      <c r="L93" s="7"/>
      <c r="M93" s="7"/>
      <c r="N93" s="7"/>
      <c r="O93" s="7"/>
      <c r="P93" s="7"/>
      <c r="Q93" s="7"/>
      <c r="R93" s="7"/>
      <c r="S93" s="7"/>
      <c r="T93" s="7"/>
      <c r="U93" s="7"/>
      <c r="V93" s="7"/>
      <c r="W93" s="7"/>
      <c r="X93" s="7"/>
      <c r="Y93" s="7"/>
      <c r="Z93" s="7"/>
      <c r="AA93" s="7"/>
      <c r="AB93" s="7"/>
      <c r="AC93" s="7"/>
    </row>
    <row r="94" spans="1:29" s="48" customFormat="1" x14ac:dyDescent="0.2">
      <c r="A94" s="72"/>
      <c r="B94" s="65"/>
      <c r="C94"/>
      <c r="D94"/>
      <c r="E94"/>
      <c r="F94"/>
      <c r="G94"/>
      <c r="H94" s="37"/>
      <c r="I94" s="37"/>
      <c r="J94" s="37"/>
      <c r="K94" s="93"/>
      <c r="L94" s="7"/>
      <c r="M94" s="7"/>
      <c r="N94" s="7"/>
      <c r="O94" s="7"/>
      <c r="P94" s="7"/>
      <c r="Q94" s="7"/>
      <c r="R94" s="7"/>
      <c r="S94" s="7"/>
      <c r="T94" s="7"/>
      <c r="U94" s="7"/>
      <c r="V94" s="7"/>
      <c r="W94" s="7"/>
      <c r="X94" s="7"/>
      <c r="Y94" s="7"/>
      <c r="Z94" s="7"/>
      <c r="AA94" s="7"/>
      <c r="AB94" s="7"/>
      <c r="AC94" s="7"/>
    </row>
    <row r="95" spans="1:29" s="48" customFormat="1" x14ac:dyDescent="0.2">
      <c r="A95" s="72"/>
      <c r="B95" s="65"/>
      <c r="C95"/>
      <c r="D95"/>
      <c r="E95"/>
      <c r="F95"/>
      <c r="G95"/>
      <c r="H95" s="37"/>
      <c r="I95" s="37"/>
      <c r="J95" s="37"/>
      <c r="K95" s="93"/>
      <c r="L95" s="7"/>
      <c r="M95" s="7"/>
      <c r="N95" s="7"/>
      <c r="O95" s="7"/>
      <c r="P95" s="7"/>
      <c r="Q95" s="7"/>
      <c r="R95" s="7"/>
      <c r="S95" s="7"/>
      <c r="T95" s="7"/>
      <c r="U95" s="7"/>
      <c r="V95" s="7"/>
      <c r="W95" s="7"/>
      <c r="X95" s="7"/>
      <c r="Y95" s="7"/>
      <c r="Z95" s="7"/>
      <c r="AA95" s="7"/>
      <c r="AB95" s="7"/>
      <c r="AC95" s="7"/>
    </row>
    <row r="96" spans="1:29" s="48" customFormat="1" x14ac:dyDescent="0.2">
      <c r="A96" s="72"/>
      <c r="B96" s="65"/>
      <c r="C96"/>
      <c r="D96"/>
      <c r="E96"/>
      <c r="F96"/>
      <c r="G96"/>
      <c r="H96" s="37"/>
      <c r="I96" s="37"/>
      <c r="J96" s="37"/>
      <c r="K96" s="93"/>
      <c r="L96" s="7"/>
      <c r="M96" s="7"/>
      <c r="N96" s="7"/>
      <c r="O96" s="7"/>
      <c r="P96" s="7"/>
      <c r="Q96" s="7"/>
      <c r="R96" s="7"/>
      <c r="S96" s="7"/>
      <c r="T96" s="7"/>
      <c r="U96" s="7"/>
      <c r="V96" s="7"/>
      <c r="W96" s="7"/>
      <c r="X96" s="7"/>
      <c r="Y96" s="7"/>
      <c r="Z96" s="7"/>
      <c r="AA96" s="7"/>
      <c r="AB96" s="7"/>
      <c r="AC96" s="7"/>
    </row>
    <row r="97" spans="1:29" s="48" customFormat="1" x14ac:dyDescent="0.2">
      <c r="A97" s="72"/>
      <c r="B97" s="65"/>
      <c r="C97"/>
      <c r="D97"/>
      <c r="E97"/>
      <c r="F97"/>
      <c r="G97"/>
      <c r="H97" s="37"/>
      <c r="I97" s="37"/>
      <c r="J97" s="37"/>
      <c r="K97" s="93"/>
      <c r="L97" s="7"/>
      <c r="M97" s="7"/>
      <c r="N97" s="7"/>
      <c r="O97" s="7"/>
      <c r="P97" s="7"/>
      <c r="Q97" s="7"/>
      <c r="R97" s="7"/>
      <c r="S97" s="7"/>
      <c r="T97" s="7"/>
      <c r="U97" s="7"/>
      <c r="V97" s="7"/>
      <c r="W97" s="7"/>
      <c r="X97" s="7"/>
      <c r="Y97" s="7"/>
      <c r="Z97" s="7"/>
      <c r="AA97" s="7"/>
      <c r="AB97" s="7"/>
      <c r="AC97" s="7"/>
    </row>
    <row r="98" spans="1:29" s="48" customFormat="1" x14ac:dyDescent="0.2">
      <c r="A98" s="72"/>
      <c r="B98" s="65"/>
      <c r="C98"/>
      <c r="D98"/>
      <c r="E98"/>
      <c r="F98"/>
      <c r="G98"/>
      <c r="H98" s="37"/>
      <c r="I98" s="37"/>
      <c r="J98" s="37"/>
      <c r="K98" s="93"/>
      <c r="L98" s="7"/>
      <c r="M98" s="7"/>
      <c r="N98" s="7"/>
      <c r="O98" s="7"/>
      <c r="P98" s="7"/>
      <c r="Q98" s="7"/>
      <c r="R98" s="7"/>
      <c r="S98" s="7"/>
      <c r="T98" s="7"/>
      <c r="U98" s="7"/>
      <c r="V98" s="7"/>
      <c r="W98" s="7"/>
      <c r="X98" s="7"/>
      <c r="Y98" s="7"/>
      <c r="Z98" s="7"/>
      <c r="AA98" s="7"/>
      <c r="AB98" s="7"/>
      <c r="AC98" s="7"/>
    </row>
    <row r="99" spans="1:29" s="48" customFormat="1" x14ac:dyDescent="0.2">
      <c r="A99" s="72"/>
      <c r="B99" s="65"/>
      <c r="C99"/>
      <c r="D99"/>
      <c r="E99"/>
      <c r="F99"/>
      <c r="G99"/>
      <c r="H99" s="37"/>
      <c r="I99" s="37"/>
      <c r="J99" s="37"/>
      <c r="K99" s="93"/>
      <c r="L99" s="7"/>
      <c r="M99" s="7"/>
      <c r="N99" s="7"/>
      <c r="O99" s="7"/>
      <c r="P99" s="7"/>
      <c r="Q99" s="7"/>
      <c r="R99" s="7"/>
      <c r="S99" s="7"/>
      <c r="T99" s="7"/>
      <c r="U99" s="7"/>
      <c r="V99" s="7"/>
      <c r="W99" s="7"/>
      <c r="X99" s="7"/>
      <c r="Y99" s="7"/>
      <c r="Z99" s="7"/>
      <c r="AA99" s="7"/>
      <c r="AB99" s="7"/>
      <c r="AC99" s="7"/>
    </row>
    <row r="100" spans="1:29" s="48" customFormat="1" x14ac:dyDescent="0.2">
      <c r="A100" s="72"/>
      <c r="B100" s="65"/>
      <c r="C100"/>
      <c r="D100"/>
      <c r="E100"/>
      <c r="F100"/>
      <c r="G100"/>
      <c r="H100" s="37"/>
      <c r="I100" s="37"/>
      <c r="J100" s="37"/>
      <c r="K100" s="93"/>
      <c r="L100" s="7"/>
      <c r="M100" s="7"/>
      <c r="N100" s="7"/>
      <c r="O100" s="7"/>
      <c r="P100" s="7"/>
      <c r="Q100" s="7"/>
      <c r="R100" s="7"/>
      <c r="S100" s="7"/>
      <c r="T100" s="7"/>
      <c r="U100" s="7"/>
      <c r="V100" s="7"/>
      <c r="W100" s="7"/>
      <c r="X100" s="7"/>
      <c r="Y100" s="7"/>
      <c r="Z100" s="7"/>
      <c r="AA100" s="7"/>
      <c r="AB100" s="7"/>
      <c r="AC100" s="7"/>
    </row>
    <row r="101" spans="1:29" s="48" customFormat="1" x14ac:dyDescent="0.2">
      <c r="A101" s="72"/>
      <c r="B101" s="65"/>
      <c r="C101"/>
      <c r="D101"/>
      <c r="E101"/>
      <c r="F101"/>
      <c r="G101"/>
      <c r="H101" s="37"/>
      <c r="I101" s="37"/>
      <c r="J101" s="37"/>
      <c r="K101" s="93"/>
      <c r="L101" s="7"/>
      <c r="M101" s="7"/>
      <c r="N101" s="7"/>
      <c r="O101" s="7"/>
      <c r="P101" s="7"/>
      <c r="Q101" s="7"/>
      <c r="R101" s="7"/>
      <c r="S101" s="7"/>
      <c r="T101" s="7"/>
      <c r="U101" s="7"/>
      <c r="V101" s="7"/>
      <c r="W101" s="7"/>
      <c r="X101" s="7"/>
      <c r="Y101" s="7"/>
      <c r="Z101" s="7"/>
      <c r="AA101" s="7"/>
      <c r="AB101" s="7"/>
      <c r="AC101" s="7"/>
    </row>
    <row r="102" spans="1:29" s="48" customFormat="1" x14ac:dyDescent="0.2">
      <c r="A102" s="72"/>
      <c r="B102" s="65"/>
      <c r="C102"/>
      <c r="D102"/>
      <c r="E102"/>
      <c r="F102"/>
      <c r="G102"/>
      <c r="H102" s="37"/>
      <c r="I102" s="37"/>
      <c r="J102" s="37"/>
      <c r="K102" s="93"/>
      <c r="L102" s="7"/>
      <c r="M102" s="7"/>
      <c r="N102" s="7"/>
      <c r="O102" s="7"/>
      <c r="P102" s="7"/>
      <c r="Q102" s="7"/>
      <c r="R102" s="7"/>
      <c r="S102" s="7"/>
      <c r="T102" s="7"/>
      <c r="U102" s="7"/>
      <c r="V102" s="7"/>
      <c r="W102" s="7"/>
      <c r="X102" s="7"/>
      <c r="Y102" s="7"/>
      <c r="Z102" s="7"/>
      <c r="AA102" s="7"/>
      <c r="AB102" s="7"/>
      <c r="AC102" s="7"/>
    </row>
    <row r="103" spans="1:29" s="48" customFormat="1" x14ac:dyDescent="0.2">
      <c r="A103" s="72"/>
      <c r="B103" s="65"/>
      <c r="C103"/>
      <c r="D103"/>
      <c r="E103"/>
      <c r="F103"/>
      <c r="G103"/>
      <c r="H103" s="37"/>
      <c r="I103" s="37"/>
      <c r="J103" s="37"/>
      <c r="K103" s="93"/>
      <c r="L103" s="7"/>
      <c r="M103" s="7"/>
      <c r="N103" s="7"/>
      <c r="O103" s="7"/>
      <c r="P103" s="7"/>
      <c r="Q103" s="7"/>
      <c r="R103" s="7"/>
      <c r="S103" s="7"/>
      <c r="T103" s="7"/>
      <c r="U103" s="7"/>
      <c r="V103" s="7"/>
      <c r="W103" s="7"/>
      <c r="X103" s="7"/>
      <c r="Y103" s="7"/>
      <c r="Z103" s="7"/>
      <c r="AA103" s="7"/>
      <c r="AB103" s="7"/>
      <c r="AC103" s="7"/>
    </row>
    <row r="104" spans="1:29" s="48" customFormat="1" x14ac:dyDescent="0.2">
      <c r="A104" s="72"/>
      <c r="B104" s="65"/>
      <c r="C104"/>
      <c r="D104"/>
      <c r="E104"/>
      <c r="F104"/>
      <c r="G104"/>
      <c r="H104" s="37"/>
      <c r="I104" s="37"/>
      <c r="J104" s="37"/>
      <c r="K104" s="93"/>
      <c r="L104" s="7"/>
      <c r="M104" s="7"/>
      <c r="N104" s="7"/>
      <c r="O104" s="7"/>
      <c r="P104" s="7"/>
      <c r="Q104" s="7"/>
      <c r="R104" s="7"/>
      <c r="S104" s="7"/>
      <c r="T104" s="7"/>
      <c r="U104" s="7"/>
      <c r="V104" s="7"/>
      <c r="W104" s="7"/>
      <c r="X104" s="7"/>
      <c r="Y104" s="7"/>
      <c r="Z104" s="7"/>
      <c r="AA104" s="7"/>
      <c r="AB104" s="7"/>
      <c r="AC104" s="7"/>
    </row>
    <row r="105" spans="1:29" s="48" customFormat="1" x14ac:dyDescent="0.2">
      <c r="A105" s="72"/>
      <c r="B105" s="65"/>
      <c r="C105"/>
      <c r="D105"/>
      <c r="E105"/>
      <c r="F105"/>
      <c r="G105"/>
      <c r="H105" s="37"/>
      <c r="I105" s="37"/>
      <c r="J105" s="37"/>
      <c r="K105" s="93"/>
      <c r="L105" s="7"/>
      <c r="M105" s="7"/>
      <c r="N105" s="7"/>
      <c r="O105" s="7"/>
      <c r="P105" s="7"/>
      <c r="Q105" s="7"/>
      <c r="R105" s="7"/>
      <c r="S105" s="7"/>
      <c r="T105" s="7"/>
      <c r="U105" s="7"/>
      <c r="V105" s="7"/>
      <c r="W105" s="7"/>
      <c r="X105" s="7"/>
      <c r="Y105" s="7"/>
      <c r="Z105" s="7"/>
      <c r="AA105" s="7"/>
      <c r="AB105" s="7"/>
      <c r="AC105" s="7"/>
    </row>
    <row r="106" spans="1:29" s="48" customFormat="1" x14ac:dyDescent="0.2">
      <c r="A106" s="72"/>
      <c r="B106" s="65"/>
      <c r="C106"/>
      <c r="D106"/>
      <c r="E106"/>
      <c r="F106"/>
      <c r="G106"/>
      <c r="H106" s="37"/>
      <c r="I106" s="37"/>
      <c r="J106" s="37"/>
      <c r="K106" s="93"/>
      <c r="L106" s="7"/>
      <c r="M106" s="7"/>
      <c r="N106" s="7"/>
      <c r="O106" s="7"/>
      <c r="P106" s="7"/>
      <c r="Q106" s="7"/>
      <c r="R106" s="7"/>
      <c r="S106" s="7"/>
      <c r="T106" s="7"/>
      <c r="U106" s="7"/>
      <c r="V106" s="7"/>
      <c r="W106" s="7"/>
      <c r="X106" s="7"/>
      <c r="Y106" s="7"/>
      <c r="Z106" s="7"/>
      <c r="AA106" s="7"/>
      <c r="AB106" s="7"/>
      <c r="AC106" s="7"/>
    </row>
    <row r="107" spans="1:29" s="48" customFormat="1" x14ac:dyDescent="0.2">
      <c r="A107" s="72"/>
      <c r="B107" s="65"/>
      <c r="C107"/>
      <c r="D107"/>
      <c r="E107"/>
      <c r="F107"/>
      <c r="G107"/>
      <c r="H107" s="37"/>
      <c r="I107" s="37"/>
      <c r="J107" s="37"/>
      <c r="K107" s="93"/>
      <c r="L107" s="7"/>
      <c r="M107" s="7"/>
      <c r="N107" s="7"/>
      <c r="O107" s="7"/>
      <c r="P107" s="7"/>
      <c r="Q107" s="7"/>
      <c r="R107" s="7"/>
      <c r="S107" s="7"/>
      <c r="T107" s="7"/>
      <c r="U107" s="7"/>
      <c r="V107" s="7"/>
      <c r="W107" s="7"/>
      <c r="X107" s="7"/>
      <c r="Y107" s="7"/>
      <c r="Z107" s="7"/>
      <c r="AA107" s="7"/>
      <c r="AB107" s="7"/>
      <c r="AC107" s="7"/>
    </row>
    <row r="108" spans="1:29" s="48" customFormat="1" x14ac:dyDescent="0.2">
      <c r="A108" s="72"/>
      <c r="B108" s="65"/>
      <c r="C108"/>
      <c r="D108"/>
      <c r="E108"/>
      <c r="F108"/>
      <c r="G108"/>
      <c r="H108" s="37"/>
      <c r="I108" s="37"/>
      <c r="J108" s="37"/>
      <c r="K108" s="93"/>
      <c r="L108" s="7"/>
      <c r="M108" s="7"/>
      <c r="N108" s="7"/>
      <c r="O108" s="7"/>
      <c r="P108" s="7"/>
      <c r="Q108" s="7"/>
      <c r="R108" s="7"/>
      <c r="S108" s="7"/>
      <c r="T108" s="7"/>
      <c r="U108" s="7"/>
      <c r="V108" s="7"/>
      <c r="W108" s="7"/>
      <c r="X108" s="7"/>
      <c r="Y108" s="7"/>
      <c r="Z108" s="7"/>
      <c r="AA108" s="7"/>
      <c r="AB108" s="7"/>
      <c r="AC108" s="7"/>
    </row>
    <row r="109" spans="1:29" s="48" customFormat="1" x14ac:dyDescent="0.2">
      <c r="A109" s="72"/>
      <c r="B109" s="65"/>
      <c r="C109"/>
      <c r="D109"/>
      <c r="E109"/>
      <c r="F109"/>
      <c r="G109"/>
      <c r="H109" s="37"/>
      <c r="I109" s="37"/>
      <c r="J109" s="37"/>
      <c r="K109" s="93"/>
      <c r="L109" s="7"/>
      <c r="M109" s="7"/>
      <c r="N109" s="7"/>
      <c r="O109" s="7"/>
      <c r="P109" s="7"/>
      <c r="Q109" s="7"/>
      <c r="R109" s="7"/>
      <c r="S109" s="7"/>
      <c r="T109" s="7"/>
      <c r="U109" s="7"/>
      <c r="V109" s="7"/>
      <c r="W109" s="7"/>
      <c r="X109" s="7"/>
      <c r="Y109" s="7"/>
      <c r="Z109" s="7"/>
      <c r="AA109" s="7"/>
      <c r="AB109" s="7"/>
      <c r="AC109" s="7"/>
    </row>
    <row r="110" spans="1:29" s="48" customFormat="1" x14ac:dyDescent="0.2">
      <c r="A110" s="72"/>
      <c r="B110" s="65"/>
      <c r="C110"/>
      <c r="D110"/>
      <c r="E110"/>
      <c r="F110"/>
      <c r="G110"/>
      <c r="H110" s="37"/>
      <c r="I110" s="37"/>
      <c r="J110" s="37"/>
      <c r="K110" s="93"/>
      <c r="L110" s="7"/>
      <c r="M110" s="7"/>
      <c r="N110" s="7"/>
      <c r="O110" s="7"/>
      <c r="P110" s="7"/>
      <c r="Q110" s="7"/>
      <c r="R110" s="7"/>
      <c r="S110" s="7"/>
      <c r="T110" s="7"/>
      <c r="U110" s="7"/>
      <c r="V110" s="7"/>
      <c r="W110" s="7"/>
      <c r="X110" s="7"/>
      <c r="Y110" s="7"/>
      <c r="Z110" s="7"/>
      <c r="AA110" s="7"/>
      <c r="AB110" s="7"/>
      <c r="AC110" s="7"/>
    </row>
    <row r="111" spans="1:29" s="48" customFormat="1" x14ac:dyDescent="0.2">
      <c r="A111" s="72"/>
      <c r="B111" s="65"/>
      <c r="C111"/>
      <c r="D111"/>
      <c r="E111"/>
      <c r="F111"/>
      <c r="G111"/>
      <c r="H111" s="37"/>
      <c r="I111" s="37"/>
      <c r="J111" s="37"/>
      <c r="K111" s="93"/>
      <c r="L111" s="7"/>
      <c r="M111" s="7"/>
      <c r="N111" s="7"/>
      <c r="O111" s="7"/>
      <c r="P111" s="7"/>
      <c r="Q111" s="7"/>
      <c r="R111" s="7"/>
      <c r="S111" s="7"/>
      <c r="T111" s="7"/>
      <c r="U111" s="7"/>
      <c r="V111" s="7"/>
      <c r="W111" s="7"/>
      <c r="X111" s="7"/>
      <c r="Y111" s="7"/>
      <c r="Z111" s="7"/>
      <c r="AA111" s="7"/>
      <c r="AB111" s="7"/>
      <c r="AC111" s="7"/>
    </row>
    <row r="112" spans="1:29" s="48" customFormat="1" x14ac:dyDescent="0.2">
      <c r="A112" s="72"/>
      <c r="B112" s="65"/>
      <c r="C112"/>
      <c r="D112"/>
      <c r="E112"/>
      <c r="F112"/>
      <c r="G112"/>
      <c r="H112" s="37"/>
      <c r="I112" s="37"/>
      <c r="J112" s="37"/>
      <c r="K112" s="93"/>
      <c r="L112" s="7"/>
      <c r="M112" s="7"/>
      <c r="N112" s="7"/>
      <c r="O112" s="7"/>
      <c r="P112" s="7"/>
      <c r="Q112" s="7"/>
      <c r="R112" s="7"/>
      <c r="S112" s="7"/>
      <c r="T112" s="7"/>
      <c r="U112" s="7"/>
      <c r="V112" s="7"/>
      <c r="W112" s="7"/>
      <c r="X112" s="7"/>
      <c r="Y112" s="7"/>
      <c r="Z112" s="7"/>
      <c r="AA112" s="7"/>
      <c r="AB112" s="7"/>
      <c r="AC112" s="7"/>
    </row>
    <row r="113" spans="1:29" s="48" customFormat="1" x14ac:dyDescent="0.2">
      <c r="A113" s="72"/>
      <c r="B113" s="65"/>
      <c r="C113"/>
      <c r="D113"/>
      <c r="E113"/>
      <c r="F113"/>
      <c r="G113"/>
      <c r="H113" s="37"/>
      <c r="I113" s="37"/>
      <c r="J113" s="37"/>
      <c r="K113" s="93"/>
      <c r="L113" s="7"/>
      <c r="M113" s="7"/>
      <c r="N113" s="7"/>
      <c r="O113" s="7"/>
      <c r="P113" s="7"/>
      <c r="Q113" s="7"/>
      <c r="R113" s="7"/>
      <c r="S113" s="7"/>
      <c r="T113" s="7"/>
      <c r="U113" s="7"/>
      <c r="V113" s="7"/>
      <c r="W113" s="7"/>
      <c r="X113" s="7"/>
      <c r="Y113" s="7"/>
      <c r="Z113" s="7"/>
      <c r="AA113" s="7"/>
      <c r="AB113" s="7"/>
      <c r="AC113" s="7"/>
    </row>
    <row r="114" spans="1:29" s="48" customFormat="1" x14ac:dyDescent="0.2">
      <c r="A114" s="72"/>
      <c r="B114" s="65"/>
      <c r="C114"/>
      <c r="D114"/>
      <c r="E114"/>
      <c r="F114"/>
      <c r="G114"/>
      <c r="H114" s="37"/>
      <c r="I114" s="37"/>
      <c r="J114" s="37"/>
      <c r="K114" s="93"/>
      <c r="L114" s="7"/>
      <c r="M114" s="7"/>
      <c r="N114" s="7"/>
      <c r="O114" s="7"/>
      <c r="P114" s="7"/>
      <c r="Q114" s="7"/>
      <c r="R114" s="7"/>
      <c r="S114" s="7"/>
      <c r="T114" s="7"/>
      <c r="U114" s="7"/>
      <c r="V114" s="7"/>
      <c r="W114" s="7"/>
      <c r="X114" s="7"/>
      <c r="Y114" s="7"/>
      <c r="Z114" s="7"/>
      <c r="AA114" s="7"/>
      <c r="AB114" s="7"/>
      <c r="AC114" s="7"/>
    </row>
    <row r="115" spans="1:29" s="48" customFormat="1" x14ac:dyDescent="0.2">
      <c r="A115" s="72"/>
      <c r="B115" s="65"/>
      <c r="C115"/>
      <c r="D115"/>
      <c r="E115"/>
      <c r="F115"/>
      <c r="G115"/>
      <c r="H115" s="37"/>
      <c r="I115" s="37"/>
      <c r="J115" s="37"/>
      <c r="K115" s="93"/>
      <c r="L115" s="7"/>
      <c r="M115" s="7"/>
      <c r="N115" s="7"/>
      <c r="O115" s="7"/>
      <c r="P115" s="7"/>
      <c r="Q115" s="7"/>
      <c r="R115" s="7"/>
      <c r="S115" s="7"/>
      <c r="T115" s="7"/>
      <c r="U115" s="7"/>
      <c r="V115" s="7"/>
      <c r="W115" s="7"/>
      <c r="X115" s="7"/>
      <c r="Y115" s="7"/>
      <c r="Z115" s="7"/>
      <c r="AA115" s="7"/>
      <c r="AB115" s="7"/>
      <c r="AC115" s="7"/>
    </row>
    <row r="116" spans="1:29" s="48" customFormat="1" x14ac:dyDescent="0.2">
      <c r="A116" s="72"/>
      <c r="B116" s="65"/>
      <c r="C116"/>
      <c r="D116"/>
      <c r="E116"/>
      <c r="F116"/>
      <c r="G116"/>
      <c r="H116" s="37"/>
      <c r="I116" s="37"/>
      <c r="J116" s="37"/>
      <c r="K116" s="93"/>
      <c r="L116" s="7"/>
      <c r="M116" s="7"/>
      <c r="N116" s="7"/>
      <c r="O116" s="7"/>
      <c r="P116" s="7"/>
      <c r="Q116" s="7"/>
      <c r="R116" s="7"/>
      <c r="S116" s="7"/>
      <c r="T116" s="7"/>
      <c r="U116" s="7"/>
      <c r="V116" s="7"/>
      <c r="W116" s="7"/>
      <c r="X116" s="7"/>
      <c r="Y116" s="7"/>
      <c r="Z116" s="7"/>
      <c r="AA116" s="7"/>
      <c r="AB116" s="7"/>
      <c r="AC116" s="7"/>
    </row>
    <row r="117" spans="1:29" s="48" customFormat="1" x14ac:dyDescent="0.2">
      <c r="A117" s="72"/>
      <c r="B117" s="65"/>
      <c r="C117"/>
      <c r="D117"/>
      <c r="E117"/>
      <c r="F117"/>
      <c r="G117"/>
      <c r="H117" s="37"/>
      <c r="I117" s="37"/>
      <c r="J117" s="37"/>
      <c r="K117" s="93"/>
      <c r="L117" s="7"/>
      <c r="M117" s="7"/>
      <c r="N117" s="7"/>
      <c r="O117" s="7"/>
      <c r="P117" s="7"/>
      <c r="Q117" s="7"/>
      <c r="R117" s="7"/>
      <c r="S117" s="7"/>
      <c r="T117" s="7"/>
      <c r="U117" s="7"/>
      <c r="V117" s="7"/>
      <c r="W117" s="7"/>
      <c r="X117" s="7"/>
      <c r="Y117" s="7"/>
      <c r="Z117" s="7"/>
      <c r="AA117" s="7"/>
      <c r="AB117" s="7"/>
      <c r="AC117" s="7"/>
    </row>
    <row r="118" spans="1:29" s="48" customFormat="1" x14ac:dyDescent="0.2">
      <c r="A118" s="72"/>
      <c r="B118" s="65"/>
      <c r="C118"/>
      <c r="D118"/>
      <c r="E118"/>
      <c r="F118"/>
      <c r="G118"/>
      <c r="H118" s="37"/>
      <c r="I118" s="37"/>
      <c r="J118" s="37"/>
      <c r="K118" s="93"/>
      <c r="L118" s="7"/>
      <c r="M118" s="7"/>
      <c r="N118" s="7"/>
      <c r="O118" s="7"/>
      <c r="P118" s="7"/>
      <c r="Q118" s="7"/>
      <c r="R118" s="7"/>
      <c r="S118" s="7"/>
      <c r="T118" s="7"/>
      <c r="U118" s="7"/>
      <c r="V118" s="7"/>
      <c r="W118" s="7"/>
      <c r="X118" s="7"/>
      <c r="Y118" s="7"/>
      <c r="Z118" s="7"/>
      <c r="AA118" s="7"/>
      <c r="AB118" s="7"/>
      <c r="AC118" s="7"/>
    </row>
    <row r="119" spans="1:29" s="48" customFormat="1" x14ac:dyDescent="0.2">
      <c r="A119" s="72"/>
      <c r="B119" s="65"/>
      <c r="C119"/>
      <c r="D119"/>
      <c r="E119"/>
      <c r="F119"/>
      <c r="G119"/>
      <c r="H119" s="37"/>
      <c r="I119" s="37"/>
      <c r="J119" s="37"/>
      <c r="K119" s="93"/>
      <c r="L119" s="7"/>
      <c r="M119" s="7"/>
      <c r="N119" s="7"/>
      <c r="O119" s="7"/>
      <c r="P119" s="7"/>
      <c r="Q119" s="7"/>
      <c r="R119" s="7"/>
      <c r="S119" s="7"/>
      <c r="T119" s="7"/>
      <c r="U119" s="7"/>
      <c r="V119" s="7"/>
      <c r="W119" s="7"/>
      <c r="X119" s="7"/>
      <c r="Y119" s="7"/>
      <c r="Z119" s="7"/>
      <c r="AA119" s="7"/>
      <c r="AB119" s="7"/>
      <c r="AC119" s="7"/>
    </row>
    <row r="120" spans="1:29" s="48" customFormat="1" x14ac:dyDescent="0.2">
      <c r="A120" s="72"/>
      <c r="B120" s="65"/>
      <c r="C120"/>
      <c r="D120"/>
      <c r="E120"/>
      <c r="F120"/>
      <c r="G120"/>
      <c r="H120" s="37"/>
      <c r="I120" s="37"/>
      <c r="J120" s="37"/>
      <c r="K120" s="93"/>
      <c r="L120" s="7"/>
      <c r="M120" s="7"/>
      <c r="N120" s="7"/>
      <c r="O120" s="7"/>
      <c r="P120" s="7"/>
      <c r="Q120" s="7"/>
      <c r="R120" s="7"/>
      <c r="S120" s="7"/>
      <c r="T120" s="7"/>
      <c r="U120" s="7"/>
      <c r="V120" s="7"/>
      <c r="W120" s="7"/>
      <c r="X120" s="7"/>
      <c r="Y120" s="7"/>
      <c r="Z120" s="7"/>
      <c r="AA120" s="7"/>
      <c r="AB120" s="7"/>
      <c r="AC120" s="7"/>
    </row>
    <row r="121" spans="1:29" s="48" customFormat="1" x14ac:dyDescent="0.2">
      <c r="A121" s="72"/>
      <c r="B121" s="65"/>
      <c r="C121"/>
      <c r="D121"/>
      <c r="E121"/>
      <c r="F121"/>
      <c r="G121"/>
      <c r="H121" s="37"/>
      <c r="I121" s="37"/>
      <c r="J121" s="37"/>
      <c r="K121" s="93"/>
      <c r="L121" s="7"/>
      <c r="M121" s="7"/>
      <c r="N121" s="7"/>
      <c r="O121" s="7"/>
      <c r="P121" s="7"/>
      <c r="Q121" s="7"/>
      <c r="R121" s="7"/>
      <c r="S121" s="7"/>
      <c r="T121" s="7"/>
      <c r="U121" s="7"/>
      <c r="V121" s="7"/>
      <c r="W121" s="7"/>
      <c r="X121" s="7"/>
      <c r="Y121" s="7"/>
      <c r="Z121" s="7"/>
      <c r="AA121" s="7"/>
      <c r="AB121" s="7"/>
      <c r="AC121" s="7"/>
    </row>
    <row r="122" spans="1:29" s="48" customFormat="1" x14ac:dyDescent="0.2">
      <c r="A122" s="72"/>
      <c r="B122" s="65"/>
      <c r="C122"/>
      <c r="D122"/>
      <c r="E122"/>
      <c r="F122"/>
      <c r="G122"/>
      <c r="H122" s="37"/>
      <c r="I122" s="37"/>
      <c r="J122" s="37"/>
      <c r="K122" s="93"/>
      <c r="L122" s="7"/>
      <c r="M122" s="7"/>
      <c r="N122" s="7"/>
      <c r="O122" s="7"/>
      <c r="P122" s="7"/>
      <c r="Q122" s="7"/>
      <c r="R122" s="7"/>
      <c r="S122" s="7"/>
      <c r="T122" s="7"/>
      <c r="U122" s="7"/>
      <c r="V122" s="7"/>
      <c r="W122" s="7"/>
      <c r="X122" s="7"/>
      <c r="Y122" s="7"/>
      <c r="Z122" s="7"/>
      <c r="AA122" s="7"/>
      <c r="AB122" s="7"/>
      <c r="AC122" s="7"/>
    </row>
    <row r="123" spans="1:29" s="48" customFormat="1" x14ac:dyDescent="0.2">
      <c r="A123" s="72"/>
      <c r="B123" s="65"/>
      <c r="C123"/>
      <c r="D123"/>
      <c r="E123"/>
      <c r="F123"/>
      <c r="G123"/>
      <c r="H123" s="37"/>
      <c r="I123" s="37"/>
      <c r="J123" s="37"/>
      <c r="K123" s="93"/>
      <c r="L123" s="7"/>
      <c r="M123" s="7"/>
      <c r="N123" s="7"/>
      <c r="O123" s="7"/>
      <c r="P123" s="7"/>
      <c r="Q123" s="7"/>
      <c r="R123" s="7"/>
      <c r="S123" s="7"/>
      <c r="T123" s="7"/>
      <c r="U123" s="7"/>
      <c r="V123" s="7"/>
      <c r="W123" s="7"/>
      <c r="X123" s="7"/>
      <c r="Y123" s="7"/>
      <c r="Z123" s="7"/>
      <c r="AA123" s="7"/>
      <c r="AB123" s="7"/>
      <c r="AC123" s="7"/>
    </row>
    <row r="124" spans="1:29" s="48" customFormat="1" x14ac:dyDescent="0.2">
      <c r="A124" s="72"/>
      <c r="B124" s="65"/>
      <c r="C124"/>
      <c r="D124"/>
      <c r="E124"/>
      <c r="F124"/>
      <c r="G124"/>
      <c r="H124" s="37"/>
      <c r="I124" s="37"/>
      <c r="J124" s="37"/>
      <c r="K124" s="93"/>
      <c r="L124" s="7"/>
      <c r="M124" s="7"/>
      <c r="N124" s="7"/>
      <c r="O124" s="7"/>
      <c r="P124" s="7"/>
      <c r="Q124" s="7"/>
      <c r="R124" s="7"/>
      <c r="S124" s="7"/>
      <c r="T124" s="7"/>
      <c r="U124" s="7"/>
      <c r="V124" s="7"/>
      <c r="W124" s="7"/>
      <c r="X124" s="7"/>
      <c r="Y124" s="7"/>
      <c r="Z124" s="7"/>
      <c r="AA124" s="7"/>
      <c r="AB124" s="7"/>
      <c r="AC124" s="7"/>
    </row>
    <row r="125" spans="1:29" s="48" customFormat="1" x14ac:dyDescent="0.2">
      <c r="A125" s="72"/>
      <c r="B125" s="65"/>
      <c r="C125"/>
      <c r="D125"/>
      <c r="E125"/>
      <c r="F125"/>
      <c r="G125"/>
      <c r="H125" s="37"/>
      <c r="I125" s="37"/>
      <c r="J125" s="37"/>
      <c r="K125" s="93"/>
      <c r="L125" s="7"/>
      <c r="M125" s="7"/>
      <c r="N125" s="7"/>
      <c r="O125" s="7"/>
      <c r="P125" s="7"/>
      <c r="Q125" s="7"/>
      <c r="R125" s="7"/>
      <c r="S125" s="7"/>
      <c r="T125" s="7"/>
      <c r="U125" s="7"/>
      <c r="V125" s="7"/>
      <c r="W125" s="7"/>
      <c r="X125" s="7"/>
      <c r="Y125" s="7"/>
      <c r="Z125" s="7"/>
      <c r="AA125" s="7"/>
      <c r="AB125" s="7"/>
      <c r="AC125" s="7"/>
    </row>
    <row r="126" spans="1:29" s="48" customFormat="1" x14ac:dyDescent="0.2">
      <c r="A126" s="72"/>
      <c r="B126" s="65"/>
      <c r="C126"/>
      <c r="D126"/>
      <c r="E126"/>
      <c r="F126"/>
      <c r="G126"/>
      <c r="H126" s="37"/>
      <c r="I126" s="37"/>
      <c r="J126" s="37"/>
      <c r="K126" s="93"/>
      <c r="L126" s="7"/>
      <c r="M126" s="7"/>
      <c r="N126" s="7"/>
      <c r="O126" s="7"/>
      <c r="P126" s="7"/>
      <c r="Q126" s="7"/>
      <c r="R126" s="7"/>
      <c r="S126" s="7"/>
      <c r="T126" s="7"/>
      <c r="U126" s="7"/>
      <c r="V126" s="7"/>
      <c r="W126" s="7"/>
      <c r="X126" s="7"/>
      <c r="Y126" s="7"/>
      <c r="Z126" s="7"/>
      <c r="AA126" s="7"/>
      <c r="AB126" s="7"/>
      <c r="AC126" s="7"/>
    </row>
    <row r="127" spans="1:29" s="48" customFormat="1" x14ac:dyDescent="0.2">
      <c r="A127" s="72"/>
      <c r="B127" s="65"/>
      <c r="C127"/>
      <c r="D127"/>
      <c r="E127"/>
      <c r="F127"/>
      <c r="G127"/>
      <c r="H127" s="37"/>
      <c r="I127" s="37"/>
      <c r="J127" s="37"/>
      <c r="K127" s="93"/>
      <c r="L127" s="7"/>
      <c r="M127" s="7"/>
      <c r="N127" s="7"/>
      <c r="O127" s="7"/>
      <c r="P127" s="7"/>
      <c r="Q127" s="7"/>
      <c r="R127" s="7"/>
      <c r="S127" s="7"/>
      <c r="T127" s="7"/>
      <c r="U127" s="7"/>
      <c r="V127" s="7"/>
      <c r="W127" s="7"/>
      <c r="X127" s="7"/>
      <c r="Y127" s="7"/>
      <c r="Z127" s="7"/>
      <c r="AA127" s="7"/>
      <c r="AB127" s="7"/>
      <c r="AC127" s="7"/>
    </row>
    <row r="128" spans="1:29" s="48" customFormat="1" x14ac:dyDescent="0.2">
      <c r="A128" s="72"/>
      <c r="B128" s="65"/>
      <c r="C128"/>
      <c r="D128"/>
      <c r="E128"/>
      <c r="F128"/>
      <c r="G128"/>
      <c r="H128" s="37"/>
      <c r="I128" s="37"/>
      <c r="J128" s="37"/>
      <c r="K128" s="93"/>
      <c r="L128" s="7"/>
      <c r="M128" s="7"/>
      <c r="N128" s="7"/>
      <c r="O128" s="7"/>
      <c r="P128" s="7"/>
      <c r="Q128" s="7"/>
      <c r="R128" s="7"/>
      <c r="S128" s="7"/>
      <c r="T128" s="7"/>
      <c r="U128" s="7"/>
      <c r="V128" s="7"/>
      <c r="W128" s="7"/>
      <c r="X128" s="7"/>
      <c r="Y128" s="7"/>
      <c r="Z128" s="7"/>
      <c r="AA128" s="7"/>
      <c r="AB128" s="7"/>
      <c r="AC128" s="7"/>
    </row>
    <row r="129" spans="1:29" s="48" customFormat="1" x14ac:dyDescent="0.2">
      <c r="A129" s="72"/>
      <c r="B129" s="65"/>
      <c r="C129"/>
      <c r="D129"/>
      <c r="E129"/>
      <c r="F129"/>
      <c r="G129"/>
      <c r="H129" s="37"/>
      <c r="I129" s="37"/>
      <c r="J129" s="37"/>
      <c r="K129" s="93"/>
      <c r="L129" s="7"/>
      <c r="M129" s="7"/>
      <c r="N129" s="7"/>
      <c r="O129" s="7"/>
      <c r="P129" s="7"/>
      <c r="Q129" s="7"/>
      <c r="R129" s="7"/>
      <c r="S129" s="7"/>
      <c r="T129" s="7"/>
      <c r="U129" s="7"/>
      <c r="V129" s="7"/>
      <c r="W129" s="7"/>
      <c r="X129" s="7"/>
      <c r="Y129" s="7"/>
      <c r="Z129" s="7"/>
      <c r="AA129" s="7"/>
      <c r="AB129" s="7"/>
      <c r="AC129" s="7"/>
    </row>
    <row r="130" spans="1:29" s="48" customFormat="1" x14ac:dyDescent="0.2">
      <c r="A130" s="72"/>
      <c r="B130" s="65"/>
      <c r="C130"/>
      <c r="D130"/>
      <c r="E130"/>
      <c r="F130"/>
      <c r="G130"/>
      <c r="H130" s="37"/>
      <c r="I130" s="37"/>
      <c r="J130" s="37"/>
      <c r="K130" s="93"/>
      <c r="L130" s="7"/>
      <c r="M130" s="7"/>
      <c r="N130" s="7"/>
      <c r="O130" s="7"/>
      <c r="P130" s="7"/>
      <c r="Q130" s="7"/>
      <c r="R130" s="7"/>
      <c r="S130" s="7"/>
      <c r="T130" s="7"/>
      <c r="U130" s="7"/>
      <c r="V130" s="7"/>
      <c r="W130" s="7"/>
      <c r="X130" s="7"/>
      <c r="Y130" s="7"/>
      <c r="Z130" s="7"/>
      <c r="AA130" s="7"/>
      <c r="AB130" s="7"/>
      <c r="AC130" s="7"/>
    </row>
    <row r="131" spans="1:29" s="48" customFormat="1" x14ac:dyDescent="0.2">
      <c r="A131" s="72"/>
      <c r="B131" s="65"/>
      <c r="C131"/>
      <c r="D131"/>
      <c r="E131"/>
      <c r="F131"/>
      <c r="G131"/>
      <c r="H131" s="37"/>
      <c r="I131" s="37"/>
      <c r="J131" s="37"/>
      <c r="K131" s="93"/>
      <c r="L131" s="7"/>
      <c r="M131" s="7"/>
      <c r="N131" s="7"/>
      <c r="O131" s="7"/>
      <c r="P131" s="7"/>
      <c r="Q131" s="7"/>
      <c r="R131" s="7"/>
      <c r="S131" s="7"/>
      <c r="T131" s="7"/>
      <c r="U131" s="7"/>
      <c r="V131" s="7"/>
      <c r="W131" s="7"/>
      <c r="X131" s="7"/>
      <c r="Y131" s="7"/>
      <c r="Z131" s="7"/>
      <c r="AA131" s="7"/>
      <c r="AB131" s="7"/>
      <c r="AC131" s="7"/>
    </row>
    <row r="132" spans="1:29" s="48" customFormat="1" x14ac:dyDescent="0.2">
      <c r="A132" s="72"/>
      <c r="B132" s="65"/>
      <c r="C132"/>
      <c r="D132"/>
      <c r="E132"/>
      <c r="F132"/>
      <c r="G132"/>
      <c r="H132" s="37"/>
      <c r="I132" s="37"/>
      <c r="J132" s="37"/>
      <c r="K132" s="93"/>
      <c r="L132" s="7"/>
      <c r="M132" s="7"/>
      <c r="N132" s="7"/>
      <c r="O132" s="7"/>
      <c r="P132" s="7"/>
      <c r="Q132" s="7"/>
      <c r="R132" s="7"/>
      <c r="S132" s="7"/>
      <c r="T132" s="7"/>
      <c r="U132" s="7"/>
      <c r="V132" s="7"/>
      <c r="W132" s="7"/>
      <c r="X132" s="7"/>
      <c r="Y132" s="7"/>
      <c r="Z132" s="7"/>
      <c r="AA132" s="7"/>
      <c r="AB132" s="7"/>
      <c r="AC132" s="7"/>
    </row>
    <row r="133" spans="1:29" s="48" customFormat="1" x14ac:dyDescent="0.2">
      <c r="A133" s="72"/>
      <c r="B133" s="65"/>
      <c r="C133"/>
      <c r="D133"/>
      <c r="E133"/>
      <c r="F133"/>
      <c r="G133"/>
      <c r="H133" s="37"/>
      <c r="I133" s="37"/>
      <c r="J133" s="37"/>
      <c r="K133" s="93"/>
      <c r="L133" s="7"/>
      <c r="M133" s="7"/>
      <c r="N133" s="7"/>
      <c r="O133" s="7"/>
      <c r="P133" s="7"/>
      <c r="Q133" s="7"/>
      <c r="R133" s="7"/>
      <c r="S133" s="7"/>
      <c r="T133" s="7"/>
      <c r="U133" s="7"/>
      <c r="V133" s="7"/>
      <c r="W133" s="7"/>
      <c r="X133" s="7"/>
      <c r="Y133" s="7"/>
      <c r="Z133" s="7"/>
      <c r="AA133" s="7"/>
      <c r="AB133" s="7"/>
      <c r="AC133" s="7"/>
    </row>
    <row r="134" spans="1:29" s="48" customFormat="1" x14ac:dyDescent="0.2">
      <c r="A134" s="72"/>
      <c r="B134" s="65"/>
      <c r="C134"/>
      <c r="D134"/>
      <c r="E134"/>
      <c r="F134"/>
      <c r="G134"/>
      <c r="H134" s="37"/>
      <c r="I134" s="37"/>
      <c r="J134" s="37"/>
      <c r="K134" s="93"/>
      <c r="L134" s="7"/>
      <c r="M134" s="7"/>
      <c r="N134" s="7"/>
      <c r="O134" s="7"/>
      <c r="P134" s="7"/>
      <c r="Q134" s="7"/>
      <c r="R134" s="7"/>
      <c r="S134" s="7"/>
      <c r="T134" s="7"/>
      <c r="U134" s="7"/>
      <c r="V134" s="7"/>
      <c r="W134" s="7"/>
      <c r="X134" s="7"/>
      <c r="Y134" s="7"/>
      <c r="Z134" s="7"/>
      <c r="AA134" s="7"/>
      <c r="AB134" s="7"/>
      <c r="AC134" s="7"/>
    </row>
    <row r="135" spans="1:29" s="48" customFormat="1" x14ac:dyDescent="0.2">
      <c r="A135" s="72"/>
      <c r="B135" s="65"/>
      <c r="C135"/>
      <c r="D135"/>
      <c r="E135"/>
      <c r="F135"/>
      <c r="G135"/>
      <c r="H135" s="37"/>
      <c r="I135" s="37"/>
      <c r="J135" s="37"/>
      <c r="K135" s="93"/>
      <c r="L135" s="7"/>
      <c r="M135" s="7"/>
      <c r="N135" s="7"/>
      <c r="O135" s="7"/>
      <c r="P135" s="7"/>
      <c r="Q135" s="7"/>
      <c r="R135" s="7"/>
      <c r="S135" s="7"/>
      <c r="T135" s="7"/>
      <c r="U135" s="7"/>
      <c r="V135" s="7"/>
      <c r="W135" s="7"/>
      <c r="X135" s="7"/>
      <c r="Y135" s="7"/>
      <c r="Z135" s="7"/>
      <c r="AA135" s="7"/>
      <c r="AB135" s="7"/>
      <c r="AC135" s="7"/>
    </row>
    <row r="136" spans="1:29" s="48" customFormat="1" x14ac:dyDescent="0.2">
      <c r="A136" s="72"/>
      <c r="B136" s="65"/>
      <c r="C136"/>
      <c r="D136"/>
      <c r="E136"/>
      <c r="F136"/>
      <c r="G136"/>
      <c r="H136" s="37"/>
      <c r="I136" s="37"/>
      <c r="J136" s="37"/>
      <c r="K136" s="93"/>
      <c r="L136" s="7"/>
      <c r="M136" s="7"/>
      <c r="N136" s="7"/>
      <c r="O136" s="7"/>
      <c r="P136" s="7"/>
      <c r="Q136" s="7"/>
      <c r="R136" s="7"/>
      <c r="S136" s="7"/>
      <c r="T136" s="7"/>
      <c r="U136" s="7"/>
      <c r="V136" s="7"/>
      <c r="W136" s="7"/>
      <c r="X136" s="7"/>
      <c r="Y136" s="7"/>
      <c r="Z136" s="7"/>
      <c r="AA136" s="7"/>
      <c r="AB136" s="7"/>
      <c r="AC136" s="7"/>
    </row>
    <row r="137" spans="1:29" s="48" customFormat="1" x14ac:dyDescent="0.2">
      <c r="A137" s="72"/>
      <c r="B137" s="65"/>
      <c r="C137"/>
      <c r="D137"/>
      <c r="E137"/>
      <c r="F137"/>
      <c r="G137"/>
      <c r="H137" s="37"/>
      <c r="I137" s="37"/>
      <c r="J137" s="37"/>
      <c r="K137" s="93"/>
      <c r="L137" s="7"/>
      <c r="M137" s="7"/>
      <c r="N137" s="7"/>
      <c r="O137" s="7"/>
      <c r="P137" s="7"/>
      <c r="Q137" s="7"/>
      <c r="R137" s="7"/>
      <c r="S137" s="7"/>
      <c r="T137" s="7"/>
      <c r="U137" s="7"/>
      <c r="V137" s="7"/>
      <c r="W137" s="7"/>
      <c r="X137" s="7"/>
      <c r="Y137" s="7"/>
      <c r="Z137" s="7"/>
      <c r="AA137" s="7"/>
      <c r="AB137" s="7"/>
      <c r="AC137" s="7"/>
    </row>
    <row r="138" spans="1:29" s="48" customFormat="1" x14ac:dyDescent="0.2">
      <c r="A138" s="72"/>
      <c r="B138" s="65"/>
      <c r="C138"/>
      <c r="D138"/>
      <c r="E138"/>
      <c r="F138"/>
      <c r="G138"/>
      <c r="H138" s="37"/>
      <c r="I138" s="37"/>
      <c r="J138" s="37"/>
      <c r="K138" s="93"/>
      <c r="L138" s="7"/>
      <c r="M138" s="7"/>
      <c r="N138" s="7"/>
      <c r="O138" s="7"/>
      <c r="P138" s="7"/>
      <c r="Q138" s="7"/>
      <c r="R138" s="7"/>
      <c r="S138" s="7"/>
      <c r="T138" s="7"/>
      <c r="U138" s="7"/>
      <c r="V138" s="7"/>
      <c r="W138" s="7"/>
      <c r="X138" s="7"/>
      <c r="Y138" s="7"/>
      <c r="Z138" s="7"/>
      <c r="AA138" s="7"/>
      <c r="AB138" s="7"/>
      <c r="AC138" s="7"/>
    </row>
    <row r="139" spans="1:29" s="48" customFormat="1" x14ac:dyDescent="0.2">
      <c r="A139" s="72"/>
      <c r="B139" s="65"/>
      <c r="C139"/>
      <c r="D139"/>
      <c r="E139"/>
      <c r="F139"/>
      <c r="G139"/>
      <c r="H139" s="37"/>
      <c r="I139" s="37"/>
      <c r="J139" s="37"/>
      <c r="K139" s="93"/>
      <c r="L139" s="7"/>
      <c r="M139" s="7"/>
      <c r="N139" s="7"/>
      <c r="O139" s="7"/>
      <c r="P139" s="7"/>
      <c r="Q139" s="7"/>
      <c r="R139" s="7"/>
      <c r="S139" s="7"/>
      <c r="T139" s="7"/>
      <c r="U139" s="7"/>
      <c r="V139" s="7"/>
      <c r="W139" s="7"/>
      <c r="X139" s="7"/>
      <c r="Y139" s="7"/>
      <c r="Z139" s="7"/>
      <c r="AA139" s="7"/>
      <c r="AB139" s="7"/>
      <c r="AC139" s="7"/>
    </row>
    <row r="140" spans="1:29" s="48" customFormat="1" x14ac:dyDescent="0.2">
      <c r="A140" s="72"/>
      <c r="B140" s="65"/>
      <c r="C140"/>
      <c r="D140"/>
      <c r="E140"/>
      <c r="F140"/>
      <c r="G140"/>
      <c r="H140" s="37"/>
      <c r="I140" s="37"/>
      <c r="J140" s="37"/>
      <c r="K140" s="93"/>
      <c r="L140" s="7"/>
      <c r="M140" s="7"/>
      <c r="N140" s="7"/>
      <c r="O140" s="7"/>
      <c r="P140" s="7"/>
      <c r="Q140" s="7"/>
      <c r="R140" s="7"/>
      <c r="S140" s="7"/>
      <c r="T140" s="7"/>
      <c r="U140" s="7"/>
      <c r="V140" s="7"/>
      <c r="W140" s="7"/>
      <c r="X140" s="7"/>
      <c r="Y140" s="7"/>
      <c r="Z140" s="7"/>
      <c r="AA140" s="7"/>
      <c r="AB140" s="7"/>
      <c r="AC140" s="7"/>
    </row>
    <row r="141" spans="1:29" s="48" customFormat="1" x14ac:dyDescent="0.2">
      <c r="A141" s="72"/>
      <c r="B141" s="65"/>
      <c r="C141"/>
      <c r="D141"/>
      <c r="E141"/>
      <c r="F141"/>
      <c r="G141"/>
      <c r="H141" s="37"/>
      <c r="I141" s="37"/>
      <c r="J141" s="37"/>
      <c r="K141" s="93"/>
      <c r="L141" s="7"/>
      <c r="M141" s="7"/>
      <c r="N141" s="7"/>
      <c r="O141" s="7"/>
      <c r="P141" s="7"/>
      <c r="Q141" s="7"/>
      <c r="R141" s="7"/>
      <c r="S141" s="7"/>
      <c r="T141" s="7"/>
      <c r="U141" s="7"/>
      <c r="V141" s="7"/>
      <c r="W141" s="7"/>
      <c r="X141" s="7"/>
      <c r="Y141" s="7"/>
      <c r="Z141" s="7"/>
      <c r="AA141" s="7"/>
      <c r="AB141" s="7"/>
      <c r="AC141" s="7"/>
    </row>
    <row r="142" spans="1:29" s="48" customFormat="1" x14ac:dyDescent="0.2">
      <c r="A142" s="72"/>
      <c r="B142" s="65"/>
      <c r="C142"/>
      <c r="D142"/>
      <c r="E142"/>
      <c r="F142"/>
      <c r="G142"/>
      <c r="H142" s="37"/>
      <c r="I142" s="37"/>
      <c r="J142" s="37"/>
      <c r="K142" s="93"/>
      <c r="L142" s="7"/>
      <c r="M142" s="7"/>
      <c r="N142" s="7"/>
      <c r="O142" s="7"/>
      <c r="P142" s="7"/>
      <c r="Q142" s="7"/>
      <c r="R142" s="7"/>
      <c r="S142" s="7"/>
      <c r="T142" s="7"/>
      <c r="U142" s="7"/>
      <c r="V142" s="7"/>
      <c r="W142" s="7"/>
      <c r="X142" s="7"/>
      <c r="Y142" s="7"/>
      <c r="Z142" s="7"/>
      <c r="AA142" s="7"/>
      <c r="AB142" s="7"/>
      <c r="AC142" s="7"/>
    </row>
    <row r="143" spans="1:29" s="48" customFormat="1" x14ac:dyDescent="0.2">
      <c r="A143" s="72"/>
      <c r="B143" s="65"/>
      <c r="C143"/>
      <c r="D143"/>
      <c r="E143"/>
      <c r="F143"/>
      <c r="G143"/>
      <c r="H143" s="37"/>
      <c r="I143" s="37"/>
      <c r="J143" s="37"/>
      <c r="K143" s="93"/>
      <c r="L143" s="7"/>
      <c r="M143" s="7"/>
      <c r="N143" s="7"/>
      <c r="O143" s="7"/>
      <c r="P143" s="7"/>
      <c r="Q143" s="7"/>
      <c r="R143" s="7"/>
      <c r="S143" s="7"/>
      <c r="T143" s="7"/>
      <c r="U143" s="7"/>
      <c r="V143" s="7"/>
      <c r="W143" s="7"/>
      <c r="X143" s="7"/>
      <c r="Y143" s="7"/>
      <c r="Z143" s="7"/>
      <c r="AA143" s="7"/>
      <c r="AB143" s="7"/>
      <c r="AC143" s="7"/>
    </row>
    <row r="144" spans="1:29" s="48" customFormat="1" x14ac:dyDescent="0.2">
      <c r="A144" s="72"/>
      <c r="B144" s="65"/>
      <c r="C144"/>
      <c r="D144"/>
      <c r="E144"/>
      <c r="F144"/>
      <c r="G144"/>
      <c r="H144" s="37"/>
      <c r="I144" s="37"/>
      <c r="J144" s="37"/>
      <c r="K144" s="93"/>
      <c r="L144" s="7"/>
      <c r="M144" s="7"/>
      <c r="N144" s="7"/>
      <c r="O144" s="7"/>
      <c r="P144" s="7"/>
      <c r="Q144" s="7"/>
      <c r="R144" s="7"/>
      <c r="S144" s="7"/>
      <c r="T144" s="7"/>
      <c r="U144" s="7"/>
      <c r="V144" s="7"/>
      <c r="W144" s="7"/>
      <c r="X144" s="7"/>
      <c r="Y144" s="7"/>
      <c r="Z144" s="7"/>
      <c r="AA144" s="7"/>
      <c r="AB144" s="7"/>
      <c r="AC144" s="7"/>
    </row>
    <row r="145" spans="1:29" s="48" customFormat="1" x14ac:dyDescent="0.2">
      <c r="A145" s="72"/>
      <c r="B145" s="65"/>
      <c r="C145"/>
      <c r="D145"/>
      <c r="E145"/>
      <c r="F145"/>
      <c r="G145"/>
      <c r="H145" s="37"/>
      <c r="I145" s="37"/>
      <c r="J145" s="37"/>
      <c r="K145" s="93"/>
      <c r="L145" s="7"/>
      <c r="M145" s="7"/>
      <c r="N145" s="7"/>
      <c r="O145" s="7"/>
      <c r="P145" s="7"/>
      <c r="Q145" s="7"/>
      <c r="R145" s="7"/>
      <c r="S145" s="7"/>
      <c r="T145" s="7"/>
      <c r="U145" s="7"/>
      <c r="V145" s="7"/>
      <c r="W145" s="7"/>
      <c r="X145" s="7"/>
      <c r="Y145" s="7"/>
      <c r="Z145" s="7"/>
      <c r="AA145" s="7"/>
      <c r="AB145" s="7"/>
      <c r="AC145" s="7"/>
    </row>
    <row r="146" spans="1:29" s="48" customFormat="1" x14ac:dyDescent="0.2">
      <c r="A146" s="72"/>
      <c r="B146" s="65"/>
      <c r="C146"/>
      <c r="D146"/>
      <c r="E146"/>
      <c r="F146"/>
      <c r="G146"/>
      <c r="H146" s="37"/>
      <c r="I146" s="37"/>
      <c r="J146" s="37"/>
      <c r="K146" s="93"/>
      <c r="L146" s="7"/>
      <c r="M146" s="7"/>
      <c r="N146" s="7"/>
      <c r="O146" s="7"/>
      <c r="P146" s="7"/>
      <c r="Q146" s="7"/>
      <c r="R146" s="7"/>
      <c r="S146" s="7"/>
      <c r="T146" s="7"/>
      <c r="U146" s="7"/>
      <c r="V146" s="7"/>
      <c r="W146" s="7"/>
      <c r="X146" s="7"/>
      <c r="Y146" s="7"/>
      <c r="Z146" s="7"/>
      <c r="AA146" s="7"/>
      <c r="AB146" s="7"/>
      <c r="AC146" s="7"/>
    </row>
    <row r="147" spans="1:29" s="48" customFormat="1" x14ac:dyDescent="0.2">
      <c r="A147" s="72"/>
      <c r="B147" s="65"/>
      <c r="C147"/>
      <c r="D147"/>
      <c r="E147"/>
      <c r="F147"/>
      <c r="G147"/>
      <c r="H147" s="37"/>
      <c r="I147" s="37"/>
      <c r="J147" s="37"/>
      <c r="K147" s="93"/>
      <c r="L147" s="7"/>
      <c r="M147" s="7"/>
      <c r="N147" s="7"/>
      <c r="O147" s="7"/>
      <c r="P147" s="7"/>
      <c r="Q147" s="7"/>
      <c r="R147" s="7"/>
      <c r="S147" s="7"/>
      <c r="T147" s="7"/>
      <c r="U147" s="7"/>
      <c r="V147" s="7"/>
      <c r="W147" s="7"/>
      <c r="X147" s="7"/>
      <c r="Y147" s="7"/>
      <c r="Z147" s="7"/>
      <c r="AA147" s="7"/>
      <c r="AB147" s="7"/>
      <c r="AC147" s="7"/>
    </row>
    <row r="148" spans="1:29" s="48" customFormat="1" x14ac:dyDescent="0.2">
      <c r="A148" s="72"/>
      <c r="B148" s="65"/>
      <c r="C148"/>
      <c r="D148"/>
      <c r="E148"/>
      <c r="F148"/>
      <c r="G148"/>
      <c r="H148" s="37"/>
      <c r="I148" s="37"/>
      <c r="J148" s="37"/>
      <c r="K148" s="93"/>
      <c r="L148" s="7"/>
      <c r="M148" s="7"/>
      <c r="N148" s="7"/>
      <c r="O148" s="7"/>
      <c r="P148" s="7"/>
      <c r="Q148" s="7"/>
      <c r="R148" s="7"/>
      <c r="S148" s="7"/>
      <c r="T148" s="7"/>
      <c r="U148" s="7"/>
      <c r="V148" s="7"/>
      <c r="W148" s="7"/>
      <c r="X148" s="7"/>
      <c r="Y148" s="7"/>
      <c r="Z148" s="7"/>
      <c r="AA148" s="7"/>
      <c r="AB148" s="7"/>
      <c r="AC148" s="7"/>
    </row>
    <row r="149" spans="1:29" s="48" customFormat="1" x14ac:dyDescent="0.2">
      <c r="A149" s="72"/>
      <c r="B149" s="65"/>
      <c r="C149"/>
      <c r="D149"/>
      <c r="E149"/>
      <c r="F149"/>
      <c r="G149"/>
      <c r="H149" s="37"/>
      <c r="I149" s="37"/>
      <c r="J149" s="37"/>
      <c r="K149" s="93"/>
      <c r="L149" s="7"/>
      <c r="M149" s="7"/>
      <c r="N149" s="7"/>
      <c r="O149" s="7"/>
      <c r="P149" s="7"/>
      <c r="Q149" s="7"/>
      <c r="R149" s="7"/>
      <c r="S149" s="7"/>
      <c r="T149" s="7"/>
      <c r="U149" s="7"/>
      <c r="V149" s="7"/>
      <c r="W149" s="7"/>
      <c r="X149" s="7"/>
      <c r="Y149" s="7"/>
      <c r="Z149" s="7"/>
      <c r="AA149" s="7"/>
      <c r="AB149" s="7"/>
      <c r="AC149" s="7"/>
    </row>
    <row r="150" spans="1:29" s="48" customFormat="1" x14ac:dyDescent="0.2">
      <c r="A150" s="72"/>
      <c r="B150" s="65"/>
      <c r="C150"/>
      <c r="D150"/>
      <c r="E150"/>
      <c r="F150"/>
      <c r="G150"/>
      <c r="H150" s="37"/>
      <c r="I150" s="37"/>
      <c r="J150" s="37"/>
      <c r="K150" s="93"/>
      <c r="L150" s="7"/>
      <c r="M150" s="7"/>
      <c r="N150" s="7"/>
      <c r="O150" s="7"/>
      <c r="P150" s="7"/>
      <c r="Q150" s="7"/>
      <c r="R150" s="7"/>
      <c r="S150" s="7"/>
      <c r="T150" s="7"/>
      <c r="U150" s="7"/>
      <c r="V150" s="7"/>
      <c r="W150" s="7"/>
      <c r="X150" s="7"/>
      <c r="Y150" s="7"/>
      <c r="Z150" s="7"/>
      <c r="AA150" s="7"/>
      <c r="AB150" s="7"/>
      <c r="AC150" s="7"/>
    </row>
    <row r="151" spans="1:29" s="48" customFormat="1" x14ac:dyDescent="0.2">
      <c r="A151" s="72"/>
      <c r="B151" s="65"/>
      <c r="C151"/>
      <c r="D151"/>
      <c r="E151"/>
      <c r="F151"/>
      <c r="G151"/>
      <c r="H151" s="37"/>
      <c r="I151" s="37"/>
      <c r="J151" s="37"/>
      <c r="K151" s="93"/>
      <c r="L151" s="7"/>
      <c r="M151" s="7"/>
      <c r="N151" s="7"/>
      <c r="O151" s="7"/>
      <c r="P151" s="7"/>
      <c r="Q151" s="7"/>
      <c r="R151" s="7"/>
      <c r="S151" s="7"/>
      <c r="T151" s="7"/>
      <c r="U151" s="7"/>
      <c r="V151" s="7"/>
      <c r="W151" s="7"/>
      <c r="X151" s="7"/>
      <c r="Y151" s="7"/>
      <c r="Z151" s="7"/>
      <c r="AA151" s="7"/>
      <c r="AB151" s="7"/>
      <c r="AC151" s="7"/>
    </row>
    <row r="152" spans="1:29" s="48" customFormat="1" x14ac:dyDescent="0.2">
      <c r="A152" s="72"/>
      <c r="B152" s="65"/>
      <c r="C152"/>
      <c r="D152"/>
      <c r="E152"/>
      <c r="F152"/>
      <c r="G152"/>
      <c r="H152" s="37"/>
      <c r="I152" s="37"/>
      <c r="J152" s="37"/>
      <c r="K152" s="93"/>
      <c r="L152" s="7"/>
      <c r="M152" s="7"/>
      <c r="N152" s="7"/>
      <c r="O152" s="7"/>
      <c r="P152" s="7"/>
      <c r="Q152" s="7"/>
      <c r="R152" s="7"/>
      <c r="S152" s="7"/>
      <c r="T152" s="7"/>
      <c r="U152" s="7"/>
      <c r="V152" s="7"/>
      <c r="W152" s="7"/>
      <c r="X152" s="7"/>
      <c r="Y152" s="7"/>
      <c r="Z152" s="7"/>
      <c r="AA152" s="7"/>
      <c r="AB152" s="7"/>
      <c r="AC152" s="7"/>
    </row>
    <row r="153" spans="1:29" s="48" customFormat="1" x14ac:dyDescent="0.2">
      <c r="A153" s="72"/>
      <c r="B153" s="65"/>
      <c r="C153"/>
      <c r="D153"/>
      <c r="E153"/>
      <c r="F153"/>
      <c r="G153"/>
      <c r="H153" s="37"/>
      <c r="I153" s="37"/>
      <c r="J153" s="37"/>
      <c r="K153" s="93"/>
      <c r="L153" s="7"/>
      <c r="M153" s="7"/>
      <c r="N153" s="7"/>
      <c r="O153" s="7"/>
      <c r="P153" s="7"/>
      <c r="Q153" s="7"/>
      <c r="R153" s="7"/>
      <c r="S153" s="7"/>
      <c r="T153" s="7"/>
      <c r="U153" s="7"/>
      <c r="V153" s="7"/>
      <c r="W153" s="7"/>
      <c r="X153" s="7"/>
      <c r="Y153" s="7"/>
      <c r="Z153" s="7"/>
      <c r="AA153" s="7"/>
      <c r="AB153" s="7"/>
      <c r="AC153" s="7"/>
    </row>
    <row r="154" spans="1:29" s="48" customFormat="1" x14ac:dyDescent="0.2">
      <c r="A154" s="72"/>
      <c r="B154" s="65"/>
      <c r="C154"/>
      <c r="D154"/>
      <c r="E154"/>
      <c r="F154"/>
      <c r="G154"/>
      <c r="H154" s="37"/>
      <c r="I154" s="37"/>
      <c r="J154" s="37"/>
      <c r="K154" s="93"/>
      <c r="L154" s="7"/>
      <c r="M154" s="7"/>
      <c r="N154" s="7"/>
      <c r="O154" s="7"/>
      <c r="P154" s="7"/>
      <c r="Q154" s="7"/>
      <c r="R154" s="7"/>
      <c r="S154" s="7"/>
      <c r="T154" s="7"/>
      <c r="U154" s="7"/>
      <c r="V154" s="7"/>
      <c r="W154" s="7"/>
      <c r="X154" s="7"/>
      <c r="Y154" s="7"/>
      <c r="Z154" s="7"/>
      <c r="AA154" s="7"/>
      <c r="AB154" s="7"/>
      <c r="AC154" s="7"/>
    </row>
    <row r="155" spans="1:29" s="48" customFormat="1" x14ac:dyDescent="0.2">
      <c r="A155" s="72"/>
      <c r="B155" s="65"/>
      <c r="C155"/>
      <c r="D155"/>
      <c r="E155"/>
      <c r="F155"/>
      <c r="G155"/>
      <c r="H155" s="37"/>
      <c r="I155" s="37"/>
      <c r="J155" s="37"/>
      <c r="K155" s="93"/>
      <c r="L155" s="7"/>
      <c r="M155" s="7"/>
      <c r="N155" s="7"/>
      <c r="O155" s="7"/>
      <c r="P155" s="7"/>
      <c r="Q155" s="7"/>
      <c r="R155" s="7"/>
      <c r="S155" s="7"/>
      <c r="T155" s="7"/>
      <c r="U155" s="7"/>
      <c r="V155" s="7"/>
      <c r="W155" s="7"/>
      <c r="X155" s="7"/>
      <c r="Y155" s="7"/>
      <c r="Z155" s="7"/>
      <c r="AA155" s="7"/>
      <c r="AB155" s="7"/>
      <c r="AC155" s="7"/>
    </row>
    <row r="156" spans="1:29" s="48" customFormat="1" x14ac:dyDescent="0.2">
      <c r="A156" s="72"/>
      <c r="B156" s="65"/>
      <c r="C156"/>
      <c r="D156"/>
      <c r="E156"/>
      <c r="F156"/>
      <c r="G156"/>
      <c r="H156" s="37"/>
      <c r="I156" s="37"/>
      <c r="J156" s="37"/>
      <c r="K156" s="93"/>
      <c r="L156" s="7"/>
      <c r="M156" s="7"/>
      <c r="N156" s="7"/>
      <c r="O156" s="7"/>
      <c r="P156" s="7"/>
      <c r="Q156" s="7"/>
      <c r="R156" s="7"/>
      <c r="S156" s="7"/>
      <c r="T156" s="7"/>
      <c r="U156" s="7"/>
      <c r="V156" s="7"/>
      <c r="W156" s="7"/>
      <c r="X156" s="7"/>
      <c r="Y156" s="7"/>
      <c r="Z156" s="7"/>
      <c r="AA156" s="7"/>
      <c r="AB156" s="7"/>
      <c r="AC156" s="7"/>
    </row>
    <row r="157" spans="1:29" s="48" customFormat="1" x14ac:dyDescent="0.2">
      <c r="A157" s="72"/>
      <c r="B157" s="65"/>
      <c r="C157"/>
      <c r="D157"/>
      <c r="E157"/>
      <c r="F157"/>
      <c r="G157"/>
      <c r="H157" s="37"/>
      <c r="I157" s="37"/>
      <c r="J157" s="37"/>
      <c r="K157" s="93"/>
      <c r="L157" s="7"/>
      <c r="M157" s="7"/>
      <c r="N157" s="7"/>
      <c r="O157" s="7"/>
      <c r="P157" s="7"/>
      <c r="Q157" s="7"/>
      <c r="R157" s="7"/>
      <c r="S157" s="7"/>
      <c r="T157" s="7"/>
      <c r="U157" s="7"/>
      <c r="V157" s="7"/>
      <c r="W157" s="7"/>
      <c r="X157" s="7"/>
      <c r="Y157" s="7"/>
      <c r="Z157" s="7"/>
      <c r="AA157" s="7"/>
      <c r="AB157" s="7"/>
      <c r="AC157" s="7"/>
    </row>
    <row r="158" spans="1:29" s="48" customFormat="1" x14ac:dyDescent="0.2">
      <c r="A158" s="72"/>
      <c r="B158" s="65"/>
      <c r="C158"/>
      <c r="D158"/>
      <c r="E158"/>
      <c r="F158"/>
      <c r="G158"/>
      <c r="H158" s="37"/>
      <c r="I158" s="37"/>
      <c r="J158" s="37"/>
      <c r="K158" s="93"/>
      <c r="L158" s="7"/>
      <c r="M158" s="7"/>
      <c r="N158" s="7"/>
      <c r="O158" s="7"/>
      <c r="P158" s="7"/>
      <c r="Q158" s="7"/>
      <c r="R158" s="7"/>
      <c r="S158" s="7"/>
      <c r="T158" s="7"/>
      <c r="U158" s="7"/>
      <c r="V158" s="7"/>
      <c r="W158" s="7"/>
      <c r="X158" s="7"/>
      <c r="Y158" s="7"/>
      <c r="Z158" s="7"/>
      <c r="AA158" s="7"/>
      <c r="AB158" s="7"/>
      <c r="AC158" s="7"/>
    </row>
    <row r="159" spans="1:29" s="48" customFormat="1" x14ac:dyDescent="0.2">
      <c r="A159" s="72"/>
      <c r="B159" s="65"/>
      <c r="C159"/>
      <c r="D159"/>
      <c r="E159"/>
      <c r="F159"/>
      <c r="G159"/>
      <c r="H159" s="37"/>
      <c r="I159" s="37"/>
      <c r="J159" s="37"/>
      <c r="K159" s="93"/>
      <c r="L159" s="7"/>
      <c r="M159" s="7"/>
      <c r="N159" s="7"/>
      <c r="O159" s="7"/>
      <c r="P159" s="7"/>
      <c r="Q159" s="7"/>
      <c r="R159" s="7"/>
      <c r="S159" s="7"/>
      <c r="T159" s="7"/>
      <c r="U159" s="7"/>
      <c r="V159" s="7"/>
      <c r="W159" s="7"/>
      <c r="X159" s="7"/>
      <c r="Y159" s="7"/>
      <c r="Z159" s="7"/>
      <c r="AA159" s="7"/>
      <c r="AB159" s="7"/>
      <c r="AC159" s="7"/>
    </row>
    <row r="160" spans="1:29" s="48" customFormat="1" x14ac:dyDescent="0.2">
      <c r="A160" s="72"/>
      <c r="B160" s="65"/>
      <c r="C160"/>
      <c r="D160"/>
      <c r="E160"/>
      <c r="F160"/>
      <c r="G160"/>
      <c r="H160" s="37"/>
      <c r="I160" s="37"/>
      <c r="J160" s="37"/>
      <c r="K160" s="93"/>
      <c r="L160" s="7"/>
      <c r="M160" s="7"/>
      <c r="N160" s="7"/>
      <c r="O160" s="7"/>
      <c r="P160" s="7"/>
      <c r="Q160" s="7"/>
      <c r="R160" s="7"/>
      <c r="S160" s="7"/>
      <c r="T160" s="7"/>
      <c r="U160" s="7"/>
      <c r="V160" s="7"/>
      <c r="W160" s="7"/>
      <c r="X160" s="7"/>
      <c r="Y160" s="7"/>
      <c r="Z160" s="7"/>
      <c r="AA160" s="7"/>
      <c r="AB160" s="7"/>
      <c r="AC160" s="7"/>
    </row>
    <row r="161" spans="1:29" s="48" customFormat="1" x14ac:dyDescent="0.2">
      <c r="A161" s="72"/>
      <c r="B161" s="65"/>
      <c r="C161"/>
      <c r="D161"/>
      <c r="E161"/>
      <c r="F161"/>
      <c r="G161"/>
      <c r="H161" s="37"/>
      <c r="I161" s="37"/>
      <c r="J161" s="37"/>
      <c r="K161" s="93"/>
      <c r="L161" s="7"/>
      <c r="M161" s="7"/>
      <c r="N161" s="7"/>
      <c r="O161" s="7"/>
      <c r="P161" s="7"/>
      <c r="Q161" s="7"/>
      <c r="R161" s="7"/>
      <c r="S161" s="7"/>
      <c r="T161" s="7"/>
      <c r="U161" s="7"/>
      <c r="V161" s="7"/>
      <c r="W161" s="7"/>
      <c r="X161" s="7"/>
      <c r="Y161" s="7"/>
      <c r="Z161" s="7"/>
      <c r="AA161" s="7"/>
      <c r="AB161" s="7"/>
      <c r="AC161" s="7"/>
    </row>
    <row r="162" spans="1:29" s="48" customFormat="1" x14ac:dyDescent="0.2">
      <c r="A162" s="72"/>
      <c r="B162" s="65"/>
      <c r="C162"/>
      <c r="D162"/>
      <c r="E162"/>
      <c r="F162"/>
      <c r="G162"/>
      <c r="H162" s="37"/>
      <c r="I162" s="37"/>
      <c r="J162" s="37"/>
      <c r="K162" s="93"/>
      <c r="L162" s="7"/>
      <c r="M162" s="7"/>
      <c r="N162" s="7"/>
      <c r="O162" s="7"/>
      <c r="P162" s="7"/>
      <c r="Q162" s="7"/>
      <c r="R162" s="7"/>
      <c r="S162" s="7"/>
      <c r="T162" s="7"/>
      <c r="U162" s="7"/>
      <c r="V162" s="7"/>
      <c r="W162" s="7"/>
      <c r="X162" s="7"/>
      <c r="Y162" s="7"/>
      <c r="Z162" s="7"/>
      <c r="AA162" s="7"/>
      <c r="AB162" s="7"/>
      <c r="AC162" s="7"/>
    </row>
    <row r="163" spans="1:29" s="48" customFormat="1" x14ac:dyDescent="0.2">
      <c r="A163" s="72"/>
      <c r="B163" s="65"/>
      <c r="C163"/>
      <c r="D163"/>
      <c r="E163"/>
      <c r="F163"/>
      <c r="G163"/>
      <c r="H163" s="37"/>
      <c r="I163" s="37"/>
      <c r="J163" s="37"/>
      <c r="K163" s="93"/>
      <c r="L163" s="7"/>
      <c r="M163" s="7"/>
      <c r="N163" s="7"/>
      <c r="O163" s="7"/>
      <c r="P163" s="7"/>
      <c r="Q163" s="7"/>
      <c r="R163" s="7"/>
      <c r="S163" s="7"/>
      <c r="T163" s="7"/>
      <c r="U163" s="7"/>
      <c r="V163" s="7"/>
      <c r="W163" s="7"/>
      <c r="X163" s="7"/>
      <c r="Y163" s="7"/>
      <c r="Z163" s="7"/>
      <c r="AA163" s="7"/>
      <c r="AB163" s="7"/>
      <c r="AC163" s="7"/>
    </row>
    <row r="164" spans="1:29" s="48" customFormat="1" x14ac:dyDescent="0.2">
      <c r="A164" s="72"/>
      <c r="B164" s="65"/>
      <c r="C164"/>
      <c r="D164"/>
      <c r="E164"/>
      <c r="F164"/>
      <c r="G164"/>
      <c r="H164" s="37"/>
      <c r="I164" s="37"/>
      <c r="J164" s="37"/>
      <c r="K164" s="93"/>
      <c r="L164" s="7"/>
      <c r="M164" s="7"/>
      <c r="N164" s="7"/>
      <c r="O164" s="7"/>
      <c r="P164" s="7"/>
      <c r="Q164" s="7"/>
      <c r="R164" s="7"/>
      <c r="S164" s="7"/>
      <c r="T164" s="7"/>
      <c r="U164" s="7"/>
      <c r="V164" s="7"/>
      <c r="W164" s="7"/>
      <c r="X164" s="7"/>
      <c r="Y164" s="7"/>
      <c r="Z164" s="7"/>
      <c r="AA164" s="7"/>
      <c r="AB164" s="7"/>
      <c r="AC164" s="7"/>
    </row>
    <row r="165" spans="1:29" s="48" customFormat="1" x14ac:dyDescent="0.2">
      <c r="A165" s="72"/>
      <c r="B165" s="65"/>
      <c r="C165"/>
      <c r="D165"/>
      <c r="E165"/>
      <c r="F165"/>
      <c r="G165"/>
      <c r="H165" s="37"/>
      <c r="I165" s="37"/>
      <c r="J165" s="37"/>
      <c r="K165" s="93"/>
      <c r="L165" s="7"/>
      <c r="M165" s="7"/>
      <c r="N165" s="7"/>
      <c r="O165" s="7"/>
      <c r="P165" s="7"/>
      <c r="Q165" s="7"/>
      <c r="R165" s="7"/>
      <c r="S165" s="7"/>
      <c r="T165" s="7"/>
      <c r="U165" s="7"/>
      <c r="V165" s="7"/>
      <c r="W165" s="7"/>
      <c r="X165" s="7"/>
      <c r="Y165" s="7"/>
      <c r="Z165" s="7"/>
      <c r="AA165" s="7"/>
      <c r="AB165" s="7"/>
      <c r="AC165" s="7"/>
    </row>
    <row r="166" spans="1:29" s="48" customFormat="1" x14ac:dyDescent="0.2">
      <c r="A166" s="72"/>
      <c r="B166" s="65"/>
      <c r="C166"/>
      <c r="D166"/>
      <c r="E166"/>
      <c r="F166"/>
      <c r="G166"/>
      <c r="H166" s="37"/>
      <c r="I166" s="37"/>
      <c r="J166" s="37"/>
      <c r="K166" s="93"/>
      <c r="L166" s="7"/>
      <c r="M166" s="7"/>
      <c r="N166" s="7"/>
      <c r="O166" s="7"/>
      <c r="P166" s="7"/>
      <c r="Q166" s="7"/>
      <c r="R166" s="7"/>
      <c r="S166" s="7"/>
      <c r="T166" s="7"/>
      <c r="U166" s="7"/>
      <c r="V166" s="7"/>
      <c r="W166" s="7"/>
      <c r="X166" s="7"/>
      <c r="Y166" s="7"/>
      <c r="Z166" s="7"/>
      <c r="AA166" s="7"/>
      <c r="AB166" s="7"/>
      <c r="AC166" s="7"/>
    </row>
    <row r="167" spans="1:29" s="48" customFormat="1" x14ac:dyDescent="0.2">
      <c r="A167" s="72"/>
      <c r="B167" s="65"/>
      <c r="C167"/>
      <c r="D167"/>
      <c r="E167"/>
      <c r="F167"/>
      <c r="G167"/>
      <c r="H167" s="37"/>
      <c r="I167" s="37"/>
      <c r="J167" s="37"/>
      <c r="K167" s="93"/>
      <c r="L167" s="7"/>
      <c r="M167" s="7"/>
      <c r="N167" s="7"/>
      <c r="O167" s="7"/>
      <c r="P167" s="7"/>
      <c r="Q167" s="7"/>
      <c r="R167" s="7"/>
      <c r="S167" s="7"/>
      <c r="T167" s="7"/>
      <c r="U167" s="7"/>
      <c r="V167" s="7"/>
      <c r="W167" s="7"/>
      <c r="X167" s="7"/>
      <c r="Y167" s="7"/>
      <c r="Z167" s="7"/>
      <c r="AA167" s="7"/>
      <c r="AB167" s="7"/>
      <c r="AC167" s="7"/>
    </row>
  </sheetData>
  <mergeCells count="3">
    <mergeCell ref="G36:J36"/>
    <mergeCell ref="G42:J42"/>
    <mergeCell ref="C36:F36"/>
  </mergeCells>
  <printOptions horizontalCentered="1"/>
  <pageMargins left="0" right="0" top="0.25" bottom="0.25" header="0.25" footer="0.28000000000000003"/>
  <pageSetup scale="54" orientation="landscape" cellComments="asDisplayed" r:id="rId1"/>
  <headerFooter alignWithMargins="0">
    <oddFooter>&amp;C&amp;A</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2"/>
  </sheetPr>
  <dimension ref="A1:AD250"/>
  <sheetViews>
    <sheetView topLeftCell="G1" zoomScale="90" zoomScaleNormal="90" workbookViewId="0">
      <pane ySplit="13" topLeftCell="A14" activePane="bottomLeft" state="frozen"/>
      <selection pane="bottomLeft" activeCell="U12" sqref="U12"/>
    </sheetView>
  </sheetViews>
  <sheetFormatPr defaultRowHeight="12.75" x14ac:dyDescent="0.2"/>
  <cols>
    <col min="1" max="1" width="2.7109375" style="71" customWidth="1"/>
    <col min="2" max="2" width="51" style="65" customWidth="1"/>
    <col min="3" max="3" width="10.7109375" customWidth="1"/>
    <col min="4" max="4" width="14.140625" customWidth="1"/>
    <col min="5" max="5" width="15.42578125" style="37" bestFit="1" customWidth="1"/>
    <col min="6" max="6" width="14.7109375" style="37" bestFit="1" customWidth="1"/>
    <col min="7" max="7" width="15" style="47" bestFit="1" customWidth="1"/>
    <col min="8" max="8" width="3" style="47" customWidth="1"/>
    <col min="9" max="9" width="11.85546875" style="371" customWidth="1"/>
    <col min="10" max="10" width="16.85546875" style="47" customWidth="1"/>
    <col min="11" max="13" width="8.85546875" style="47" customWidth="1"/>
    <col min="14" max="14" width="14.7109375" style="47" customWidth="1"/>
    <col min="15" max="16" width="10.28515625" style="47" customWidth="1"/>
    <col min="17" max="17" width="14.7109375" style="47" customWidth="1"/>
    <col min="18" max="18" width="16.5703125" style="47" customWidth="1"/>
    <col min="19" max="19" width="14.7109375" style="47" customWidth="1"/>
    <col min="20" max="20" width="15" style="7" bestFit="1" customWidth="1"/>
    <col min="21" max="22" width="9.140625" style="7"/>
    <col min="23" max="23" width="14.28515625" style="7" customWidth="1"/>
    <col min="24" max="30" width="9.140625" style="7"/>
  </cols>
  <sheetData>
    <row r="1" spans="1:30" x14ac:dyDescent="0.2">
      <c r="B1" s="144" t="s">
        <v>304</v>
      </c>
      <c r="C1" s="196"/>
      <c r="D1" s="196"/>
      <c r="I1" s="400"/>
      <c r="P1" s="405" t="s">
        <v>204</v>
      </c>
      <c r="Q1" s="404">
        <f>Labor_Cost_Factor</f>
        <v>1</v>
      </c>
      <c r="R1" s="312" t="s">
        <v>228</v>
      </c>
      <c r="S1" s="47" t="s">
        <v>358</v>
      </c>
    </row>
    <row r="2" spans="1:30" x14ac:dyDescent="0.2">
      <c r="B2" s="144"/>
      <c r="C2" s="196"/>
      <c r="D2" s="196"/>
      <c r="E2" s="111" t="s">
        <v>76</v>
      </c>
      <c r="F2" s="286" t="s">
        <v>282</v>
      </c>
      <c r="G2" s="491"/>
      <c r="I2" s="400"/>
      <c r="J2" s="312"/>
      <c r="Q2" s="403">
        <f>21.24/33.48</f>
        <v>0.63440860215053763</v>
      </c>
      <c r="R2" s="312" t="s">
        <v>357</v>
      </c>
    </row>
    <row r="3" spans="1:30" x14ac:dyDescent="0.2">
      <c r="B3" s="110" t="s">
        <v>75</v>
      </c>
      <c r="C3">
        <v>115</v>
      </c>
      <c r="D3" s="32" t="s">
        <v>45</v>
      </c>
      <c r="E3" s="32" t="s">
        <v>83</v>
      </c>
      <c r="F3" s="37" t="s">
        <v>318</v>
      </c>
      <c r="I3" s="402"/>
      <c r="J3" s="312"/>
      <c r="Q3" s="314">
        <f>15.78/33.48</f>
        <v>0.47132616487455198</v>
      </c>
      <c r="R3" s="312" t="s">
        <v>359</v>
      </c>
    </row>
    <row r="4" spans="1:30" x14ac:dyDescent="0.2">
      <c r="B4" s="110" t="s">
        <v>307</v>
      </c>
      <c r="C4" s="109">
        <v>1289000</v>
      </c>
      <c r="D4" s="32" t="s">
        <v>46</v>
      </c>
      <c r="E4" s="32" t="s">
        <v>84</v>
      </c>
      <c r="F4" s="37" t="s">
        <v>325</v>
      </c>
      <c r="I4" s="400"/>
      <c r="J4" s="312"/>
      <c r="Q4" s="314">
        <f>33.48/33.48</f>
        <v>1</v>
      </c>
      <c r="R4" s="47" t="s">
        <v>360</v>
      </c>
    </row>
    <row r="5" spans="1:30" x14ac:dyDescent="0.2">
      <c r="B5" s="110" t="s">
        <v>257</v>
      </c>
      <c r="C5" s="109">
        <v>910</v>
      </c>
      <c r="D5" s="32" t="s">
        <v>258</v>
      </c>
      <c r="E5" s="32" t="s">
        <v>259</v>
      </c>
      <c r="F5" s="37" t="s">
        <v>271</v>
      </c>
      <c r="I5" s="400"/>
      <c r="J5" s="312"/>
      <c r="Q5" s="314">
        <f>20.98/33.48</f>
        <v>0.62664277180406225</v>
      </c>
      <c r="R5" s="47" t="s">
        <v>361</v>
      </c>
    </row>
    <row r="6" spans="1:30" x14ac:dyDescent="0.2">
      <c r="B6" s="110" t="s">
        <v>297</v>
      </c>
      <c r="C6" s="109">
        <f>ROUND(3.14159*20*25,0)</f>
        <v>1571</v>
      </c>
      <c r="D6" s="32" t="s">
        <v>46</v>
      </c>
      <c r="E6" s="32" t="s">
        <v>298</v>
      </c>
      <c r="F6" s="37" t="s">
        <v>326</v>
      </c>
      <c r="I6" s="400"/>
      <c r="J6" s="312"/>
      <c r="Q6" s="314"/>
    </row>
    <row r="7" spans="1:30" x14ac:dyDescent="0.2">
      <c r="B7" s="88" t="s">
        <v>49</v>
      </c>
      <c r="C7" s="87">
        <v>2790</v>
      </c>
      <c r="D7" s="86" t="s">
        <v>50</v>
      </c>
      <c r="E7" s="32" t="s">
        <v>85</v>
      </c>
      <c r="F7" s="37" t="s">
        <v>272</v>
      </c>
      <c r="I7" s="400"/>
      <c r="J7" s="312"/>
      <c r="Q7" s="313"/>
      <c r="R7" s="312"/>
    </row>
    <row r="8" spans="1:30" x14ac:dyDescent="0.2">
      <c r="B8" s="88" t="s">
        <v>159</v>
      </c>
      <c r="C8" s="109">
        <v>590000</v>
      </c>
      <c r="D8" s="32" t="s">
        <v>157</v>
      </c>
      <c r="E8" s="32" t="s">
        <v>158</v>
      </c>
      <c r="F8" s="37" t="s">
        <v>306</v>
      </c>
    </row>
    <row r="9" spans="1:30" x14ac:dyDescent="0.2">
      <c r="B9" s="452" t="s">
        <v>253</v>
      </c>
      <c r="C9">
        <v>1018</v>
      </c>
      <c r="D9" s="32" t="s">
        <v>254</v>
      </c>
      <c r="E9" s="32" t="s">
        <v>255</v>
      </c>
      <c r="F9" s="37" t="s">
        <v>324</v>
      </c>
      <c r="I9" s="372"/>
      <c r="J9" s="120"/>
      <c r="K9" s="120"/>
      <c r="L9" s="120"/>
      <c r="M9" s="120"/>
      <c r="N9" s="120"/>
      <c r="O9" s="120"/>
      <c r="P9" s="120"/>
      <c r="Q9" s="120"/>
      <c r="R9" s="120"/>
      <c r="S9" s="120"/>
    </row>
    <row r="10" spans="1:30" x14ac:dyDescent="0.2">
      <c r="B10" s="170" t="s">
        <v>291</v>
      </c>
      <c r="C10">
        <v>203</v>
      </c>
      <c r="D10" s="32" t="s">
        <v>176</v>
      </c>
      <c r="E10" s="32" t="s">
        <v>292</v>
      </c>
      <c r="F10" s="37" t="s">
        <v>319</v>
      </c>
      <c r="I10" s="372"/>
      <c r="J10" s="120"/>
      <c r="K10" s="120"/>
      <c r="L10" s="120"/>
      <c r="M10" s="120"/>
      <c r="N10" s="120"/>
      <c r="O10" s="120"/>
      <c r="P10" s="120"/>
      <c r="Q10" s="120"/>
      <c r="R10" s="120"/>
      <c r="S10" s="120"/>
    </row>
    <row r="11" spans="1:30" x14ac:dyDescent="0.2">
      <c r="B11" s="452"/>
      <c r="D11" s="32"/>
      <c r="E11" s="32"/>
      <c r="I11" s="372"/>
      <c r="J11" s="120"/>
      <c r="K11" s="120"/>
      <c r="L11" s="120"/>
      <c r="M11" s="120"/>
      <c r="N11" s="120"/>
      <c r="O11" s="120"/>
      <c r="P11" s="120"/>
      <c r="Q11" s="120"/>
      <c r="R11" s="120"/>
      <c r="S11" s="120"/>
    </row>
    <row r="12" spans="1:30" s="2" customFormat="1" ht="15" customHeight="1" x14ac:dyDescent="0.2">
      <c r="A12" s="71"/>
      <c r="B12" s="97"/>
      <c r="D12" s="504" t="s">
        <v>231</v>
      </c>
      <c r="E12" s="505"/>
      <c r="F12" s="505"/>
      <c r="G12" s="506"/>
      <c r="H12" s="47"/>
      <c r="I12" s="374"/>
      <c r="J12" s="507" t="s">
        <v>78</v>
      </c>
      <c r="K12" s="508"/>
      <c r="L12" s="508"/>
      <c r="M12" s="508"/>
      <c r="N12" s="508"/>
      <c r="O12" s="508"/>
      <c r="P12" s="508"/>
      <c r="Q12" s="508"/>
      <c r="R12" s="508"/>
      <c r="S12" s="509"/>
      <c r="T12" s="66"/>
      <c r="U12" s="66"/>
      <c r="V12" s="66"/>
      <c r="W12" s="66"/>
      <c r="X12" s="66"/>
      <c r="Y12" s="66"/>
      <c r="Z12" s="66"/>
      <c r="AA12" s="66"/>
      <c r="AB12" s="66"/>
      <c r="AC12" s="66"/>
      <c r="AD12" s="66"/>
    </row>
    <row r="13" spans="1:30" s="67" customFormat="1" ht="45.75" customHeight="1" x14ac:dyDescent="0.2">
      <c r="A13" s="72"/>
      <c r="B13" s="104" t="s">
        <v>0</v>
      </c>
      <c r="C13" s="105" t="s">
        <v>97</v>
      </c>
      <c r="D13" s="105" t="s">
        <v>88</v>
      </c>
      <c r="E13" s="107" t="s">
        <v>73</v>
      </c>
      <c r="F13" s="191" t="s">
        <v>74</v>
      </c>
      <c r="G13" s="250" t="s">
        <v>1</v>
      </c>
      <c r="H13" s="47"/>
      <c r="I13" s="375" t="s">
        <v>77</v>
      </c>
      <c r="J13" s="222" t="s">
        <v>227</v>
      </c>
      <c r="K13" s="222" t="s">
        <v>93</v>
      </c>
      <c r="L13" s="222" t="s">
        <v>96</v>
      </c>
      <c r="M13" s="222" t="s">
        <v>196</v>
      </c>
      <c r="N13" s="222" t="s">
        <v>73</v>
      </c>
      <c r="O13" s="222" t="s">
        <v>94</v>
      </c>
      <c r="P13" s="222" t="s">
        <v>95</v>
      </c>
      <c r="Q13" s="222" t="s">
        <v>74</v>
      </c>
      <c r="R13" s="222" t="s">
        <v>1</v>
      </c>
      <c r="S13" s="222" t="s">
        <v>169</v>
      </c>
    </row>
    <row r="14" spans="1:30" ht="15" customHeight="1" x14ac:dyDescent="0.2">
      <c r="B14" s="57" t="s">
        <v>174</v>
      </c>
      <c r="C14" s="11"/>
      <c r="D14" s="6"/>
      <c r="E14" s="30"/>
      <c r="F14" s="31"/>
      <c r="G14" s="119"/>
      <c r="H14" s="112"/>
      <c r="I14" s="376"/>
      <c r="J14" s="112"/>
      <c r="K14" s="112"/>
      <c r="L14" s="112"/>
      <c r="M14" s="112"/>
      <c r="N14" s="30"/>
      <c r="O14" s="30"/>
      <c r="P14" s="30"/>
      <c r="Q14" s="31"/>
      <c r="R14" s="119"/>
      <c r="S14" s="252"/>
    </row>
    <row r="15" spans="1:30" ht="15" customHeight="1" x14ac:dyDescent="0.2">
      <c r="B15" s="54" t="s">
        <v>15</v>
      </c>
      <c r="C15" s="300">
        <v>2009</v>
      </c>
      <c r="D15" s="300">
        <f>Ref_Land_Area</f>
        <v>1018</v>
      </c>
      <c r="E15" s="50">
        <f>992000*0.1</f>
        <v>99200</v>
      </c>
      <c r="F15" s="50">
        <f>1645000*0.1</f>
        <v>164500</v>
      </c>
      <c r="G15" s="50">
        <f>E15+F15</f>
        <v>263700</v>
      </c>
      <c r="H15" s="113"/>
      <c r="I15" s="377">
        <v>0.9</v>
      </c>
      <c r="J15" s="11">
        <f>Proj_land_area</f>
        <v>1953</v>
      </c>
      <c r="K15" s="154">
        <v>10</v>
      </c>
      <c r="L15" s="149">
        <f>(VLOOKUP(Cost_Yr,CI!$A$5:$AD$29,K15)/VLOOKUP($C15,CI!$A$5:$AD$29,K15))</f>
        <v>1.2140189144083287</v>
      </c>
      <c r="M15" s="296">
        <v>1</v>
      </c>
      <c r="N15" s="50">
        <f t="shared" ref="N15:N20" si="0">E15*L15*M15*($J15/$D15)^$I15</f>
        <v>216469.21588692133</v>
      </c>
      <c r="O15" s="155">
        <v>11</v>
      </c>
      <c r="P15" s="149">
        <f>(VLOOKUP(Cost_Yr,CI!$A$5:$AD$29,O15)/VLOOKUP($C15,CI!$A$5:$AD$29,O15))</f>
        <v>0.98618004123081626</v>
      </c>
      <c r="Q15" s="50">
        <f t="shared" ref="Q15:Q20" si="1">F15*P15*($J15/$D15)^$I15*(Labor_Cost_Factor)</f>
        <v>291595.70972346643</v>
      </c>
      <c r="R15" s="50">
        <f t="shared" ref="R15:R20" si="2">N15+Q15</f>
        <v>508064.92561038776</v>
      </c>
      <c r="S15" s="192"/>
    </row>
    <row r="16" spans="1:30" ht="15" customHeight="1" x14ac:dyDescent="0.2">
      <c r="B16" s="54" t="s">
        <v>16</v>
      </c>
      <c r="C16" s="300">
        <v>2009</v>
      </c>
      <c r="D16" s="300">
        <f>Ref_Land_Area</f>
        <v>1018</v>
      </c>
      <c r="E16" s="50">
        <v>0</v>
      </c>
      <c r="F16" s="50">
        <f>1356000*0.1</f>
        <v>135600</v>
      </c>
      <c r="G16" s="50">
        <f t="shared" ref="G16:G20" si="3">E16+F16</f>
        <v>135600</v>
      </c>
      <c r="H16" s="113"/>
      <c r="I16" s="377">
        <v>0.9</v>
      </c>
      <c r="J16" s="11">
        <f>Proj_land_area</f>
        <v>1953</v>
      </c>
      <c r="K16" s="154">
        <v>10</v>
      </c>
      <c r="L16" s="149">
        <f>(VLOOKUP(Cost_Yr,CI!$A$5:$AD$29,K16)/VLOOKUP($C16,CI!$A$5:$AD$29,K16))</f>
        <v>1.2140189144083287</v>
      </c>
      <c r="M16" s="296">
        <v>1</v>
      </c>
      <c r="N16" s="50">
        <f t="shared" si="0"/>
        <v>0</v>
      </c>
      <c r="O16" s="155">
        <v>11</v>
      </c>
      <c r="P16" s="149">
        <f>(VLOOKUP(Cost_Yr,CI!$A$5:$AD$29,O16)/VLOOKUP($C16,CI!$A$5:$AD$29,O16))</f>
        <v>0.98618004123081626</v>
      </c>
      <c r="Q16" s="50">
        <f t="shared" si="1"/>
        <v>240367.04096353828</v>
      </c>
      <c r="R16" s="50">
        <f t="shared" si="2"/>
        <v>240367.04096353828</v>
      </c>
      <c r="S16" s="192"/>
    </row>
    <row r="17" spans="1:19" ht="15" customHeight="1" x14ac:dyDescent="0.2">
      <c r="B17" s="54" t="s">
        <v>17</v>
      </c>
      <c r="C17" s="300">
        <v>2009</v>
      </c>
      <c r="D17" s="300">
        <f>Ref_Land_Area</f>
        <v>1018</v>
      </c>
      <c r="E17" s="50">
        <f>(5063000-3707000)*0.1</f>
        <v>135600</v>
      </c>
      <c r="F17" s="50">
        <f>(10419000-1634000)*0.1</f>
        <v>878500</v>
      </c>
      <c r="G17" s="50">
        <f t="shared" si="3"/>
        <v>1014100</v>
      </c>
      <c r="H17" s="113"/>
      <c r="I17" s="377">
        <v>0.9</v>
      </c>
      <c r="J17" s="11">
        <f>Proj_land_area</f>
        <v>1953</v>
      </c>
      <c r="K17" s="154">
        <v>10</v>
      </c>
      <c r="L17" s="149">
        <f>(VLOOKUP(Cost_Yr,CI!$A$5:$AD$29,K17)/VLOOKUP($C17,CI!$A$5:$AD$29,K17))</f>
        <v>1.2140189144083287</v>
      </c>
      <c r="M17" s="296">
        <v>1</v>
      </c>
      <c r="N17" s="50">
        <f t="shared" si="0"/>
        <v>295899.45236155775</v>
      </c>
      <c r="O17" s="155">
        <v>11</v>
      </c>
      <c r="P17" s="149">
        <f>(VLOOKUP(Cost_Yr,CI!$A$5:$AD$29,O17)/VLOOKUP($C17,CI!$A$5:$AD$29,O17))</f>
        <v>0.98618004123081626</v>
      </c>
      <c r="Q17" s="50">
        <f t="shared" si="1"/>
        <v>1557245.1732040441</v>
      </c>
      <c r="R17" s="50">
        <f t="shared" si="2"/>
        <v>1853144.625565602</v>
      </c>
      <c r="S17" s="192"/>
    </row>
    <row r="18" spans="1:19" ht="15" customHeight="1" x14ac:dyDescent="0.2">
      <c r="B18" s="54" t="s">
        <v>308</v>
      </c>
      <c r="C18" s="300">
        <v>2009</v>
      </c>
      <c r="D18" s="300">
        <f>Ref_Turb_Gross</f>
        <v>115</v>
      </c>
      <c r="E18" s="50">
        <f>IF(Cooling_Method=0,3707000*0.1,3707000)</f>
        <v>370700</v>
      </c>
      <c r="F18" s="50">
        <f>IF(Cooling_Method=0,1634000*0.1,1634000)</f>
        <v>163400</v>
      </c>
      <c r="G18" s="50">
        <f t="shared" ref="G18" si="4">E18+F18</f>
        <v>534100</v>
      </c>
      <c r="H18" s="113"/>
      <c r="I18" s="377">
        <v>0.9</v>
      </c>
      <c r="J18" s="11">
        <f>Proj_Turb_Gross</f>
        <v>115</v>
      </c>
      <c r="K18" s="154">
        <v>10</v>
      </c>
      <c r="L18" s="149">
        <f>(VLOOKUP(Cost_Yr,CI!$A$5:$AD$29,K18)/VLOOKUP($C18,CI!$A$5:$AD$29,K18))</f>
        <v>1.2140189144083287</v>
      </c>
      <c r="M18" s="296">
        <v>1</v>
      </c>
      <c r="N18" s="50">
        <f t="shared" si="0"/>
        <v>450036.81157116743</v>
      </c>
      <c r="O18" s="155">
        <v>11</v>
      </c>
      <c r="P18" s="149">
        <f>(VLOOKUP(Cost_Yr,CI!$A$5:$AD$29,O18)/VLOOKUP($C18,CI!$A$5:$AD$29,O18))</f>
        <v>0.98618004123081626</v>
      </c>
      <c r="Q18" s="50">
        <f t="shared" si="1"/>
        <v>161141.81873711539</v>
      </c>
      <c r="R18" s="50">
        <f t="shared" si="2"/>
        <v>611178.63030828279</v>
      </c>
      <c r="S18" s="192"/>
    </row>
    <row r="19" spans="1:19" ht="15" customHeight="1" x14ac:dyDescent="0.2">
      <c r="B19" s="54" t="s">
        <v>18</v>
      </c>
      <c r="C19" s="300">
        <v>2009</v>
      </c>
      <c r="D19" s="300">
        <f>Ref_Land_Area</f>
        <v>1018</v>
      </c>
      <c r="E19" s="50">
        <f>IF(Cooling_Method=0,6672000*0.76,6672000)</f>
        <v>5070720</v>
      </c>
      <c r="F19" s="50">
        <f>IF(Cooling_Method=0,4143000*0.76,4143000)</f>
        <v>3148680</v>
      </c>
      <c r="G19" s="50">
        <f t="shared" si="3"/>
        <v>8219400</v>
      </c>
      <c r="H19" s="113"/>
      <c r="I19" s="377">
        <v>0.9</v>
      </c>
      <c r="J19" s="11">
        <f>Proj_land_area</f>
        <v>1953</v>
      </c>
      <c r="K19" s="154">
        <v>10</v>
      </c>
      <c r="L19" s="149">
        <f>(VLOOKUP(Cost_Yr,CI!$A$5:$AD$29,K19)/VLOOKUP($C19,CI!$A$5:$AD$29,K19))</f>
        <v>1.2140189144083287</v>
      </c>
      <c r="M19" s="296">
        <v>1</v>
      </c>
      <c r="N19" s="50">
        <f t="shared" si="0"/>
        <v>11065068.370787598</v>
      </c>
      <c r="O19" s="155">
        <v>11</v>
      </c>
      <c r="P19" s="149">
        <f>(VLOOKUP(Cost_Yr,CI!$A$5:$AD$29,O19)/VLOOKUP($C19,CI!$A$5:$AD$29,O19))</f>
        <v>0.98618004123081626</v>
      </c>
      <c r="Q19" s="50">
        <f t="shared" si="1"/>
        <v>5581407.7768515758</v>
      </c>
      <c r="R19" s="50">
        <f t="shared" si="2"/>
        <v>16646476.147639174</v>
      </c>
      <c r="S19" s="192"/>
    </row>
    <row r="20" spans="1:19" ht="15" customHeight="1" x14ac:dyDescent="0.2">
      <c r="B20" s="54" t="s">
        <v>19</v>
      </c>
      <c r="C20" s="300">
        <v>2009</v>
      </c>
      <c r="D20" s="300">
        <f>Ref_Land_Area</f>
        <v>1018</v>
      </c>
      <c r="E20" s="50">
        <f>IF(Cooling_Method=0,818000*0.44,818000)</f>
        <v>359920</v>
      </c>
      <c r="F20" s="50">
        <f>IF(Cooling_Method=0,1063000*0.44,1063000)</f>
        <v>467720</v>
      </c>
      <c r="G20" s="50">
        <f t="shared" si="3"/>
        <v>827640</v>
      </c>
      <c r="H20" s="113"/>
      <c r="I20" s="377">
        <v>0.9</v>
      </c>
      <c r="J20" s="11">
        <f>Proj_land_area</f>
        <v>1953</v>
      </c>
      <c r="K20" s="154">
        <v>6</v>
      </c>
      <c r="L20" s="149">
        <f>(VLOOKUP(Cost_Yr,CI!$A$5:$AD$29,K20)/VLOOKUP($C20,CI!$A$5:$AD$29,K20))</f>
        <v>1.2181666812724565</v>
      </c>
      <c r="M20" s="296">
        <v>1</v>
      </c>
      <c r="N20" s="50">
        <f t="shared" si="0"/>
        <v>788082.55782438593</v>
      </c>
      <c r="O20" s="155">
        <v>11</v>
      </c>
      <c r="P20" s="149">
        <f>(VLOOKUP(Cost_Yr,CI!$A$5:$AD$29,O20)/VLOOKUP($C20,CI!$A$5:$AD$29,O20))</f>
        <v>0.98618004123081626</v>
      </c>
      <c r="Q20" s="50">
        <f t="shared" si="1"/>
        <v>829089.02949458791</v>
      </c>
      <c r="R20" s="50">
        <f t="shared" si="2"/>
        <v>1617171.5873189738</v>
      </c>
      <c r="S20" s="192"/>
    </row>
    <row r="21" spans="1:19" ht="15" customHeight="1" thickBot="1" x14ac:dyDescent="0.25">
      <c r="B21" s="54"/>
      <c r="C21" s="300"/>
      <c r="D21" s="188"/>
      <c r="E21" s="82">
        <f t="shared" ref="E21:F21" si="5">SUM(E15:E20)</f>
        <v>6036140</v>
      </c>
      <c r="F21" s="83">
        <f t="shared" si="5"/>
        <v>4958400</v>
      </c>
      <c r="G21" s="84">
        <f>SUM(G15:G20)</f>
        <v>10994540</v>
      </c>
      <c r="H21" s="114"/>
      <c r="I21" s="378"/>
      <c r="J21" s="114"/>
      <c r="K21" s="153"/>
      <c r="L21" s="114"/>
      <c r="M21" s="114"/>
      <c r="N21" s="82">
        <f t="shared" ref="N21:Q21" si="6">SUM(N15:N20)</f>
        <v>12815556.408431631</v>
      </c>
      <c r="O21" s="150"/>
      <c r="P21" s="150"/>
      <c r="Q21" s="83">
        <f t="shared" si="6"/>
        <v>8660846.5489743277</v>
      </c>
      <c r="R21" s="84">
        <f>SUM(R15:R20)</f>
        <v>21476402.957405958</v>
      </c>
      <c r="S21" s="254">
        <v>7.0000000000000007E-2</v>
      </c>
    </row>
    <row r="22" spans="1:19" ht="15" customHeight="1" x14ac:dyDescent="0.2">
      <c r="B22" s="54"/>
      <c r="C22" s="300"/>
      <c r="D22" s="188"/>
      <c r="E22" s="124"/>
      <c r="F22" s="113"/>
      <c r="G22" s="114"/>
      <c r="H22" s="114"/>
      <c r="I22" s="378"/>
      <c r="J22" s="114"/>
      <c r="K22" s="153"/>
      <c r="L22" s="114"/>
      <c r="M22" s="114"/>
      <c r="N22" s="124"/>
      <c r="O22" s="151"/>
      <c r="P22" s="151"/>
      <c r="Q22" s="113"/>
      <c r="R22" s="114"/>
      <c r="S22" s="122"/>
    </row>
    <row r="23" spans="1:19" ht="15" customHeight="1" x14ac:dyDescent="0.2">
      <c r="A23" s="73"/>
      <c r="B23" s="166" t="s">
        <v>263</v>
      </c>
      <c r="C23" s="300">
        <v>2012</v>
      </c>
      <c r="D23" s="300">
        <f t="shared" ref="D23:D28" si="7">Ref_SF_area</f>
        <v>1289000</v>
      </c>
      <c r="E23" s="50">
        <f>ROUND(D23*29*1.2,-5)</f>
        <v>44900000</v>
      </c>
      <c r="F23" s="50">
        <v>0</v>
      </c>
      <c r="G23" s="50">
        <f t="shared" ref="G23:G28" si="8">E23+F23</f>
        <v>44900000</v>
      </c>
      <c r="H23" s="113"/>
      <c r="I23" s="377">
        <v>1</v>
      </c>
      <c r="J23" s="11">
        <f t="shared" ref="J23:J28" si="9">Proj_SF_Area</f>
        <v>1289000</v>
      </c>
      <c r="K23" s="154">
        <v>14</v>
      </c>
      <c r="L23" s="149">
        <f>(VLOOKUP(Cost_Yr,CI!$A$5:$AD$29,K23)/VLOOKUP($C23,CI!$A$5:$AD$29,K23))</f>
        <v>1</v>
      </c>
      <c r="M23" s="296">
        <v>1</v>
      </c>
      <c r="N23" s="50">
        <f t="shared" ref="N23:N28" si="10">E23*L23*M23*($J23/$D23)^$I23</f>
        <v>44900000</v>
      </c>
      <c r="O23" s="155">
        <v>11</v>
      </c>
      <c r="P23" s="149">
        <f>(VLOOKUP(Cost_Yr,CI!$A$5:$AD$29,O23)/VLOOKUP($C23,CI!$A$5:$AD$29,O23))</f>
        <v>1</v>
      </c>
      <c r="Q23" s="50">
        <f t="shared" ref="Q23:Q28" si="11">F23*P23*($J23/$D23)^$I23*(Labor_Cost_Factor)</f>
        <v>0</v>
      </c>
      <c r="R23" s="50">
        <f t="shared" ref="R23:R28" si="12">N23+Q23</f>
        <v>44900000</v>
      </c>
      <c r="S23" s="192"/>
    </row>
    <row r="24" spans="1:19" ht="15" customHeight="1" x14ac:dyDescent="0.2">
      <c r="B24" s="166" t="s">
        <v>264</v>
      </c>
      <c r="C24" s="300">
        <v>2012</v>
      </c>
      <c r="D24" s="300">
        <f t="shared" si="7"/>
        <v>1289000</v>
      </c>
      <c r="E24" s="50">
        <f>ROUND(D24*52*1.2,-5)</f>
        <v>80400000</v>
      </c>
      <c r="F24" s="50">
        <v>0</v>
      </c>
      <c r="G24" s="50">
        <f t="shared" si="8"/>
        <v>80400000</v>
      </c>
      <c r="H24" s="113"/>
      <c r="I24" s="377">
        <v>1</v>
      </c>
      <c r="J24" s="11">
        <f t="shared" si="9"/>
        <v>1289000</v>
      </c>
      <c r="K24" s="154">
        <v>9</v>
      </c>
      <c r="L24" s="149">
        <f>(VLOOKUP(Cost_Yr,CI!$A$5:$AD$29,K24)/VLOOKUP($C24,CI!$A$5:$AD$29,K24))</f>
        <v>1</v>
      </c>
      <c r="M24" s="296">
        <v>1</v>
      </c>
      <c r="N24" s="50">
        <f t="shared" si="10"/>
        <v>80400000</v>
      </c>
      <c r="O24" s="155">
        <v>11</v>
      </c>
      <c r="P24" s="149">
        <f>(VLOOKUP(Cost_Yr,CI!$A$5:$AD$29,O24)/VLOOKUP($C24,CI!$A$5:$AD$29,O24))</f>
        <v>1</v>
      </c>
      <c r="Q24" s="50">
        <f t="shared" si="11"/>
        <v>0</v>
      </c>
      <c r="R24" s="50">
        <f t="shared" si="12"/>
        <v>80400000</v>
      </c>
      <c r="S24" s="192"/>
    </row>
    <row r="25" spans="1:19" ht="15" customHeight="1" x14ac:dyDescent="0.2">
      <c r="B25" s="166" t="s">
        <v>265</v>
      </c>
      <c r="C25" s="300">
        <v>2012</v>
      </c>
      <c r="D25" s="300">
        <f t="shared" si="7"/>
        <v>1289000</v>
      </c>
      <c r="E25" s="50">
        <f>ROUND(D25*48*1.2,-5)</f>
        <v>74200000</v>
      </c>
      <c r="F25" s="50">
        <v>0</v>
      </c>
      <c r="G25" s="50">
        <f t="shared" si="8"/>
        <v>74200000</v>
      </c>
      <c r="H25" s="113"/>
      <c r="I25" s="377">
        <v>1</v>
      </c>
      <c r="J25" s="11">
        <f t="shared" si="9"/>
        <v>1289000</v>
      </c>
      <c r="K25" s="154">
        <v>10</v>
      </c>
      <c r="L25" s="149">
        <f>(VLOOKUP(Cost_Yr,CI!$A$5:$AD$29,K25)/VLOOKUP($C25,CI!$A$5:$AD$29,K25))</f>
        <v>1</v>
      </c>
      <c r="M25" s="296">
        <v>1</v>
      </c>
      <c r="N25" s="50">
        <f t="shared" si="10"/>
        <v>74200000</v>
      </c>
      <c r="O25" s="155">
        <v>11</v>
      </c>
      <c r="P25" s="149">
        <f>(VLOOKUP(Cost_Yr,CI!$A$5:$AD$29,O25)/VLOOKUP($C25,CI!$A$5:$AD$29,O25))</f>
        <v>1</v>
      </c>
      <c r="Q25" s="50">
        <f t="shared" si="11"/>
        <v>0</v>
      </c>
      <c r="R25" s="50">
        <f t="shared" si="12"/>
        <v>74200000</v>
      </c>
      <c r="S25" s="192"/>
    </row>
    <row r="26" spans="1:19" ht="15" customHeight="1" x14ac:dyDescent="0.2">
      <c r="B26" s="166" t="s">
        <v>266</v>
      </c>
      <c r="C26" s="300">
        <v>2012</v>
      </c>
      <c r="D26" s="300">
        <f t="shared" si="7"/>
        <v>1289000</v>
      </c>
      <c r="E26" s="50">
        <f>ROUND(D26*5*1.2,-5)</f>
        <v>7700000</v>
      </c>
      <c r="F26" s="50">
        <v>0</v>
      </c>
      <c r="G26" s="50">
        <f t="shared" si="8"/>
        <v>7700000</v>
      </c>
      <c r="H26" s="113"/>
      <c r="I26" s="377">
        <v>1</v>
      </c>
      <c r="J26" s="11">
        <f t="shared" si="9"/>
        <v>1289000</v>
      </c>
      <c r="K26" s="154">
        <v>9</v>
      </c>
      <c r="L26" s="149">
        <f>(VLOOKUP(Cost_Yr,CI!$A$5:$AD$29,K26)/VLOOKUP($C26,CI!$A$5:$AD$29,K26))</f>
        <v>1</v>
      </c>
      <c r="M26" s="296">
        <v>1</v>
      </c>
      <c r="N26" s="50">
        <f t="shared" si="10"/>
        <v>7700000</v>
      </c>
      <c r="O26" s="155">
        <v>11</v>
      </c>
      <c r="P26" s="149">
        <f>(VLOOKUP(Cost_Yr,CI!$A$5:$AD$29,O26)/VLOOKUP($C26,CI!$A$5:$AD$29,O26))</f>
        <v>1</v>
      </c>
      <c r="Q26" s="50">
        <f t="shared" si="11"/>
        <v>0</v>
      </c>
      <c r="R26" s="50">
        <f t="shared" si="12"/>
        <v>7700000</v>
      </c>
      <c r="S26" s="192"/>
    </row>
    <row r="27" spans="1:19" ht="15" customHeight="1" x14ac:dyDescent="0.2">
      <c r="B27" s="166" t="s">
        <v>268</v>
      </c>
      <c r="C27" s="300">
        <v>2012</v>
      </c>
      <c r="D27" s="300">
        <f t="shared" si="7"/>
        <v>1289000</v>
      </c>
      <c r="E27" s="50">
        <v>0</v>
      </c>
      <c r="F27" s="50">
        <f>ROUND(D27*9*1.2,-5)</f>
        <v>13900000</v>
      </c>
      <c r="G27" s="50">
        <f t="shared" si="8"/>
        <v>13900000</v>
      </c>
      <c r="H27" s="113"/>
      <c r="I27" s="377">
        <v>1</v>
      </c>
      <c r="J27" s="11">
        <f t="shared" si="9"/>
        <v>1289000</v>
      </c>
      <c r="K27" s="154">
        <v>11</v>
      </c>
      <c r="L27" s="149">
        <f>(VLOOKUP(Cost_Yr,CI!$A$5:$AD$29,K27)/VLOOKUP($C27,CI!$A$5:$AD$29,K27))</f>
        <v>1</v>
      </c>
      <c r="M27" s="296">
        <v>1</v>
      </c>
      <c r="N27" s="50">
        <f t="shared" si="10"/>
        <v>0</v>
      </c>
      <c r="O27" s="155">
        <v>11</v>
      </c>
      <c r="P27" s="149">
        <f>(VLOOKUP(Cost_Yr,CI!$A$5:$AD$29,O27)/VLOOKUP($C27,CI!$A$5:$AD$29,O27))</f>
        <v>1</v>
      </c>
      <c r="Q27" s="50">
        <f t="shared" si="11"/>
        <v>13900000</v>
      </c>
      <c r="R27" s="50">
        <f t="shared" si="12"/>
        <v>13900000</v>
      </c>
      <c r="S27" s="192"/>
    </row>
    <row r="28" spans="1:19" ht="15" customHeight="1" x14ac:dyDescent="0.2">
      <c r="B28" s="166" t="s">
        <v>267</v>
      </c>
      <c r="C28" s="300">
        <v>2012</v>
      </c>
      <c r="D28" s="300">
        <f t="shared" si="7"/>
        <v>1289000</v>
      </c>
      <c r="E28" s="50">
        <f>0</f>
        <v>0</v>
      </c>
      <c r="F28" s="50">
        <f>ROUND(D28*8*1.2,-5)</f>
        <v>12400000</v>
      </c>
      <c r="G28" s="50">
        <f t="shared" si="8"/>
        <v>12400000</v>
      </c>
      <c r="H28" s="113"/>
      <c r="I28" s="377">
        <v>1</v>
      </c>
      <c r="J28" s="11">
        <f t="shared" si="9"/>
        <v>1289000</v>
      </c>
      <c r="K28" s="154">
        <v>11</v>
      </c>
      <c r="L28" s="149">
        <f>(VLOOKUP(Cost_Yr,CI!$A$5:$AD$29,K28)/VLOOKUP($C28,CI!$A$5:$AD$29,K28))</f>
        <v>1</v>
      </c>
      <c r="M28" s="296">
        <v>1</v>
      </c>
      <c r="N28" s="50">
        <f t="shared" si="10"/>
        <v>0</v>
      </c>
      <c r="O28" s="155">
        <v>11</v>
      </c>
      <c r="P28" s="149">
        <f>(VLOOKUP(Cost_Yr,CI!$A$5:$AD$29,O28)/VLOOKUP($C28,CI!$A$5:$AD$29,O28))</f>
        <v>1</v>
      </c>
      <c r="Q28" s="50">
        <f t="shared" si="11"/>
        <v>12400000</v>
      </c>
      <c r="R28" s="50">
        <f t="shared" si="12"/>
        <v>12400000</v>
      </c>
      <c r="S28" s="192"/>
    </row>
    <row r="29" spans="1:19" ht="15" customHeight="1" thickBot="1" x14ac:dyDescent="0.25">
      <c r="B29" s="58"/>
      <c r="C29" s="301"/>
      <c r="D29" s="189"/>
      <c r="E29" s="82">
        <f>SUM(E23:E28)</f>
        <v>207200000</v>
      </c>
      <c r="F29" s="83">
        <f>SUM(F23:F28)</f>
        <v>26300000</v>
      </c>
      <c r="G29" s="85">
        <f>SUM(G23:G28)</f>
        <v>233500000</v>
      </c>
      <c r="H29" s="114"/>
      <c r="I29" s="378"/>
      <c r="J29" s="114"/>
      <c r="K29" s="153"/>
      <c r="L29" s="114"/>
      <c r="M29" s="114"/>
      <c r="N29" s="82">
        <f>SUM(N23:N28)</f>
        <v>207200000</v>
      </c>
      <c r="O29" s="150"/>
      <c r="P29" s="150"/>
      <c r="Q29" s="83">
        <f>SUM(Q23:Q28)</f>
        <v>26300000</v>
      </c>
      <c r="R29" s="85">
        <f>SUM(R23:R28)</f>
        <v>233500000</v>
      </c>
      <c r="S29" s="254">
        <v>7.0000000000000007E-2</v>
      </c>
    </row>
    <row r="30" spans="1:19" ht="15" customHeight="1" x14ac:dyDescent="0.2">
      <c r="B30" s="58"/>
      <c r="C30" s="301"/>
      <c r="D30" s="189"/>
      <c r="E30" s="124"/>
      <c r="F30" s="113"/>
      <c r="G30" s="125"/>
      <c r="H30" s="114"/>
      <c r="I30" s="378"/>
      <c r="J30" s="114"/>
      <c r="K30" s="153"/>
      <c r="L30" s="114"/>
      <c r="M30" s="114"/>
      <c r="N30" s="124"/>
      <c r="O30" s="151"/>
      <c r="P30" s="151"/>
      <c r="Q30" s="113"/>
      <c r="R30" s="125"/>
      <c r="S30" s="122"/>
    </row>
    <row r="31" spans="1:19" ht="15" customHeight="1" x14ac:dyDescent="0.2">
      <c r="B31" s="54" t="s">
        <v>284</v>
      </c>
      <c r="C31" s="300">
        <v>2010</v>
      </c>
      <c r="D31" s="300">
        <f>Ref_Tower_Height</f>
        <v>203</v>
      </c>
      <c r="E31" s="50">
        <v>12000000</v>
      </c>
      <c r="F31" s="50">
        <v>9400000</v>
      </c>
      <c r="G31" s="50">
        <f t="shared" ref="G31:G36" si="13">E31+F31</f>
        <v>21400000</v>
      </c>
      <c r="H31" s="113"/>
      <c r="I31" s="461">
        <v>1.1299999999999999E-2</v>
      </c>
      <c r="J31" s="11">
        <f>Proj_Tower_Height</f>
        <v>203</v>
      </c>
      <c r="K31" s="154">
        <v>4</v>
      </c>
      <c r="L31" s="149">
        <f>(VLOOKUP(Cost_Yr,CI!$A$5:$AD$29,K31)/VLOOKUP($C31,CI!$A$5:$AD$29,K31))</f>
        <v>1.1199213630406291</v>
      </c>
      <c r="M31" s="296">
        <v>1</v>
      </c>
      <c r="N31" s="50">
        <f>E31*L31*M31*EXP(I31*J31)/EXP(I31*D31)</f>
        <v>13439056.356487548</v>
      </c>
      <c r="O31" s="155">
        <v>11</v>
      </c>
      <c r="P31" s="149">
        <f>(VLOOKUP(Cost_Yr,CI!$A$5:$AD$29,O31)/VLOOKUP($C31,CI!$A$5:$AD$29,O31))</f>
        <v>0.98178224846073914</v>
      </c>
      <c r="Q31" s="50">
        <f>F31*P31*EXP(I31*J31)/EXP(I31*D31)*(Labor_Cost_Factor)</f>
        <v>9228753.1355309486</v>
      </c>
      <c r="R31" s="50">
        <f t="shared" ref="R31:R39" si="14">N31+Q31</f>
        <v>22667809.492018498</v>
      </c>
      <c r="S31" s="192"/>
    </row>
    <row r="32" spans="1:19" ht="15" customHeight="1" x14ac:dyDescent="0.2">
      <c r="B32" s="54" t="s">
        <v>285</v>
      </c>
      <c r="C32" s="300">
        <v>2010</v>
      </c>
      <c r="D32" s="300">
        <f>Ref_Tower_Height</f>
        <v>203</v>
      </c>
      <c r="E32" s="50">
        <v>3300000</v>
      </c>
      <c r="F32" s="50">
        <v>3800000</v>
      </c>
      <c r="G32" s="50">
        <f t="shared" si="13"/>
        <v>7100000</v>
      </c>
      <c r="H32" s="113"/>
      <c r="I32" s="461">
        <v>1.1299999999999999E-2</v>
      </c>
      <c r="J32" s="11">
        <f>Proj_Tower_Height</f>
        <v>203</v>
      </c>
      <c r="K32" s="154">
        <v>8</v>
      </c>
      <c r="L32" s="149">
        <f>(VLOOKUP(Cost_Yr,CI!$A$5:$AD$29,K32)/VLOOKUP($C32,CI!$A$5:$AD$29,K32))</f>
        <v>1.0282137449684257</v>
      </c>
      <c r="M32" s="296">
        <v>1</v>
      </c>
      <c r="N32" s="50">
        <f>E32*L32*M32*EXP(I32*J32)/EXP(I32*D32)</f>
        <v>3393105.3583958051</v>
      </c>
      <c r="O32" s="155">
        <v>11</v>
      </c>
      <c r="P32" s="149">
        <f>(VLOOKUP(Cost_Yr,CI!$A$5:$AD$29,O32)/VLOOKUP($C32,CI!$A$5:$AD$29,O32))</f>
        <v>0.98178224846073914</v>
      </c>
      <c r="Q32" s="50">
        <f>F32*P32*EXP(I32*J32)/EXP(I32*D32)*(Labor_Cost_Factor)</f>
        <v>3730772.5441508088</v>
      </c>
      <c r="R32" s="50">
        <f t="shared" si="14"/>
        <v>7123877.9025466144</v>
      </c>
      <c r="S32" s="192"/>
    </row>
    <row r="33" spans="1:23" ht="15" customHeight="1" thickBot="1" x14ac:dyDescent="0.25">
      <c r="B33" s="54"/>
      <c r="C33" s="300"/>
      <c r="D33" s="300"/>
      <c r="E33" s="82">
        <f>SUM(E31:E32)</f>
        <v>15300000</v>
      </c>
      <c r="F33" s="83">
        <f>SUM(F31:F32)</f>
        <v>13200000</v>
      </c>
      <c r="G33" s="85">
        <f>SUM(G31:G32)</f>
        <v>28500000</v>
      </c>
      <c r="H33" s="114"/>
      <c r="I33" s="378"/>
      <c r="J33" s="114"/>
      <c r="K33" s="153"/>
      <c r="L33" s="114"/>
      <c r="M33" s="114"/>
      <c r="N33" s="82">
        <f>SUM(N31:N32)</f>
        <v>16832161.714883354</v>
      </c>
      <c r="O33" s="150"/>
      <c r="P33" s="150"/>
      <c r="Q33" s="83">
        <f>SUM(Q31:Q32)</f>
        <v>12959525.679681757</v>
      </c>
      <c r="R33" s="85">
        <f>SUM(R31:R32)</f>
        <v>29791687.394565113</v>
      </c>
      <c r="S33" s="254">
        <v>7.0000000000000007E-2</v>
      </c>
    </row>
    <row r="34" spans="1:23" ht="15" customHeight="1" x14ac:dyDescent="0.2">
      <c r="B34" s="54"/>
      <c r="C34" s="300"/>
      <c r="D34" s="300"/>
      <c r="E34" s="50"/>
      <c r="F34" s="50"/>
      <c r="G34" s="50"/>
      <c r="H34" s="113"/>
      <c r="I34" s="377"/>
      <c r="J34" s="11"/>
      <c r="K34" s="154"/>
      <c r="L34" s="149"/>
      <c r="M34" s="296"/>
      <c r="N34" s="50"/>
      <c r="O34" s="155"/>
      <c r="P34" s="149"/>
      <c r="Q34" s="50"/>
      <c r="R34" s="50"/>
      <c r="S34" s="192"/>
    </row>
    <row r="35" spans="1:23" ht="15" customHeight="1" x14ac:dyDescent="0.2">
      <c r="B35" s="54" t="s">
        <v>286</v>
      </c>
      <c r="C35" s="300">
        <v>2010</v>
      </c>
      <c r="D35" s="477">
        <f>Ref_Receiver_Area</f>
        <v>1571</v>
      </c>
      <c r="E35" s="50">
        <v>51500000</v>
      </c>
      <c r="F35" s="50">
        <v>0</v>
      </c>
      <c r="G35" s="50">
        <f t="shared" ref="G35" si="15">E35+F35</f>
        <v>51500000</v>
      </c>
      <c r="H35" s="113"/>
      <c r="I35" s="377">
        <v>0.7</v>
      </c>
      <c r="J35" s="11">
        <f>Proj_Rcvr_Area</f>
        <v>1133</v>
      </c>
      <c r="K35" s="154">
        <v>4</v>
      </c>
      <c r="L35" s="149">
        <f>(VLOOKUP(Cost_Yr,CI!$A$5:$AD$29,K35)/VLOOKUP($C35,CI!$A$5:$AD$29,K35))</f>
        <v>1.1199213630406291</v>
      </c>
      <c r="M35" s="296">
        <v>1</v>
      </c>
      <c r="N35" s="50">
        <f>E35*L35*M35*($J35/$D35)^$I35</f>
        <v>45880946.17557925</v>
      </c>
      <c r="O35" s="155">
        <v>11</v>
      </c>
      <c r="P35" s="149">
        <f>(VLOOKUP(Cost_Yr,CI!$A$5:$AD$29,O35)/VLOOKUP($C35,CI!$A$5:$AD$29,O35))</f>
        <v>0.98178224846073914</v>
      </c>
      <c r="Q35" s="50">
        <f t="shared" ref="Q35" si="16">F35*P35*($J35/$D35)^$I35*(Labor_Cost_Factor)</f>
        <v>0</v>
      </c>
      <c r="R35" s="50">
        <f t="shared" ref="R35" si="17">N35+Q35</f>
        <v>45880946.17557925</v>
      </c>
      <c r="S35" s="192"/>
    </row>
    <row r="36" spans="1:23" ht="15" customHeight="1" x14ac:dyDescent="0.2">
      <c r="B36" s="54" t="s">
        <v>287</v>
      </c>
      <c r="C36" s="300">
        <v>2010</v>
      </c>
      <c r="D36" s="300">
        <f t="shared" ref="D36:D39" si="18">Ref_Rcvr_MWt</f>
        <v>910</v>
      </c>
      <c r="E36" s="50">
        <v>9970000</v>
      </c>
      <c r="F36" s="50">
        <v>10800000</v>
      </c>
      <c r="G36" s="50">
        <f t="shared" si="13"/>
        <v>20770000</v>
      </c>
      <c r="H36" s="113"/>
      <c r="I36" s="377">
        <v>0.7</v>
      </c>
      <c r="J36" s="11">
        <f t="shared" ref="J36:J39" si="19">Proj_Rcvr_MWt</f>
        <v>670</v>
      </c>
      <c r="K36" s="154">
        <v>4</v>
      </c>
      <c r="L36" s="149">
        <f>(VLOOKUP(Cost_Yr,CI!$A$5:$AD$29,K36)/VLOOKUP($C36,CI!$A$5:$AD$29,K36))</f>
        <v>1.1199213630406291</v>
      </c>
      <c r="M36" s="296">
        <v>1</v>
      </c>
      <c r="N36" s="50">
        <f t="shared" ref="N36:N39" si="20">E36*L36*M36*($J36/$D36)^$I36</f>
        <v>9011686.4931748305</v>
      </c>
      <c r="O36" s="155">
        <v>11</v>
      </c>
      <c r="P36" s="149">
        <f>(VLOOKUP(Cost_Yr,CI!$A$5:$AD$29,O36)/VLOOKUP($C36,CI!$A$5:$AD$29,O36))</f>
        <v>0.98178224846073914</v>
      </c>
      <c r="Q36" s="50">
        <f t="shared" ref="Q36:Q39" si="21">F36*P36*($J36/$D36)^$I36*(Labor_Cost_Factor)</f>
        <v>8557803.6562251914</v>
      </c>
      <c r="R36" s="50">
        <f t="shared" si="14"/>
        <v>17569490.149400022</v>
      </c>
      <c r="S36" s="192"/>
    </row>
    <row r="37" spans="1:23" ht="15" customHeight="1" x14ac:dyDescent="0.2">
      <c r="B37" s="54" t="s">
        <v>288</v>
      </c>
      <c r="C37" s="300">
        <v>2010</v>
      </c>
      <c r="D37" s="300">
        <f t="shared" si="18"/>
        <v>910</v>
      </c>
      <c r="E37" s="50">
        <v>6880000</v>
      </c>
      <c r="F37" s="50">
        <v>110000</v>
      </c>
      <c r="G37" s="50">
        <f t="shared" ref="G37:G39" si="22">E37+F37</f>
        <v>6990000</v>
      </c>
      <c r="H37" s="113"/>
      <c r="I37" s="377">
        <v>0.7</v>
      </c>
      <c r="J37" s="11">
        <f t="shared" si="19"/>
        <v>670</v>
      </c>
      <c r="K37" s="154">
        <v>6</v>
      </c>
      <c r="L37" s="149">
        <f>(VLOOKUP(Cost_Yr,CI!$A$5:$AD$29,K37)/VLOOKUP($C37,CI!$A$5:$AD$29,K37))</f>
        <v>1.12406752249065</v>
      </c>
      <c r="M37" s="296">
        <v>1</v>
      </c>
      <c r="N37" s="50">
        <f t="shared" si="20"/>
        <v>6241719.1797730559</v>
      </c>
      <c r="O37" s="155">
        <v>11</v>
      </c>
      <c r="P37" s="149">
        <f>(VLOOKUP(Cost_Yr,CI!$A$5:$AD$29,O37)/VLOOKUP($C37,CI!$A$5:$AD$29,O37))</f>
        <v>0.98178224846073914</v>
      </c>
      <c r="Q37" s="50">
        <f t="shared" si="21"/>
        <v>87162.815017108442</v>
      </c>
      <c r="R37" s="50">
        <f t="shared" si="14"/>
        <v>6328881.9947901648</v>
      </c>
      <c r="S37" s="192"/>
    </row>
    <row r="38" spans="1:23" ht="15" customHeight="1" x14ac:dyDescent="0.2">
      <c r="B38" s="54" t="s">
        <v>289</v>
      </c>
      <c r="C38" s="300">
        <v>2010</v>
      </c>
      <c r="D38" s="300">
        <f t="shared" si="18"/>
        <v>910</v>
      </c>
      <c r="E38" s="50">
        <v>9670000</v>
      </c>
      <c r="F38" s="50">
        <v>6770000</v>
      </c>
      <c r="G38" s="50">
        <f t="shared" si="22"/>
        <v>16440000</v>
      </c>
      <c r="H38" s="113"/>
      <c r="I38" s="377">
        <v>0.7</v>
      </c>
      <c r="J38" s="11">
        <f t="shared" si="19"/>
        <v>670</v>
      </c>
      <c r="K38" s="154">
        <v>6</v>
      </c>
      <c r="L38" s="149">
        <f>(VLOOKUP(Cost_Yr,CI!$A$5:$AD$29,K38)/VLOOKUP($C38,CI!$A$5:$AD$29,K38))</f>
        <v>1.12406752249065</v>
      </c>
      <c r="M38" s="296">
        <v>1</v>
      </c>
      <c r="N38" s="50">
        <f t="shared" si="20"/>
        <v>8772881.4634310249</v>
      </c>
      <c r="O38" s="155">
        <v>11</v>
      </c>
      <c r="P38" s="149">
        <f>(VLOOKUP(Cost_Yr,CI!$A$5:$AD$29,O38)/VLOOKUP($C38,CI!$A$5:$AD$29,O38))</f>
        <v>0.98178224846073914</v>
      </c>
      <c r="Q38" s="50">
        <f t="shared" si="21"/>
        <v>5364475.0696893102</v>
      </c>
      <c r="R38" s="50">
        <f t="shared" si="14"/>
        <v>14137356.533120334</v>
      </c>
      <c r="S38" s="192"/>
    </row>
    <row r="39" spans="1:23" ht="15" customHeight="1" x14ac:dyDescent="0.2">
      <c r="B39" s="54" t="s">
        <v>290</v>
      </c>
      <c r="C39" s="300">
        <v>2010</v>
      </c>
      <c r="D39" s="300">
        <f t="shared" si="18"/>
        <v>910</v>
      </c>
      <c r="E39" s="50">
        <v>1320000</v>
      </c>
      <c r="F39" s="50">
        <v>0</v>
      </c>
      <c r="G39" s="50">
        <f t="shared" si="22"/>
        <v>1320000</v>
      </c>
      <c r="H39" s="113"/>
      <c r="I39" s="377">
        <v>0.7</v>
      </c>
      <c r="J39" s="11">
        <f t="shared" si="19"/>
        <v>670</v>
      </c>
      <c r="K39" s="154">
        <v>10</v>
      </c>
      <c r="L39" s="149">
        <f>(VLOOKUP(Cost_Yr,CI!$A$5:$AD$29,K39)/VLOOKUP($C39,CI!$A$5:$AD$29,K39))</f>
        <v>1.1232628250692418</v>
      </c>
      <c r="M39" s="296">
        <v>1</v>
      </c>
      <c r="N39" s="50">
        <f t="shared" si="20"/>
        <v>1196681.8506723512</v>
      </c>
      <c r="O39" s="155">
        <v>11</v>
      </c>
      <c r="P39" s="149">
        <f>(VLOOKUP(Cost_Yr,CI!$A$5:$AD$29,O39)/VLOOKUP($C39,CI!$A$5:$AD$29,O39))</f>
        <v>0.98178224846073914</v>
      </c>
      <c r="Q39" s="50">
        <f t="shared" si="21"/>
        <v>0</v>
      </c>
      <c r="R39" s="50">
        <f t="shared" si="14"/>
        <v>1196681.8506723512</v>
      </c>
      <c r="S39" s="192"/>
    </row>
    <row r="40" spans="1:23" ht="15" customHeight="1" thickBot="1" x14ac:dyDescent="0.25">
      <c r="B40" s="54"/>
      <c r="C40" s="300"/>
      <c r="D40" s="188"/>
      <c r="E40" s="82">
        <f>SUM(E35:E39)</f>
        <v>79340000</v>
      </c>
      <c r="F40" s="83">
        <f>SUM(F35:F39)</f>
        <v>17680000</v>
      </c>
      <c r="G40" s="85">
        <f>SUM(G35:G39)</f>
        <v>97020000</v>
      </c>
      <c r="H40" s="114"/>
      <c r="I40" s="378"/>
      <c r="J40" s="114"/>
      <c r="K40" s="153"/>
      <c r="L40" s="114"/>
      <c r="M40" s="114"/>
      <c r="N40" s="82">
        <f>SUM(N35:N39)</f>
        <v>71103915.162630513</v>
      </c>
      <c r="O40" s="150"/>
      <c r="P40" s="150"/>
      <c r="Q40" s="83">
        <f>SUM(Q35:Q39)</f>
        <v>14009441.540931609</v>
      </c>
      <c r="R40" s="85">
        <f>SUM(R35:R39)</f>
        <v>85113356.703562126</v>
      </c>
      <c r="S40" s="254">
        <v>7.0000000000000007E-2</v>
      </c>
    </row>
    <row r="41" spans="1:23" ht="15" customHeight="1" x14ac:dyDescent="0.2">
      <c r="B41" s="54"/>
      <c r="C41" s="300"/>
      <c r="D41" s="188"/>
      <c r="E41" s="124"/>
      <c r="F41" s="113"/>
      <c r="G41" s="125"/>
      <c r="H41" s="114"/>
      <c r="I41" s="378"/>
      <c r="J41" s="114"/>
      <c r="K41" s="153"/>
      <c r="L41" s="114"/>
      <c r="M41" s="114"/>
      <c r="N41" s="124"/>
      <c r="O41" s="151"/>
      <c r="P41" s="151"/>
      <c r="Q41" s="113"/>
      <c r="R41" s="125"/>
      <c r="S41" s="122"/>
    </row>
    <row r="42" spans="1:23" ht="15" customHeight="1" x14ac:dyDescent="0.2">
      <c r="A42" s="73"/>
      <c r="B42" s="166" t="s">
        <v>270</v>
      </c>
      <c r="C42" s="300">
        <v>2010</v>
      </c>
      <c r="D42" s="300">
        <f t="shared" ref="D42:D47" si="23">Ref_TES_capacity</f>
        <v>2790</v>
      </c>
      <c r="E42" s="50">
        <v>5810000</v>
      </c>
      <c r="F42" s="50">
        <v>0</v>
      </c>
      <c r="G42" s="50">
        <f t="shared" ref="G42:G47" si="24">E42+F42</f>
        <v>5810000</v>
      </c>
      <c r="H42" s="113"/>
      <c r="I42" s="377">
        <v>0.8</v>
      </c>
      <c r="J42" s="11">
        <f t="shared" ref="J42:J47" si="25">Proj_TES_hrs*PB_Thermal_Design_Capacity</f>
        <v>2790</v>
      </c>
      <c r="K42" s="154">
        <v>3</v>
      </c>
      <c r="L42" s="149">
        <f>(VLOOKUP(Cost_Yr,CI!$A$5:$AD$29,K42)/VLOOKUP($C42,CI!$A$5:$AD$29,K42))</f>
        <v>1.1013320526754795</v>
      </c>
      <c r="M42" s="296">
        <v>1</v>
      </c>
      <c r="N42" s="50">
        <f t="shared" ref="N42:N47" si="26">E42*L42*M42*($J42/$D42)^$I42</f>
        <v>6398739.2260445356</v>
      </c>
      <c r="O42" s="155">
        <v>11</v>
      </c>
      <c r="P42" s="149">
        <f>(VLOOKUP(Cost_Yr,CI!$A$5:$AD$29,O42)/VLOOKUP($C42,CI!$A$5:$AD$29,O42))</f>
        <v>0.98178224846073914</v>
      </c>
      <c r="Q42" s="50">
        <f t="shared" ref="Q42:Q47" si="27">F42*P42*($J42/$D42)^$I42*(Labor_Cost_Factor)</f>
        <v>0</v>
      </c>
      <c r="R42" s="50">
        <f t="shared" ref="R42:R47" si="28">N42+Q42</f>
        <v>6398739.2260445356</v>
      </c>
      <c r="S42" s="192"/>
      <c r="T42" s="486"/>
      <c r="W42" s="486"/>
    </row>
    <row r="43" spans="1:23" ht="15" customHeight="1" x14ac:dyDescent="0.2">
      <c r="B43" s="166" t="s">
        <v>269</v>
      </c>
      <c r="C43" s="300">
        <v>2010</v>
      </c>
      <c r="D43" s="300">
        <f t="shared" si="23"/>
        <v>2790</v>
      </c>
      <c r="E43" s="50">
        <v>13350000</v>
      </c>
      <c r="F43" s="50">
        <v>0</v>
      </c>
      <c r="G43" s="50">
        <f t="shared" si="24"/>
        <v>13350000</v>
      </c>
      <c r="H43" s="113"/>
      <c r="I43" s="377">
        <v>0.8</v>
      </c>
      <c r="J43" s="11">
        <f t="shared" si="25"/>
        <v>2790</v>
      </c>
      <c r="K43" s="154">
        <v>4</v>
      </c>
      <c r="L43" s="149">
        <f>(VLOOKUP(Cost_Yr,CI!$A$5:$AD$29,K43)/VLOOKUP($C43,CI!$A$5:$AD$29,K43))</f>
        <v>1.1199213630406291</v>
      </c>
      <c r="M43" s="296">
        <v>1</v>
      </c>
      <c r="N43" s="50">
        <f t="shared" si="26"/>
        <v>14950950.196592398</v>
      </c>
      <c r="O43" s="155">
        <v>11</v>
      </c>
      <c r="P43" s="149">
        <f>(VLOOKUP(Cost_Yr,CI!$A$5:$AD$29,O43)/VLOOKUP($C43,CI!$A$5:$AD$29,O43))</f>
        <v>0.98178224846073914</v>
      </c>
      <c r="Q43" s="50">
        <f t="shared" si="27"/>
        <v>0</v>
      </c>
      <c r="R43" s="50">
        <f t="shared" si="28"/>
        <v>14950950.196592398</v>
      </c>
      <c r="S43" s="253"/>
      <c r="T43" s="486"/>
      <c r="W43" s="486"/>
    </row>
    <row r="44" spans="1:23" ht="15" customHeight="1" x14ac:dyDescent="0.2">
      <c r="B44" s="54" t="s">
        <v>252</v>
      </c>
      <c r="C44" s="300">
        <v>2010</v>
      </c>
      <c r="D44" s="300">
        <f t="shared" si="23"/>
        <v>2790</v>
      </c>
      <c r="E44" s="50">
        <v>43170000</v>
      </c>
      <c r="F44" s="50">
        <v>0</v>
      </c>
      <c r="G44" s="50">
        <f t="shared" si="24"/>
        <v>43170000</v>
      </c>
      <c r="H44" s="113"/>
      <c r="I44" s="377">
        <v>1</v>
      </c>
      <c r="J44" s="11">
        <f t="shared" si="25"/>
        <v>2790</v>
      </c>
      <c r="K44" s="154">
        <v>21</v>
      </c>
      <c r="L44" s="149">
        <f>(VLOOKUP(Cost_Yr,CI!$A$5:$AD$29,K44)/VLOOKUP($C44,CI!$A$5:$AD$29,K44))</f>
        <v>1</v>
      </c>
      <c r="M44" s="296">
        <v>1</v>
      </c>
      <c r="N44" s="50">
        <f t="shared" si="26"/>
        <v>43170000</v>
      </c>
      <c r="O44" s="155">
        <v>11</v>
      </c>
      <c r="P44" s="149">
        <f>(VLOOKUP(Cost_Yr,CI!$A$5:$AD$29,O44)/VLOOKUP($C44,CI!$A$5:$AD$29,O44))</f>
        <v>0.98178224846073914</v>
      </c>
      <c r="Q44" s="50">
        <f t="shared" si="27"/>
        <v>0</v>
      </c>
      <c r="R44" s="50">
        <f t="shared" si="28"/>
        <v>43170000</v>
      </c>
      <c r="S44" s="192"/>
      <c r="T44" s="486"/>
      <c r="W44" s="486"/>
    </row>
    <row r="45" spans="1:23" ht="15" customHeight="1" x14ac:dyDescent="0.2">
      <c r="B45" s="54" t="s">
        <v>20</v>
      </c>
      <c r="C45" s="300">
        <v>2010</v>
      </c>
      <c r="D45" s="300">
        <f t="shared" si="23"/>
        <v>2790</v>
      </c>
      <c r="E45" s="50">
        <v>1790000</v>
      </c>
      <c r="F45" s="50">
        <v>3170000</v>
      </c>
      <c r="G45" s="50">
        <f t="shared" si="24"/>
        <v>4960000</v>
      </c>
      <c r="H45" s="113"/>
      <c r="I45" s="377">
        <v>0.8</v>
      </c>
      <c r="J45" s="11">
        <f t="shared" si="25"/>
        <v>2790</v>
      </c>
      <c r="K45" s="154">
        <v>6</v>
      </c>
      <c r="L45" s="149">
        <f>(VLOOKUP(Cost_Yr,CI!$A$5:$AD$29,K45)/VLOOKUP($C45,CI!$A$5:$AD$29,K45))</f>
        <v>1.12406752249065</v>
      </c>
      <c r="M45" s="296">
        <v>1</v>
      </c>
      <c r="N45" s="50">
        <f t="shared" si="26"/>
        <v>2012080.8652582634</v>
      </c>
      <c r="O45" s="155">
        <v>11</v>
      </c>
      <c r="P45" s="149">
        <f>(VLOOKUP(Cost_Yr,CI!$A$5:$AD$29,O45)/VLOOKUP($C45,CI!$A$5:$AD$29,O45))</f>
        <v>0.98178224846073914</v>
      </c>
      <c r="Q45" s="50">
        <f t="shared" si="27"/>
        <v>3112249.727620543</v>
      </c>
      <c r="R45" s="50">
        <f t="shared" si="28"/>
        <v>5124330.5928788064</v>
      </c>
      <c r="S45" s="192"/>
      <c r="T45" s="486"/>
      <c r="W45" s="486"/>
    </row>
    <row r="46" spans="1:23" ht="15" customHeight="1" x14ac:dyDescent="0.2">
      <c r="B46" s="54" t="s">
        <v>21</v>
      </c>
      <c r="C46" s="300">
        <v>2010</v>
      </c>
      <c r="D46" s="300">
        <f t="shared" si="23"/>
        <v>2790</v>
      </c>
      <c r="E46" s="50">
        <v>2790000</v>
      </c>
      <c r="F46" s="50">
        <v>2620000</v>
      </c>
      <c r="G46" s="50">
        <f t="shared" si="24"/>
        <v>5410000</v>
      </c>
      <c r="H46" s="113"/>
      <c r="I46" s="377">
        <v>0.8</v>
      </c>
      <c r="J46" s="11">
        <f t="shared" si="25"/>
        <v>2790</v>
      </c>
      <c r="K46" s="154">
        <v>10</v>
      </c>
      <c r="L46" s="149">
        <f>(VLOOKUP(Cost_Yr,CI!$A$5:$AD$29,K46)/VLOOKUP($C46,CI!$A$5:$AD$29,K46))</f>
        <v>1.1232628250692418</v>
      </c>
      <c r="M46" s="296">
        <v>1</v>
      </c>
      <c r="N46" s="50">
        <f t="shared" si="26"/>
        <v>3133903.2819431848</v>
      </c>
      <c r="O46" s="155">
        <v>11</v>
      </c>
      <c r="P46" s="149">
        <f>(VLOOKUP(Cost_Yr,CI!$A$5:$AD$29,O46)/VLOOKUP($C46,CI!$A$5:$AD$29,O46))</f>
        <v>0.98178224846073914</v>
      </c>
      <c r="Q46" s="50">
        <f t="shared" si="27"/>
        <v>2572269.4909671363</v>
      </c>
      <c r="R46" s="50">
        <f t="shared" si="28"/>
        <v>5706172.7729103211</v>
      </c>
      <c r="S46" s="192"/>
      <c r="T46" s="486"/>
      <c r="W46" s="486"/>
    </row>
    <row r="47" spans="1:23" ht="15" customHeight="1" x14ac:dyDescent="0.2">
      <c r="B47" s="54" t="s">
        <v>22</v>
      </c>
      <c r="C47" s="300">
        <v>2010</v>
      </c>
      <c r="D47" s="300">
        <f t="shared" si="23"/>
        <v>2790</v>
      </c>
      <c r="E47" s="308">
        <v>420000</v>
      </c>
      <c r="F47" s="50">
        <v>480000</v>
      </c>
      <c r="G47" s="50">
        <f t="shared" si="24"/>
        <v>900000</v>
      </c>
      <c r="H47" s="113"/>
      <c r="I47" s="377">
        <v>0.8</v>
      </c>
      <c r="J47" s="11">
        <f t="shared" si="25"/>
        <v>2790</v>
      </c>
      <c r="K47" s="154">
        <v>7</v>
      </c>
      <c r="L47" s="149">
        <f>(VLOOKUP(Cost_Yr,CI!$A$5:$AD$29,K47)/VLOOKUP($C47,CI!$A$5:$AD$29,K47))</f>
        <v>1.0159093600726381</v>
      </c>
      <c r="M47" s="296">
        <v>1</v>
      </c>
      <c r="N47" s="50">
        <f t="shared" si="26"/>
        <v>426681.93123050802</v>
      </c>
      <c r="O47" s="155">
        <v>11</v>
      </c>
      <c r="P47" s="149">
        <f>(VLOOKUP(Cost_Yr,CI!$A$5:$AD$29,O47)/VLOOKUP($C47,CI!$A$5:$AD$29,O47))</f>
        <v>0.98178224846073914</v>
      </c>
      <c r="Q47" s="50">
        <f t="shared" si="27"/>
        <v>471255.47926115477</v>
      </c>
      <c r="R47" s="50">
        <f t="shared" si="28"/>
        <v>897937.4104916628</v>
      </c>
      <c r="S47" s="253"/>
      <c r="T47" s="486"/>
      <c r="W47" s="486"/>
    </row>
    <row r="48" spans="1:23" ht="15" customHeight="1" thickBot="1" x14ac:dyDescent="0.25">
      <c r="B48" s="54"/>
      <c r="C48" s="300"/>
      <c r="D48" s="188"/>
      <c r="E48" s="82">
        <f>SUM(E42:E47)</f>
        <v>67330000</v>
      </c>
      <c r="F48" s="83">
        <f>SUM(F42:F47)</f>
        <v>6270000</v>
      </c>
      <c r="G48" s="85">
        <f>SUM(G42:G47)</f>
        <v>73600000</v>
      </c>
      <c r="H48" s="114"/>
      <c r="I48" s="378"/>
      <c r="J48" s="114"/>
      <c r="K48" s="153"/>
      <c r="L48" s="114"/>
      <c r="M48" s="114"/>
      <c r="N48" s="82">
        <f>SUM(N42:N47)</f>
        <v>70092355.50106889</v>
      </c>
      <c r="O48" s="150"/>
      <c r="P48" s="150"/>
      <c r="Q48" s="83">
        <f>SUM(Q42:Q47)</f>
        <v>6155774.6978488341</v>
      </c>
      <c r="R48" s="85">
        <f>SUM(R42:R47)</f>
        <v>76248130.198917732</v>
      </c>
      <c r="S48" s="254">
        <v>7.0000000000000007E-2</v>
      </c>
    </row>
    <row r="49" spans="1:22" ht="15" customHeight="1" x14ac:dyDescent="0.2">
      <c r="B49" s="54"/>
      <c r="C49" s="300"/>
      <c r="D49" s="188"/>
      <c r="E49" s="124"/>
      <c r="F49" s="113"/>
      <c r="G49" s="125"/>
      <c r="H49" s="114"/>
      <c r="I49" s="378"/>
      <c r="J49" s="114"/>
      <c r="K49" s="153"/>
      <c r="L49" s="114"/>
      <c r="M49" s="114"/>
      <c r="N49" s="124"/>
      <c r="O49" s="151"/>
      <c r="P49" s="151"/>
      <c r="Q49" s="113"/>
      <c r="R49" s="125"/>
      <c r="S49" s="122"/>
    </row>
    <row r="50" spans="1:22" ht="15" customHeight="1" x14ac:dyDescent="0.2">
      <c r="A50" s="74"/>
      <c r="B50" s="54" t="s">
        <v>38</v>
      </c>
      <c r="C50" s="300">
        <v>2012</v>
      </c>
      <c r="D50" s="300">
        <f t="shared" ref="D50:D76" si="29">Ref_Turb_Gross</f>
        <v>115</v>
      </c>
      <c r="E50" s="183">
        <v>0</v>
      </c>
      <c r="F50" s="183">
        <v>0</v>
      </c>
      <c r="G50" s="187">
        <f>E50+F50</f>
        <v>0</v>
      </c>
      <c r="H50" s="321"/>
      <c r="I50" s="377">
        <v>0.8</v>
      </c>
      <c r="J50" s="11">
        <f>Proj_Turb_Gross</f>
        <v>115</v>
      </c>
      <c r="K50" s="154">
        <v>3</v>
      </c>
      <c r="L50" s="149">
        <f>(VLOOKUP(Cost_Yr,CI!$A$5:$AD$29,K50)/VLOOKUP($C50,CI!$A$5:$AD$29,K50))</f>
        <v>1</v>
      </c>
      <c r="M50" s="296">
        <v>1</v>
      </c>
      <c r="N50" s="50">
        <f>E50*L50*M50*($J50/$D50)^$I50</f>
        <v>0</v>
      </c>
      <c r="O50" s="185">
        <v>11</v>
      </c>
      <c r="P50" s="186">
        <f>(VLOOKUP(Cost_Yr,CI!$A$5:$AD$29,O50)/VLOOKUP($C50,CI!$A$5:$AD$29,O50))</f>
        <v>1</v>
      </c>
      <c r="Q50" s="183">
        <f>F50*P50*($J50/$D50)^$I50*(Labor_Cost_Factor)</f>
        <v>0</v>
      </c>
      <c r="R50" s="187">
        <v>0</v>
      </c>
      <c r="S50" s="254">
        <v>7.0000000000000007E-2</v>
      </c>
    </row>
    <row r="51" spans="1:22" ht="15" customHeight="1" x14ac:dyDescent="0.2">
      <c r="A51" s="74"/>
      <c r="B51" s="54"/>
      <c r="C51" s="300"/>
      <c r="D51" s="300"/>
      <c r="E51" s="479"/>
      <c r="F51" s="479"/>
      <c r="G51" s="480"/>
      <c r="H51" s="321"/>
      <c r="I51" s="377"/>
      <c r="J51" s="295"/>
      <c r="K51" s="154"/>
      <c r="L51" s="481"/>
      <c r="M51" s="482"/>
      <c r="N51" s="309"/>
      <c r="O51" s="483"/>
      <c r="P51" s="484"/>
      <c r="Q51" s="479"/>
      <c r="R51" s="480"/>
      <c r="S51" s="254"/>
    </row>
    <row r="52" spans="1:22" ht="15" customHeight="1" x14ac:dyDescent="0.2">
      <c r="A52" s="74"/>
      <c r="B52" s="57" t="s">
        <v>313</v>
      </c>
      <c r="C52" s="300"/>
      <c r="D52" s="300"/>
      <c r="E52" s="479"/>
      <c r="F52" s="479"/>
      <c r="G52" s="480"/>
      <c r="H52" s="321"/>
      <c r="I52" s="377"/>
      <c r="J52" s="295"/>
      <c r="K52" s="154"/>
      <c r="L52" s="481"/>
      <c r="M52" s="482"/>
      <c r="N52" s="309"/>
      <c r="O52" s="483"/>
      <c r="P52" s="484"/>
      <c r="Q52" s="479"/>
      <c r="R52" s="480"/>
      <c r="S52" s="254"/>
    </row>
    <row r="53" spans="1:22" ht="15" customHeight="1" x14ac:dyDescent="0.2">
      <c r="B53" s="54" t="s">
        <v>315</v>
      </c>
      <c r="C53" s="300">
        <v>2012</v>
      </c>
      <c r="D53" s="300">
        <f t="shared" si="29"/>
        <v>115</v>
      </c>
      <c r="E53" s="50">
        <v>7300000</v>
      </c>
      <c r="F53" s="50">
        <v>100000</v>
      </c>
      <c r="G53" s="50">
        <f t="shared" ref="G53:G57" si="30">E53+F53</f>
        <v>7400000</v>
      </c>
      <c r="H53" s="113"/>
      <c r="I53" s="377">
        <v>0.8</v>
      </c>
      <c r="J53" s="11">
        <f t="shared" ref="J53:J76" si="31">Proj_Turb_Gross</f>
        <v>115</v>
      </c>
      <c r="K53" s="154">
        <v>4</v>
      </c>
      <c r="L53" s="149">
        <f>(VLOOKUP(Cost_Yr,CI!$A$5:$AD$29,K53)/VLOOKUP($C53,CI!$A$5:$AD$29,K53))</f>
        <v>1</v>
      </c>
      <c r="M53" s="296">
        <v>1</v>
      </c>
      <c r="N53" s="50">
        <f>E53*L53*M53*($J53/$D53)^$I53</f>
        <v>7300000</v>
      </c>
      <c r="O53" s="155">
        <v>11</v>
      </c>
      <c r="P53" s="149">
        <f>(VLOOKUP(Cost_Yr,CI!$A$5:$AD$29,O53)/VLOOKUP($C53,CI!$A$5:$AD$29,O53))</f>
        <v>1</v>
      </c>
      <c r="Q53" s="50">
        <f>F53*P53*($J53/$D53)^$I53*(Labor_Cost_Factor)</f>
        <v>100000</v>
      </c>
      <c r="R53" s="50">
        <f>N53+Q53</f>
        <v>7400000</v>
      </c>
      <c r="S53" s="192"/>
      <c r="T53" s="485"/>
      <c r="U53" s="485"/>
      <c r="V53" s="485"/>
    </row>
    <row r="54" spans="1:22" ht="15" customHeight="1" x14ac:dyDescent="0.2">
      <c r="B54" s="166" t="s">
        <v>311</v>
      </c>
      <c r="C54" s="300">
        <v>2012</v>
      </c>
      <c r="D54" s="300">
        <f t="shared" si="29"/>
        <v>115</v>
      </c>
      <c r="E54" s="50">
        <v>3010000</v>
      </c>
      <c r="F54" s="50">
        <v>190000</v>
      </c>
      <c r="G54" s="50">
        <f t="shared" si="30"/>
        <v>3200000</v>
      </c>
      <c r="H54" s="113"/>
      <c r="I54" s="377">
        <v>0.8</v>
      </c>
      <c r="J54" s="11">
        <f t="shared" si="31"/>
        <v>115</v>
      </c>
      <c r="K54" s="154">
        <v>8</v>
      </c>
      <c r="L54" s="149">
        <f>(VLOOKUP(Cost_Yr,CI!$A$5:$AD$29,K54)/VLOOKUP($C54,CI!$A$5:$AD$29,K54))</f>
        <v>1</v>
      </c>
      <c r="M54" s="296">
        <v>1</v>
      </c>
      <c r="N54" s="50">
        <f>E54*L54*M54*($J54/$D54)^$I54</f>
        <v>3010000</v>
      </c>
      <c r="O54" s="155">
        <v>11</v>
      </c>
      <c r="P54" s="149">
        <f>(VLOOKUP(Cost_Yr,CI!$A$5:$AD$29,O54)/VLOOKUP($C54,CI!$A$5:$AD$29,O54))</f>
        <v>1</v>
      </c>
      <c r="Q54" s="50">
        <f>F54*P54*($J54/$D54)^$I54*(Labor_Cost_Factor)</f>
        <v>190000</v>
      </c>
      <c r="R54" s="50">
        <f t="shared" ref="R54" si="32">N54+Q54</f>
        <v>3200000</v>
      </c>
      <c r="S54" s="192"/>
      <c r="T54" s="485"/>
      <c r="U54" s="485"/>
      <c r="V54" s="485"/>
    </row>
    <row r="55" spans="1:22" ht="15" customHeight="1" x14ac:dyDescent="0.2">
      <c r="B55" s="54" t="s">
        <v>312</v>
      </c>
      <c r="C55" s="300">
        <v>2012</v>
      </c>
      <c r="D55" s="300">
        <f t="shared" si="29"/>
        <v>115</v>
      </c>
      <c r="E55" s="50">
        <v>1200000</v>
      </c>
      <c r="F55" s="50">
        <v>970000</v>
      </c>
      <c r="G55" s="50">
        <f t="shared" si="30"/>
        <v>2170000</v>
      </c>
      <c r="H55" s="113"/>
      <c r="I55" s="377">
        <v>0.8</v>
      </c>
      <c r="J55" s="11">
        <f t="shared" si="31"/>
        <v>115</v>
      </c>
      <c r="K55" s="154">
        <v>6</v>
      </c>
      <c r="L55" s="149">
        <f>(VLOOKUP(Cost_Yr,CI!$A$5:$AD$29,K55)/VLOOKUP($C55,CI!$A$5:$AD$29,K55))</f>
        <v>1</v>
      </c>
      <c r="M55" s="296">
        <v>1</v>
      </c>
      <c r="N55" s="50">
        <f>E55*L55*M55*($J55/$D55)^$I55</f>
        <v>1200000</v>
      </c>
      <c r="O55" s="155">
        <v>11</v>
      </c>
      <c r="P55" s="149">
        <f>(VLOOKUP(Cost_Yr,CI!$A$5:$AD$29,O55)/VLOOKUP($C55,CI!$A$5:$AD$29,O55))</f>
        <v>1</v>
      </c>
      <c r="Q55" s="50">
        <f>F55*P55*($J55/$D55)^$I55*(Labor_Cost_Factor)</f>
        <v>970000</v>
      </c>
      <c r="R55" s="50">
        <f>N55+Q55</f>
        <v>2170000</v>
      </c>
      <c r="S55" s="192"/>
      <c r="T55" s="485"/>
      <c r="U55" s="485"/>
      <c r="V55" s="485"/>
    </row>
    <row r="56" spans="1:22" ht="15" customHeight="1" x14ac:dyDescent="0.2">
      <c r="B56" s="54" t="s">
        <v>316</v>
      </c>
      <c r="C56" s="300">
        <v>2012</v>
      </c>
      <c r="D56" s="300">
        <f t="shared" si="29"/>
        <v>115</v>
      </c>
      <c r="E56" s="50">
        <v>3900000</v>
      </c>
      <c r="F56" s="50">
        <v>6700000</v>
      </c>
      <c r="G56" s="50">
        <f t="shared" si="30"/>
        <v>10600000</v>
      </c>
      <c r="H56" s="113"/>
      <c r="I56" s="377">
        <v>0.8</v>
      </c>
      <c r="J56" s="11">
        <f t="shared" si="31"/>
        <v>115</v>
      </c>
      <c r="K56" s="154">
        <v>7</v>
      </c>
      <c r="L56" s="149">
        <f>(VLOOKUP(Cost_Yr,CI!$A$5:$AD$29,K56)/VLOOKUP($C56,CI!$A$5:$AD$29,K56))</f>
        <v>1</v>
      </c>
      <c r="M56" s="296">
        <v>1</v>
      </c>
      <c r="N56" s="50">
        <f>E56*L56*M56*($J56/$D56)^$I56</f>
        <v>3900000</v>
      </c>
      <c r="O56" s="155">
        <v>11</v>
      </c>
      <c r="P56" s="149">
        <f>(VLOOKUP(Cost_Yr,CI!$A$5:$AD$29,O56)/VLOOKUP($C56,CI!$A$5:$AD$29,O56))</f>
        <v>1</v>
      </c>
      <c r="Q56" s="50">
        <f>F56*P56*($J56/$D56)^$I56*(Labor_Cost_Factor)</f>
        <v>6700000</v>
      </c>
      <c r="R56" s="50">
        <f>N56+Q56</f>
        <v>10600000</v>
      </c>
      <c r="S56" s="192"/>
      <c r="T56" s="485"/>
      <c r="U56" s="485"/>
      <c r="V56" s="485"/>
    </row>
    <row r="57" spans="1:22" ht="15" customHeight="1" x14ac:dyDescent="0.2">
      <c r="B57" s="54" t="s">
        <v>314</v>
      </c>
      <c r="C57" s="300">
        <v>2012</v>
      </c>
      <c r="D57" s="300">
        <f t="shared" si="29"/>
        <v>115</v>
      </c>
      <c r="E57" s="50">
        <v>9600000</v>
      </c>
      <c r="F57" s="50">
        <v>7800000</v>
      </c>
      <c r="G57" s="50">
        <f t="shared" si="30"/>
        <v>17400000</v>
      </c>
      <c r="H57" s="113"/>
      <c r="I57" s="377">
        <v>0.8</v>
      </c>
      <c r="J57" s="11">
        <f t="shared" si="31"/>
        <v>115</v>
      </c>
      <c r="K57" s="154">
        <v>10</v>
      </c>
      <c r="L57" s="149">
        <f>(VLOOKUP(Cost_Yr,CI!$A$5:$AD$29,K57)/VLOOKUP($C57,CI!$A$5:$AD$29,K57))</f>
        <v>1</v>
      </c>
      <c r="M57" s="296">
        <v>1</v>
      </c>
      <c r="N57" s="50">
        <f t="shared" ref="N57" si="33">E57*L57*M57*($J57/$D57)^$I57</f>
        <v>9600000</v>
      </c>
      <c r="O57" s="155">
        <v>11</v>
      </c>
      <c r="P57" s="149">
        <f>(VLOOKUP(Cost_Yr,CI!$A$5:$AD$29,O57)/VLOOKUP($C57,CI!$A$5:$AD$29,O57))</f>
        <v>1</v>
      </c>
      <c r="Q57" s="50">
        <f t="shared" ref="Q57" si="34">F57*P57*($J57/$D57)^$I57*(Labor_Cost_Factor)</f>
        <v>7800000</v>
      </c>
      <c r="R57" s="50">
        <f t="shared" ref="R57" si="35">N57+Q57</f>
        <v>17400000</v>
      </c>
      <c r="S57" s="192"/>
      <c r="T57" s="485"/>
      <c r="U57" s="485"/>
      <c r="V57" s="485"/>
    </row>
    <row r="58" spans="1:22" ht="15" customHeight="1" thickBot="1" x14ac:dyDescent="0.25">
      <c r="A58" s="74"/>
      <c r="B58" s="54"/>
      <c r="C58" s="300"/>
      <c r="D58" s="300"/>
      <c r="E58" s="82">
        <f>SUM(E52:E57)</f>
        <v>25010000</v>
      </c>
      <c r="F58" s="83">
        <f>SUM(F52:F57)</f>
        <v>15760000</v>
      </c>
      <c r="G58" s="85">
        <f>SUM(G52:G57)</f>
        <v>40770000</v>
      </c>
      <c r="H58" s="321"/>
      <c r="I58" s="377"/>
      <c r="J58" s="295"/>
      <c r="K58" s="154"/>
      <c r="L58" s="481"/>
      <c r="M58" s="482"/>
      <c r="N58" s="82">
        <f>SUM(N52:N57)</f>
        <v>25010000</v>
      </c>
      <c r="O58" s="483"/>
      <c r="P58" s="484"/>
      <c r="Q58" s="82">
        <f>SUM(Q52:Q57)</f>
        <v>15760000</v>
      </c>
      <c r="R58" s="85">
        <f>SUM(R52:R57)</f>
        <v>40770000</v>
      </c>
      <c r="S58" s="254">
        <v>7.0000000000000007E-2</v>
      </c>
    </row>
    <row r="59" spans="1:22" ht="15" customHeight="1" x14ac:dyDescent="0.2">
      <c r="A59" s="74"/>
      <c r="B59" s="54"/>
      <c r="C59" s="300"/>
      <c r="D59" s="300"/>
      <c r="E59" s="309"/>
      <c r="F59" s="309"/>
      <c r="G59" s="182"/>
      <c r="H59" s="115"/>
      <c r="I59" s="380"/>
      <c r="J59" s="115"/>
      <c r="K59" s="153"/>
      <c r="L59" s="115"/>
      <c r="M59" s="115"/>
      <c r="N59" s="182"/>
      <c r="O59" s="184"/>
      <c r="P59" s="184"/>
      <c r="Q59" s="182"/>
      <c r="R59" s="182"/>
      <c r="S59" s="253"/>
    </row>
    <row r="60" spans="1:22" ht="15" customHeight="1" x14ac:dyDescent="0.2">
      <c r="B60" s="54" t="s">
        <v>23</v>
      </c>
      <c r="C60" s="300">
        <v>2012</v>
      </c>
      <c r="D60" s="300">
        <f t="shared" si="29"/>
        <v>115</v>
      </c>
      <c r="E60" s="50">
        <v>21160000</v>
      </c>
      <c r="F60" s="50">
        <v>5020000</v>
      </c>
      <c r="G60" s="50">
        <f t="shared" ref="G60:G76" si="36">E60+F60</f>
        <v>26180000</v>
      </c>
      <c r="H60" s="113"/>
      <c r="I60" s="377">
        <v>0.8</v>
      </c>
      <c r="J60" s="11">
        <f t="shared" si="31"/>
        <v>115</v>
      </c>
      <c r="K60" s="154">
        <v>5</v>
      </c>
      <c r="L60" s="149">
        <f>(VLOOKUP(Cost_Yr,CI!$A$5:$AD$29,K60)/VLOOKUP($C60,CI!$A$5:$AD$29,K60))</f>
        <v>1</v>
      </c>
      <c r="M60" s="296">
        <v>1</v>
      </c>
      <c r="N60" s="50">
        <f t="shared" ref="N60:N76" si="37">E60*L60*M60*($J60/$D60)^$I60</f>
        <v>21160000</v>
      </c>
      <c r="O60" s="155">
        <v>11</v>
      </c>
      <c r="P60" s="149">
        <f>(VLOOKUP(Cost_Yr,CI!$A$5:$AD$29,O60)/VLOOKUP($C60,CI!$A$5:$AD$29,O60))</f>
        <v>1</v>
      </c>
      <c r="Q60" s="50">
        <f t="shared" ref="Q60:Q76" si="38">F60*P60*($J60/$D60)^$I60*(Labor_Cost_Factor)</f>
        <v>5020000</v>
      </c>
      <c r="R60" s="50">
        <f t="shared" ref="R60:R76" si="39">N60+Q60</f>
        <v>26180000</v>
      </c>
      <c r="S60" s="192"/>
      <c r="T60" s="486"/>
    </row>
    <row r="61" spans="1:22" ht="15" customHeight="1" x14ac:dyDescent="0.2">
      <c r="B61" s="54" t="s">
        <v>24</v>
      </c>
      <c r="C61" s="300">
        <v>2012</v>
      </c>
      <c r="D61" s="300">
        <f t="shared" si="29"/>
        <v>115</v>
      </c>
      <c r="E61" s="50">
        <v>134000</v>
      </c>
      <c r="F61" s="50">
        <v>110000</v>
      </c>
      <c r="G61" s="50">
        <f t="shared" si="36"/>
        <v>244000</v>
      </c>
      <c r="H61" s="113"/>
      <c r="I61" s="377">
        <v>0.8</v>
      </c>
      <c r="J61" s="11">
        <f t="shared" si="31"/>
        <v>115</v>
      </c>
      <c r="K61" s="154">
        <v>8</v>
      </c>
      <c r="L61" s="149">
        <f>(VLOOKUP(Cost_Yr,CI!$A$5:$AD$29,K61)/VLOOKUP($C61,CI!$A$5:$AD$29,K61))</f>
        <v>1</v>
      </c>
      <c r="M61" s="296">
        <v>1</v>
      </c>
      <c r="N61" s="50">
        <f t="shared" si="37"/>
        <v>134000</v>
      </c>
      <c r="O61" s="155">
        <v>11</v>
      </c>
      <c r="P61" s="149">
        <f>(VLOOKUP(Cost_Yr,CI!$A$5:$AD$29,O61)/VLOOKUP($C61,CI!$A$5:$AD$29,O61))</f>
        <v>1</v>
      </c>
      <c r="Q61" s="50">
        <f t="shared" si="38"/>
        <v>110000</v>
      </c>
      <c r="R61" s="50">
        <f t="shared" si="39"/>
        <v>244000</v>
      </c>
      <c r="S61" s="192"/>
      <c r="T61" s="486"/>
    </row>
    <row r="62" spans="1:22" ht="15" customHeight="1" x14ac:dyDescent="0.2">
      <c r="B62" s="54" t="s">
        <v>25</v>
      </c>
      <c r="C62" s="300">
        <v>2012</v>
      </c>
      <c r="D62" s="300">
        <f t="shared" si="29"/>
        <v>115</v>
      </c>
      <c r="E62" s="50">
        <v>15600000</v>
      </c>
      <c r="F62" s="50">
        <v>7930000</v>
      </c>
      <c r="G62" s="50">
        <f t="shared" si="36"/>
        <v>23530000</v>
      </c>
      <c r="H62" s="113"/>
      <c r="I62" s="377">
        <v>0.8</v>
      </c>
      <c r="J62" s="11">
        <f t="shared" si="31"/>
        <v>115</v>
      </c>
      <c r="K62" s="154">
        <v>3</v>
      </c>
      <c r="L62" s="149">
        <f>(VLOOKUP(Cost_Yr,CI!$A$5:$AD$29,K62)/VLOOKUP($C62,CI!$A$5:$AD$29,K62))</f>
        <v>1</v>
      </c>
      <c r="M62" s="296">
        <v>1</v>
      </c>
      <c r="N62" s="50">
        <f t="shared" si="37"/>
        <v>15600000</v>
      </c>
      <c r="O62" s="155">
        <v>11</v>
      </c>
      <c r="P62" s="149">
        <f>(VLOOKUP(Cost_Yr,CI!$A$5:$AD$29,O62)/VLOOKUP($C62,CI!$A$5:$AD$29,O62))</f>
        <v>1</v>
      </c>
      <c r="Q62" s="50">
        <f t="shared" si="38"/>
        <v>7930000</v>
      </c>
      <c r="R62" s="50">
        <f t="shared" si="39"/>
        <v>23530000</v>
      </c>
      <c r="S62" s="192"/>
      <c r="T62" s="486"/>
    </row>
    <row r="63" spans="1:22" ht="15" customHeight="1" x14ac:dyDescent="0.2">
      <c r="B63" s="166" t="s">
        <v>209</v>
      </c>
      <c r="C63" s="300">
        <v>2012</v>
      </c>
      <c r="D63" s="300">
        <f t="shared" si="29"/>
        <v>115</v>
      </c>
      <c r="E63" s="50">
        <v>680000</v>
      </c>
      <c r="F63" s="50">
        <v>690000</v>
      </c>
      <c r="G63" s="50">
        <f t="shared" si="36"/>
        <v>1370000</v>
      </c>
      <c r="H63" s="113"/>
      <c r="I63" s="377">
        <v>0.8</v>
      </c>
      <c r="J63" s="11">
        <f t="shared" si="31"/>
        <v>115</v>
      </c>
      <c r="K63" s="154">
        <v>6</v>
      </c>
      <c r="L63" s="149">
        <f>(VLOOKUP(Cost_Yr,CI!$A$5:$AD$29,K63)/VLOOKUP($C63,CI!$A$5:$AD$29,K63))</f>
        <v>1</v>
      </c>
      <c r="M63" s="296">
        <v>1</v>
      </c>
      <c r="N63" s="50">
        <f t="shared" si="37"/>
        <v>680000</v>
      </c>
      <c r="O63" s="155">
        <v>11</v>
      </c>
      <c r="P63" s="149">
        <f>(VLOOKUP(Cost_Yr,CI!$A$5:$AD$29,O63)/VLOOKUP($C63,CI!$A$5:$AD$29,O63))</f>
        <v>1</v>
      </c>
      <c r="Q63" s="50">
        <f t="shared" si="38"/>
        <v>690000</v>
      </c>
      <c r="R63" s="50">
        <f t="shared" si="39"/>
        <v>1370000</v>
      </c>
      <c r="S63" s="192"/>
      <c r="T63" s="486"/>
    </row>
    <row r="64" spans="1:22" ht="15" customHeight="1" x14ac:dyDescent="0.2">
      <c r="B64" s="54" t="s">
        <v>26</v>
      </c>
      <c r="C64" s="300">
        <v>2012</v>
      </c>
      <c r="D64" s="300">
        <f t="shared" si="29"/>
        <v>115</v>
      </c>
      <c r="E64" s="50">
        <v>5220000</v>
      </c>
      <c r="F64" s="50">
        <v>2410000</v>
      </c>
      <c r="G64" s="50">
        <f t="shared" si="36"/>
        <v>7630000</v>
      </c>
      <c r="H64" s="113"/>
      <c r="I64" s="377">
        <v>0.8</v>
      </c>
      <c r="J64" s="11">
        <f t="shared" si="31"/>
        <v>115</v>
      </c>
      <c r="K64" s="154">
        <v>8</v>
      </c>
      <c r="L64" s="149">
        <f>(VLOOKUP(Cost_Yr,CI!$A$5:$AD$29,K64)/VLOOKUP($C64,CI!$A$5:$AD$29,K64))</f>
        <v>1</v>
      </c>
      <c r="M64" s="296">
        <v>1</v>
      </c>
      <c r="N64" s="50">
        <f t="shared" si="37"/>
        <v>5220000</v>
      </c>
      <c r="O64" s="155">
        <v>11</v>
      </c>
      <c r="P64" s="149">
        <f>(VLOOKUP(Cost_Yr,CI!$A$5:$AD$29,O64)/VLOOKUP($C64,CI!$A$5:$AD$29,O64))</f>
        <v>1</v>
      </c>
      <c r="Q64" s="50">
        <f t="shared" si="38"/>
        <v>2410000</v>
      </c>
      <c r="R64" s="50">
        <f t="shared" si="39"/>
        <v>7630000</v>
      </c>
      <c r="S64" s="192"/>
      <c r="T64" s="486"/>
    </row>
    <row r="65" spans="1:30" ht="15" customHeight="1" x14ac:dyDescent="0.2">
      <c r="B65" s="54" t="s">
        <v>27</v>
      </c>
      <c r="C65" s="300">
        <v>2012</v>
      </c>
      <c r="D65" s="300">
        <f t="shared" si="29"/>
        <v>115</v>
      </c>
      <c r="E65" s="50">
        <v>1600000</v>
      </c>
      <c r="F65" s="50">
        <v>1330000</v>
      </c>
      <c r="G65" s="50">
        <f t="shared" si="36"/>
        <v>2930000</v>
      </c>
      <c r="H65" s="113"/>
      <c r="I65" s="377">
        <v>0.8</v>
      </c>
      <c r="J65" s="11">
        <f t="shared" si="31"/>
        <v>115</v>
      </c>
      <c r="K65" s="154">
        <v>6</v>
      </c>
      <c r="L65" s="149">
        <f>(VLOOKUP(Cost_Yr,CI!$A$5:$AD$29,K65)/VLOOKUP($C65,CI!$A$5:$AD$29,K65))</f>
        <v>1</v>
      </c>
      <c r="M65" s="296">
        <v>1</v>
      </c>
      <c r="N65" s="50">
        <f t="shared" si="37"/>
        <v>1600000</v>
      </c>
      <c r="O65" s="155">
        <v>11</v>
      </c>
      <c r="P65" s="149">
        <f>(VLOOKUP(Cost_Yr,CI!$A$5:$AD$29,O65)/VLOOKUP($C65,CI!$A$5:$AD$29,O65))</f>
        <v>1</v>
      </c>
      <c r="Q65" s="50">
        <f t="shared" si="38"/>
        <v>1330000</v>
      </c>
      <c r="R65" s="50">
        <f t="shared" si="39"/>
        <v>2930000</v>
      </c>
      <c r="S65" s="192"/>
      <c r="T65" s="486"/>
    </row>
    <row r="66" spans="1:30" ht="15" customHeight="1" x14ac:dyDescent="0.2">
      <c r="B66" s="54" t="s">
        <v>28</v>
      </c>
      <c r="C66" s="300">
        <v>2012</v>
      </c>
      <c r="D66" s="300">
        <f t="shared" si="29"/>
        <v>115</v>
      </c>
      <c r="E66" s="50">
        <v>4250000</v>
      </c>
      <c r="F66" s="50">
        <v>3830000</v>
      </c>
      <c r="G66" s="50">
        <f t="shared" si="36"/>
        <v>8080000</v>
      </c>
      <c r="H66" s="113"/>
      <c r="I66" s="377">
        <v>0.8</v>
      </c>
      <c r="J66" s="11">
        <f t="shared" si="31"/>
        <v>115</v>
      </c>
      <c r="K66" s="154">
        <v>6</v>
      </c>
      <c r="L66" s="149">
        <f>(VLOOKUP(Cost_Yr,CI!$A$5:$AD$29,K66)/VLOOKUP($C66,CI!$A$5:$AD$29,K66))</f>
        <v>1</v>
      </c>
      <c r="M66" s="296">
        <v>1</v>
      </c>
      <c r="N66" s="50">
        <f>E66*L66*M66*($J66/$D66)^$I66</f>
        <v>4250000</v>
      </c>
      <c r="O66" s="155">
        <v>11</v>
      </c>
      <c r="P66" s="149">
        <f>(VLOOKUP(Cost_Yr,CI!$A$5:$AD$29,O66)/VLOOKUP($C66,CI!$A$5:$AD$29,O66))</f>
        <v>1</v>
      </c>
      <c r="Q66" s="50">
        <f>F66*P66*($J66/$D66)^$I66*(Labor_Cost_Factor)</f>
        <v>3830000</v>
      </c>
      <c r="R66" s="50">
        <f>N66+Q66</f>
        <v>8080000</v>
      </c>
      <c r="S66" s="192"/>
      <c r="T66" s="486"/>
      <c r="U66" s="485"/>
      <c r="V66" s="485"/>
    </row>
    <row r="67" spans="1:30" ht="15" customHeight="1" x14ac:dyDescent="0.2">
      <c r="B67" s="54" t="s">
        <v>29</v>
      </c>
      <c r="C67" s="300">
        <v>2012</v>
      </c>
      <c r="D67" s="300">
        <f t="shared" si="29"/>
        <v>115</v>
      </c>
      <c r="E67" s="50">
        <v>0</v>
      </c>
      <c r="F67" s="50">
        <v>0</v>
      </c>
      <c r="G67" s="50">
        <f t="shared" si="36"/>
        <v>0</v>
      </c>
      <c r="H67" s="113"/>
      <c r="I67" s="377">
        <v>0.8</v>
      </c>
      <c r="J67" s="11">
        <f t="shared" si="31"/>
        <v>115</v>
      </c>
      <c r="K67" s="154">
        <v>6</v>
      </c>
      <c r="L67" s="149">
        <f>(VLOOKUP(Cost_Yr,CI!$A$5:$AD$29,K67)/VLOOKUP($C67,CI!$A$5:$AD$29,K67))</f>
        <v>1</v>
      </c>
      <c r="M67" s="296">
        <v>1</v>
      </c>
      <c r="N67" s="50">
        <f t="shared" si="37"/>
        <v>0</v>
      </c>
      <c r="O67" s="155">
        <v>11</v>
      </c>
      <c r="P67" s="149">
        <f>(VLOOKUP(Cost_Yr,CI!$A$5:$AD$29,O67)/VLOOKUP($C67,CI!$A$5:$AD$29,O67))</f>
        <v>1</v>
      </c>
      <c r="Q67" s="50">
        <f t="shared" si="38"/>
        <v>0</v>
      </c>
      <c r="R67" s="50">
        <f t="shared" si="39"/>
        <v>0</v>
      </c>
      <c r="S67" s="192"/>
      <c r="T67" s="486"/>
    </row>
    <row r="68" spans="1:30" ht="15" customHeight="1" x14ac:dyDescent="0.2">
      <c r="B68" s="54" t="s">
        <v>30</v>
      </c>
      <c r="C68" s="300">
        <v>2012</v>
      </c>
      <c r="D68" s="300">
        <f t="shared" si="29"/>
        <v>115</v>
      </c>
      <c r="E68" s="50">
        <v>2530000</v>
      </c>
      <c r="F68" s="50">
        <v>1310000</v>
      </c>
      <c r="G68" s="50">
        <f t="shared" si="36"/>
        <v>3840000</v>
      </c>
      <c r="H68" s="113"/>
      <c r="I68" s="377">
        <v>0.8</v>
      </c>
      <c r="J68" s="11">
        <f t="shared" si="31"/>
        <v>115</v>
      </c>
      <c r="K68" s="154">
        <v>3</v>
      </c>
      <c r="L68" s="149">
        <f>(VLOOKUP(Cost_Yr,CI!$A$5:$AD$29,K68)/VLOOKUP($C68,CI!$A$5:$AD$29,K68))</f>
        <v>1</v>
      </c>
      <c r="M68" s="296">
        <v>1</v>
      </c>
      <c r="N68" s="50">
        <f t="shared" si="37"/>
        <v>2530000</v>
      </c>
      <c r="O68" s="155">
        <v>11</v>
      </c>
      <c r="P68" s="149">
        <f>(VLOOKUP(Cost_Yr,CI!$A$5:$AD$29,O68)/VLOOKUP($C68,CI!$A$5:$AD$29,O68))</f>
        <v>1</v>
      </c>
      <c r="Q68" s="50">
        <f t="shared" si="38"/>
        <v>1310000</v>
      </c>
      <c r="R68" s="50">
        <f t="shared" si="39"/>
        <v>3840000</v>
      </c>
      <c r="S68" s="192"/>
      <c r="T68" s="486"/>
    </row>
    <row r="69" spans="1:30" ht="15" customHeight="1" x14ac:dyDescent="0.2">
      <c r="B69" s="54" t="s">
        <v>31</v>
      </c>
      <c r="C69" s="300">
        <v>2012</v>
      </c>
      <c r="D69" s="300">
        <f t="shared" si="29"/>
        <v>115</v>
      </c>
      <c r="E69" s="50">
        <v>13350000</v>
      </c>
      <c r="F69" s="50">
        <v>2340000</v>
      </c>
      <c r="G69" s="50">
        <f t="shared" si="36"/>
        <v>15690000</v>
      </c>
      <c r="H69" s="113"/>
      <c r="I69" s="377">
        <v>0.8</v>
      </c>
      <c r="J69" s="11">
        <f t="shared" si="31"/>
        <v>115</v>
      </c>
      <c r="K69" s="154">
        <v>9</v>
      </c>
      <c r="L69" s="149">
        <f>(VLOOKUP(Cost_Yr,CI!$A$5:$AD$29,K69)/VLOOKUP($C69,CI!$A$5:$AD$29,K69))</f>
        <v>1</v>
      </c>
      <c r="M69" s="296">
        <v>1</v>
      </c>
      <c r="N69" s="50">
        <f t="shared" si="37"/>
        <v>13350000</v>
      </c>
      <c r="O69" s="155">
        <v>11</v>
      </c>
      <c r="P69" s="149">
        <f>(VLOOKUP(Cost_Yr,CI!$A$5:$AD$29,O69)/VLOOKUP($C69,CI!$A$5:$AD$29,O69))</f>
        <v>1</v>
      </c>
      <c r="Q69" s="50">
        <f t="shared" si="38"/>
        <v>2340000</v>
      </c>
      <c r="R69" s="50">
        <f t="shared" si="39"/>
        <v>15690000</v>
      </c>
      <c r="S69" s="192"/>
      <c r="T69" s="486"/>
    </row>
    <row r="70" spans="1:30" ht="15" customHeight="1" x14ac:dyDescent="0.2">
      <c r="B70" s="54" t="s">
        <v>32</v>
      </c>
      <c r="C70" s="300">
        <v>2012</v>
      </c>
      <c r="D70" s="300">
        <f t="shared" si="29"/>
        <v>115</v>
      </c>
      <c r="E70" s="50">
        <v>2330000</v>
      </c>
      <c r="F70" s="50">
        <v>410000</v>
      </c>
      <c r="G70" s="50">
        <f t="shared" si="36"/>
        <v>2740000</v>
      </c>
      <c r="H70" s="113"/>
      <c r="I70" s="377">
        <v>0.8</v>
      </c>
      <c r="J70" s="11">
        <f t="shared" si="31"/>
        <v>115</v>
      </c>
      <c r="K70" s="154">
        <v>9</v>
      </c>
      <c r="L70" s="149">
        <f>(VLOOKUP(Cost_Yr,CI!$A$5:$AD$29,K70)/VLOOKUP($C70,CI!$A$5:$AD$29,K70))</f>
        <v>1</v>
      </c>
      <c r="M70" s="296">
        <v>1</v>
      </c>
      <c r="N70" s="50">
        <f t="shared" si="37"/>
        <v>2330000</v>
      </c>
      <c r="O70" s="155">
        <v>11</v>
      </c>
      <c r="P70" s="149">
        <f>(VLOOKUP(Cost_Yr,CI!$A$5:$AD$29,O70)/VLOOKUP($C70,CI!$A$5:$AD$29,O70))</f>
        <v>1</v>
      </c>
      <c r="Q70" s="50">
        <f t="shared" si="38"/>
        <v>410000</v>
      </c>
      <c r="R70" s="50">
        <f t="shared" si="39"/>
        <v>2740000</v>
      </c>
      <c r="S70" s="192"/>
      <c r="T70" s="486"/>
    </row>
    <row r="71" spans="1:30" ht="15" customHeight="1" x14ac:dyDescent="0.2">
      <c r="B71" s="54" t="s">
        <v>317</v>
      </c>
      <c r="C71" s="300">
        <v>2012</v>
      </c>
      <c r="D71" s="300">
        <f t="shared" si="29"/>
        <v>115</v>
      </c>
      <c r="E71" s="50">
        <v>2700000</v>
      </c>
      <c r="F71" s="50">
        <v>2140000</v>
      </c>
      <c r="G71" s="50">
        <f t="shared" si="36"/>
        <v>4840000</v>
      </c>
      <c r="H71" s="113"/>
      <c r="I71" s="377">
        <v>0.8</v>
      </c>
      <c r="J71" s="11">
        <f t="shared" si="31"/>
        <v>115</v>
      </c>
      <c r="K71" s="154">
        <v>7</v>
      </c>
      <c r="L71" s="149">
        <f>(VLOOKUP(Cost_Yr,CI!$A$5:$AD$29,K71)/VLOOKUP($C71,CI!$A$5:$AD$29,K71))</f>
        <v>1</v>
      </c>
      <c r="M71" s="296">
        <v>1</v>
      </c>
      <c r="N71" s="50">
        <f>E71*L71*M71*($J71/$D71)^$I71</f>
        <v>2700000</v>
      </c>
      <c r="O71" s="155">
        <v>11</v>
      </c>
      <c r="P71" s="149">
        <f>(VLOOKUP(Cost_Yr,CI!$A$5:$AD$29,O71)/VLOOKUP($C71,CI!$A$5:$AD$29,O71))</f>
        <v>1</v>
      </c>
      <c r="Q71" s="50">
        <f>F71*P71*($J71/$D71)^$I71*(Labor_Cost_Factor)</f>
        <v>2140000</v>
      </c>
      <c r="R71" s="50">
        <f>N71+Q71</f>
        <v>4840000</v>
      </c>
      <c r="S71" s="192"/>
      <c r="T71" s="486"/>
    </row>
    <row r="72" spans="1:30" ht="15" customHeight="1" x14ac:dyDescent="0.2">
      <c r="B72" s="54" t="s">
        <v>33</v>
      </c>
      <c r="C72" s="300">
        <v>2012</v>
      </c>
      <c r="D72" s="300">
        <f t="shared" si="29"/>
        <v>115</v>
      </c>
      <c r="E72" s="50">
        <v>2190000</v>
      </c>
      <c r="F72" s="50">
        <v>1090000</v>
      </c>
      <c r="G72" s="50">
        <f t="shared" si="36"/>
        <v>3280000</v>
      </c>
      <c r="H72" s="113"/>
      <c r="I72" s="377">
        <v>0.8</v>
      </c>
      <c r="J72" s="11">
        <f t="shared" si="31"/>
        <v>115</v>
      </c>
      <c r="K72" s="154">
        <v>4</v>
      </c>
      <c r="L72" s="149">
        <f>(VLOOKUP(Cost_Yr,CI!$A$5:$AD$29,K72)/VLOOKUP($C72,CI!$A$5:$AD$29,K72))</f>
        <v>1</v>
      </c>
      <c r="M72" s="296">
        <v>1</v>
      </c>
      <c r="N72" s="50">
        <f t="shared" si="37"/>
        <v>2190000</v>
      </c>
      <c r="O72" s="155">
        <v>11</v>
      </c>
      <c r="P72" s="149">
        <f>(VLOOKUP(Cost_Yr,CI!$A$5:$AD$29,O72)/VLOOKUP($C72,CI!$A$5:$AD$29,O72))</f>
        <v>1</v>
      </c>
      <c r="Q72" s="50">
        <f t="shared" si="38"/>
        <v>1090000</v>
      </c>
      <c r="R72" s="50">
        <f t="shared" si="39"/>
        <v>3280000</v>
      </c>
      <c r="S72" s="192"/>
      <c r="T72" s="486"/>
    </row>
    <row r="73" spans="1:30" ht="15" customHeight="1" x14ac:dyDescent="0.2">
      <c r="B73" s="54" t="s">
        <v>34</v>
      </c>
      <c r="C73" s="300">
        <v>2012</v>
      </c>
      <c r="D73" s="300">
        <f t="shared" si="29"/>
        <v>115</v>
      </c>
      <c r="E73" s="50">
        <v>2300000</v>
      </c>
      <c r="F73" s="50">
        <v>5300000</v>
      </c>
      <c r="G73" s="50">
        <f t="shared" si="36"/>
        <v>7600000</v>
      </c>
      <c r="H73" s="113"/>
      <c r="I73" s="377">
        <v>0.8</v>
      </c>
      <c r="J73" s="11">
        <f t="shared" si="31"/>
        <v>115</v>
      </c>
      <c r="K73" s="154">
        <v>10</v>
      </c>
      <c r="L73" s="149">
        <f>(VLOOKUP(Cost_Yr,CI!$A$5:$AD$29,K73)/VLOOKUP($C73,CI!$A$5:$AD$29,K73))</f>
        <v>1</v>
      </c>
      <c r="M73" s="296">
        <v>1</v>
      </c>
      <c r="N73" s="50">
        <f t="shared" si="37"/>
        <v>2300000</v>
      </c>
      <c r="O73" s="155">
        <v>11</v>
      </c>
      <c r="P73" s="149">
        <f>(VLOOKUP(Cost_Yr,CI!$A$5:$AD$29,O73)/VLOOKUP($C73,CI!$A$5:$AD$29,O73))</f>
        <v>1</v>
      </c>
      <c r="Q73" s="50">
        <f t="shared" si="38"/>
        <v>5300000</v>
      </c>
      <c r="R73" s="50">
        <f t="shared" si="39"/>
        <v>7600000</v>
      </c>
      <c r="S73" s="192"/>
      <c r="T73" s="486"/>
    </row>
    <row r="74" spans="1:30" ht="15" customHeight="1" x14ac:dyDescent="0.2">
      <c r="B74" s="54" t="s">
        <v>35</v>
      </c>
      <c r="C74" s="300">
        <v>2012</v>
      </c>
      <c r="D74" s="300">
        <f t="shared" si="29"/>
        <v>115</v>
      </c>
      <c r="E74" s="50">
        <v>7280000</v>
      </c>
      <c r="F74" s="50">
        <v>2740000</v>
      </c>
      <c r="G74" s="50">
        <f t="shared" si="36"/>
        <v>10020000</v>
      </c>
      <c r="H74" s="113"/>
      <c r="I74" s="377">
        <v>0.8</v>
      </c>
      <c r="J74" s="11">
        <f t="shared" si="31"/>
        <v>115</v>
      </c>
      <c r="K74" s="154">
        <v>12</v>
      </c>
      <c r="L74" s="149">
        <f>(VLOOKUP(Cost_Yr,CI!$A$5:$AD$29,K74)/VLOOKUP($C74,CI!$A$5:$AD$29,K74))</f>
        <v>1</v>
      </c>
      <c r="M74" s="296">
        <v>1</v>
      </c>
      <c r="N74" s="50">
        <f t="shared" si="37"/>
        <v>7280000</v>
      </c>
      <c r="O74" s="155">
        <v>11</v>
      </c>
      <c r="P74" s="149">
        <f>(VLOOKUP(Cost_Yr,CI!$A$5:$AD$29,O74)/VLOOKUP($C74,CI!$A$5:$AD$29,O74))</f>
        <v>1</v>
      </c>
      <c r="Q74" s="50">
        <f t="shared" si="38"/>
        <v>2740000</v>
      </c>
      <c r="R74" s="50">
        <f t="shared" si="39"/>
        <v>10020000</v>
      </c>
      <c r="S74" s="192"/>
      <c r="T74" s="486"/>
    </row>
    <row r="75" spans="1:30" ht="15" customHeight="1" x14ac:dyDescent="0.2">
      <c r="B75" s="54" t="s">
        <v>36</v>
      </c>
      <c r="C75" s="300">
        <v>2012</v>
      </c>
      <c r="D75" s="300">
        <f t="shared" si="29"/>
        <v>115</v>
      </c>
      <c r="E75" s="50">
        <v>2656000</v>
      </c>
      <c r="F75" s="50">
        <v>2550000</v>
      </c>
      <c r="G75" s="50">
        <f t="shared" si="36"/>
        <v>5206000</v>
      </c>
      <c r="H75" s="113"/>
      <c r="I75" s="377">
        <v>0.8</v>
      </c>
      <c r="J75" s="11">
        <f t="shared" si="31"/>
        <v>115</v>
      </c>
      <c r="K75" s="154">
        <v>4</v>
      </c>
      <c r="L75" s="149">
        <f>(VLOOKUP(Cost_Yr,CI!$A$5:$AD$29,K75)/VLOOKUP($C75,CI!$A$5:$AD$29,K75))</f>
        <v>1</v>
      </c>
      <c r="M75" s="296">
        <v>1</v>
      </c>
      <c r="N75" s="50">
        <f t="shared" si="37"/>
        <v>2656000</v>
      </c>
      <c r="O75" s="155">
        <v>11</v>
      </c>
      <c r="P75" s="149">
        <f>(VLOOKUP(Cost_Yr,CI!$A$5:$AD$29,O75)/VLOOKUP($C75,CI!$A$5:$AD$29,O75))</f>
        <v>1</v>
      </c>
      <c r="Q75" s="50">
        <f t="shared" si="38"/>
        <v>2550000</v>
      </c>
      <c r="R75" s="50">
        <f t="shared" si="39"/>
        <v>5206000</v>
      </c>
      <c r="S75" s="192"/>
      <c r="T75" s="486"/>
    </row>
    <row r="76" spans="1:30" ht="15" customHeight="1" x14ac:dyDescent="0.2">
      <c r="B76" s="54" t="s">
        <v>37</v>
      </c>
      <c r="C76" s="300">
        <v>2012</v>
      </c>
      <c r="D76" s="300">
        <f t="shared" si="29"/>
        <v>115</v>
      </c>
      <c r="E76" s="308">
        <v>2710000</v>
      </c>
      <c r="F76" s="50">
        <v>12160000</v>
      </c>
      <c r="G76" s="50">
        <f t="shared" si="36"/>
        <v>14870000</v>
      </c>
      <c r="H76" s="113"/>
      <c r="I76" s="377">
        <v>0.8</v>
      </c>
      <c r="J76" s="11">
        <f t="shared" si="31"/>
        <v>115</v>
      </c>
      <c r="K76" s="154">
        <v>9</v>
      </c>
      <c r="L76" s="149">
        <f>(VLOOKUP(Cost_Yr,CI!$A$5:$AD$29,K76)/VLOOKUP($C76,CI!$A$5:$AD$29,K76))</f>
        <v>1</v>
      </c>
      <c r="M76" s="296">
        <v>1</v>
      </c>
      <c r="N76" s="50">
        <f t="shared" si="37"/>
        <v>2710000</v>
      </c>
      <c r="O76" s="155">
        <v>11</v>
      </c>
      <c r="P76" s="149">
        <f>(VLOOKUP(Cost_Yr,CI!$A$5:$AD$29,O76)/VLOOKUP($C76,CI!$A$5:$AD$29,O76))</f>
        <v>1</v>
      </c>
      <c r="Q76" s="50">
        <f t="shared" si="38"/>
        <v>12160000</v>
      </c>
      <c r="R76" s="50">
        <f t="shared" si="39"/>
        <v>14870000</v>
      </c>
      <c r="S76" s="192"/>
      <c r="T76" s="486"/>
    </row>
    <row r="77" spans="1:30" ht="15" customHeight="1" thickBot="1" x14ac:dyDescent="0.25">
      <c r="B77" s="54"/>
      <c r="C77" s="300"/>
      <c r="D77" s="188"/>
      <c r="E77" s="82">
        <f>SUM(E60:E76)</f>
        <v>86690000</v>
      </c>
      <c r="F77" s="83">
        <f>SUM(F60:F76)</f>
        <v>51360000</v>
      </c>
      <c r="G77" s="85">
        <f>SUM(G60:G76)</f>
        <v>138050000</v>
      </c>
      <c r="H77" s="114"/>
      <c r="I77" s="379"/>
      <c r="J77" s="114"/>
      <c r="K77" s="251"/>
      <c r="L77" s="114"/>
      <c r="M77" s="114"/>
      <c r="N77" s="82">
        <f>SUM(N60:N76)</f>
        <v>86690000</v>
      </c>
      <c r="O77" s="150"/>
      <c r="P77" s="150"/>
      <c r="Q77" s="83">
        <f>SUM(Q60:Q76)</f>
        <v>51360000</v>
      </c>
      <c r="R77" s="85">
        <f>SUM(R60:R76)</f>
        <v>138050000</v>
      </c>
      <c r="S77" s="254">
        <v>7.0000000000000007E-2</v>
      </c>
    </row>
    <row r="78" spans="1:30" ht="15" customHeight="1" x14ac:dyDescent="0.2">
      <c r="B78" s="54"/>
      <c r="C78" s="300"/>
      <c r="D78" s="300"/>
      <c r="E78" s="30"/>
      <c r="F78" s="31"/>
      <c r="G78" s="38"/>
      <c r="H78" s="112"/>
      <c r="I78" s="376"/>
      <c r="J78" s="112"/>
      <c r="K78" s="251"/>
      <c r="L78" s="112"/>
      <c r="M78" s="112"/>
      <c r="N78" s="112"/>
      <c r="O78" s="112"/>
      <c r="P78" s="112"/>
      <c r="Q78" s="112"/>
      <c r="R78" s="112"/>
      <c r="S78" s="112"/>
    </row>
    <row r="79" spans="1:30" s="4" customFormat="1" ht="15" customHeight="1" x14ac:dyDescent="0.2">
      <c r="A79" s="71"/>
      <c r="B79" s="165" t="s">
        <v>172</v>
      </c>
      <c r="C79" s="302"/>
      <c r="D79" s="302"/>
      <c r="E79" s="164">
        <f>E21+E29+E33+E40+E48+E50+E58+E77</f>
        <v>486906140</v>
      </c>
      <c r="F79" s="164">
        <f>F21+F29+F33+F40+F48+F50+F58+F77</f>
        <v>135528400</v>
      </c>
      <c r="G79" s="164">
        <f>G21+G29+G33+G40+G48+G50+G58+G77</f>
        <v>622434540</v>
      </c>
      <c r="H79" s="321"/>
      <c r="I79" s="381"/>
      <c r="J79" s="257" t="s">
        <v>172</v>
      </c>
      <c r="K79" s="258"/>
      <c r="L79" s="258"/>
      <c r="M79" s="258"/>
      <c r="N79" s="259">
        <f>N21+N29+N33+N40+N48+N50+N58+N77</f>
        <v>489743988.78701437</v>
      </c>
      <c r="O79" s="259"/>
      <c r="P79" s="259"/>
      <c r="Q79" s="259">
        <f>Q21+Q29+Q33+Q40+Q48+Q50+Q58+Q77</f>
        <v>135205588.46743652</v>
      </c>
      <c r="R79" s="259">
        <f>R21+R29+R33+R40+R48+R50+R58+R77</f>
        <v>624949577.25445104</v>
      </c>
      <c r="S79" s="129"/>
    </row>
    <row r="80" spans="1:30" s="32" customFormat="1" ht="15" customHeight="1" x14ac:dyDescent="0.2">
      <c r="A80" s="71"/>
      <c r="B80" s="54"/>
      <c r="C80" s="300"/>
      <c r="D80" s="300"/>
      <c r="E80" s="30"/>
      <c r="F80" s="31"/>
      <c r="G80" s="38"/>
      <c r="H80" s="112"/>
      <c r="I80" s="376"/>
      <c r="J80" s="112"/>
      <c r="K80" s="251"/>
      <c r="L80" s="112"/>
      <c r="M80" s="112"/>
      <c r="N80" s="112"/>
      <c r="O80" s="112"/>
      <c r="P80" s="112"/>
      <c r="Q80" s="112"/>
      <c r="R80" s="112"/>
      <c r="S80" s="112"/>
      <c r="T80" s="68"/>
      <c r="U80" s="68"/>
      <c r="V80" s="68"/>
      <c r="W80" s="68"/>
      <c r="X80" s="68"/>
      <c r="Y80" s="68"/>
      <c r="Z80" s="68"/>
      <c r="AA80" s="68"/>
      <c r="AB80" s="68"/>
      <c r="AC80" s="68"/>
      <c r="AD80" s="68"/>
    </row>
    <row r="81" spans="1:30" s="32" customFormat="1" ht="15" customHeight="1" x14ac:dyDescent="0.2">
      <c r="A81" s="71"/>
      <c r="B81" s="166" t="s">
        <v>170</v>
      </c>
      <c r="C81" s="300"/>
      <c r="D81" s="300"/>
      <c r="E81" s="10"/>
      <c r="F81" s="33"/>
      <c r="G81" s="42">
        <f>ROUND(G79*F82,-3)</f>
        <v>43570000</v>
      </c>
      <c r="H81" s="116"/>
      <c r="I81" s="376"/>
      <c r="J81" s="166" t="s">
        <v>170</v>
      </c>
      <c r="K81" s="11"/>
      <c r="L81" s="11"/>
      <c r="M81" s="11"/>
      <c r="N81" s="11"/>
      <c r="O81" s="10"/>
      <c r="P81" s="33"/>
      <c r="Q81" s="33"/>
      <c r="R81" s="42">
        <f>R21*S21+R29*S29+R33*S33+R40*S40+R48*S48+R50*S50+R58*S58+R77*S77</f>
        <v>43746470.407811575</v>
      </c>
      <c r="S81" s="112"/>
      <c r="T81" s="68"/>
      <c r="U81" s="68"/>
      <c r="V81" s="68"/>
      <c r="W81" s="68"/>
      <c r="X81" s="68"/>
      <c r="Y81" s="68"/>
      <c r="Z81" s="68"/>
      <c r="AA81" s="68"/>
      <c r="AB81" s="68"/>
      <c r="AC81" s="68"/>
      <c r="AD81" s="68"/>
    </row>
    <row r="82" spans="1:30" s="32" customFormat="1" ht="15" customHeight="1" x14ac:dyDescent="0.2">
      <c r="A82" s="71"/>
      <c r="B82" s="166" t="s">
        <v>171</v>
      </c>
      <c r="C82" s="300"/>
      <c r="D82" s="300"/>
      <c r="E82" s="10"/>
      <c r="F82" s="401">
        <v>7.0000000000000007E-2</v>
      </c>
      <c r="G82" s="275" t="s">
        <v>232</v>
      </c>
      <c r="H82" s="322"/>
      <c r="I82" s="376"/>
      <c r="J82" s="166" t="s">
        <v>171</v>
      </c>
      <c r="K82" s="11"/>
      <c r="L82" s="11"/>
      <c r="M82" s="11"/>
      <c r="N82" s="11"/>
      <c r="O82" s="10"/>
      <c r="P82" s="33"/>
      <c r="Q82" s="33"/>
      <c r="R82" s="275">
        <f>R81/R79</f>
        <v>7.0000000000000007E-2</v>
      </c>
      <c r="S82" s="112"/>
      <c r="T82" s="68"/>
      <c r="U82" s="68"/>
      <c r="V82" s="68"/>
      <c r="W82" s="68"/>
      <c r="X82" s="68"/>
      <c r="Y82" s="68"/>
      <c r="Z82" s="68"/>
      <c r="AA82" s="68"/>
      <c r="AB82" s="68"/>
      <c r="AC82" s="68"/>
      <c r="AD82" s="68"/>
    </row>
    <row r="83" spans="1:30" s="32" customFormat="1" ht="15" customHeight="1" x14ac:dyDescent="0.2">
      <c r="A83" s="71"/>
      <c r="B83" s="165" t="s">
        <v>173</v>
      </c>
      <c r="C83" s="302"/>
      <c r="D83" s="302"/>
      <c r="E83" s="164"/>
      <c r="F83" s="164"/>
      <c r="G83" s="164">
        <f>G79+G81</f>
        <v>666004540</v>
      </c>
      <c r="H83" s="321"/>
      <c r="I83" s="376"/>
      <c r="J83" s="257" t="s">
        <v>173</v>
      </c>
      <c r="K83" s="258"/>
      <c r="L83" s="258"/>
      <c r="M83" s="258"/>
      <c r="N83" s="258"/>
      <c r="O83" s="259"/>
      <c r="P83" s="259"/>
      <c r="Q83" s="259"/>
      <c r="R83" s="259">
        <f>R79+R81</f>
        <v>668696047.66226256</v>
      </c>
      <c r="S83" s="112"/>
      <c r="T83" s="68"/>
      <c r="U83" s="68"/>
      <c r="V83" s="68"/>
      <c r="W83" s="68"/>
      <c r="X83" s="68"/>
      <c r="Y83" s="68"/>
      <c r="Z83" s="68"/>
      <c r="AA83" s="68"/>
      <c r="AB83" s="68"/>
      <c r="AC83" s="68"/>
      <c r="AD83" s="68"/>
    </row>
    <row r="84" spans="1:30" s="32" customFormat="1" ht="15" customHeight="1" x14ac:dyDescent="0.2">
      <c r="A84" s="71"/>
      <c r="B84" s="325"/>
      <c r="C84" s="310"/>
      <c r="D84" s="310"/>
      <c r="E84" s="326"/>
      <c r="G84" s="328"/>
      <c r="H84" s="112"/>
      <c r="I84" s="376"/>
      <c r="J84" s="325"/>
      <c r="K84" s="336"/>
      <c r="L84" s="336"/>
      <c r="M84" s="336"/>
      <c r="N84" s="336"/>
      <c r="O84" s="326"/>
      <c r="P84" s="327"/>
      <c r="Q84" s="343"/>
      <c r="R84" s="328"/>
      <c r="S84" s="112"/>
      <c r="T84" s="68"/>
      <c r="U84" s="68"/>
      <c r="V84" s="68"/>
      <c r="W84" s="68"/>
      <c r="X84" s="68"/>
      <c r="Y84" s="68"/>
      <c r="Z84" s="68"/>
      <c r="AA84" s="68"/>
      <c r="AB84" s="68"/>
      <c r="AC84" s="68"/>
      <c r="AD84" s="68"/>
    </row>
    <row r="85" spans="1:30" s="32" customFormat="1" ht="15" customHeight="1" x14ac:dyDescent="0.2">
      <c r="A85" s="71"/>
      <c r="B85" s="333" t="s">
        <v>216</v>
      </c>
      <c r="C85" s="334"/>
      <c r="D85" s="105" t="s">
        <v>88</v>
      </c>
      <c r="E85" s="397" t="s">
        <v>229</v>
      </c>
      <c r="F85" s="397" t="s">
        <v>230</v>
      </c>
      <c r="G85" s="335"/>
      <c r="H85" s="112"/>
      <c r="I85" s="376"/>
      <c r="J85" s="338" t="s">
        <v>216</v>
      </c>
      <c r="K85" s="339"/>
      <c r="L85" s="339"/>
      <c r="M85" s="339"/>
      <c r="N85" s="339"/>
      <c r="O85" s="340"/>
      <c r="P85" s="341"/>
      <c r="Q85" s="341"/>
      <c r="R85" s="342"/>
      <c r="S85" s="112"/>
      <c r="T85" s="68"/>
      <c r="U85" s="68"/>
      <c r="V85" s="68"/>
      <c r="W85" s="68"/>
      <c r="X85" s="68"/>
      <c r="Y85" s="68"/>
      <c r="Z85" s="68"/>
      <c r="AA85" s="68"/>
      <c r="AB85" s="68"/>
      <c r="AC85" s="68"/>
      <c r="AD85" s="68"/>
    </row>
    <row r="86" spans="1:30" ht="15" customHeight="1" x14ac:dyDescent="0.2">
      <c r="B86" s="329" t="s">
        <v>277</v>
      </c>
      <c r="C86" s="330"/>
      <c r="D86" s="330"/>
      <c r="E86" s="396"/>
      <c r="F86" s="396"/>
      <c r="G86" s="331"/>
      <c r="H86" s="112"/>
      <c r="I86" s="376"/>
      <c r="J86" s="222" t="s">
        <v>227</v>
      </c>
      <c r="K86" s="337"/>
      <c r="L86" s="337"/>
      <c r="M86" s="337"/>
      <c r="N86" s="337"/>
      <c r="O86" s="331"/>
      <c r="P86" s="332"/>
      <c r="Q86" s="332"/>
      <c r="R86" s="331"/>
      <c r="S86" s="112"/>
    </row>
    <row r="87" spans="1:30" ht="15" customHeight="1" x14ac:dyDescent="0.2">
      <c r="B87" s="166" t="s">
        <v>210</v>
      </c>
      <c r="C87" s="300">
        <v>2012</v>
      </c>
      <c r="D87" s="391">
        <f>$G$83</f>
        <v>666004540</v>
      </c>
      <c r="E87" s="399">
        <v>2.1999999999999999E-2</v>
      </c>
      <c r="F87" s="398">
        <v>0</v>
      </c>
      <c r="G87" s="42">
        <f>D87*E87+F87</f>
        <v>14652099.879999999</v>
      </c>
      <c r="H87" s="116"/>
      <c r="I87" s="377">
        <v>0.9</v>
      </c>
      <c r="J87" s="392">
        <f>$R$83</f>
        <v>668696047.66226256</v>
      </c>
      <c r="K87" s="162"/>
      <c r="L87" s="11"/>
      <c r="M87" s="11"/>
      <c r="N87" s="11"/>
      <c r="O87" s="155">
        <v>13</v>
      </c>
      <c r="P87" s="149">
        <f>(VLOOKUP(Cost_Yr,CI!$A$5:$AD$29,O87)/VLOOKUP($C87,CI!$A$5:$AD$29,O87))</f>
        <v>1</v>
      </c>
      <c r="Q87" s="52"/>
      <c r="R87" s="42">
        <f>(D87*E87*(J87/D87)^I87+F87)*P87</f>
        <v>14705380.979283519</v>
      </c>
      <c r="S87" s="116"/>
    </row>
    <row r="88" spans="1:30" ht="15" customHeight="1" x14ac:dyDescent="0.2">
      <c r="B88" s="166" t="s">
        <v>211</v>
      </c>
      <c r="C88" s="300">
        <v>2012</v>
      </c>
      <c r="D88" s="391">
        <f t="shared" ref="D88:D91" si="40">$G$83</f>
        <v>666004540</v>
      </c>
      <c r="E88" s="399">
        <v>1.6E-2</v>
      </c>
      <c r="F88" s="398">
        <v>0</v>
      </c>
      <c r="G88" s="42">
        <f t="shared" ref="G88:G91" si="41">D88*E88+F88</f>
        <v>10656072.640000001</v>
      </c>
      <c r="H88" s="116"/>
      <c r="I88" s="377">
        <v>0.9</v>
      </c>
      <c r="J88" s="392">
        <f t="shared" ref="J88:J91" si="42">$R$83</f>
        <v>668696047.66226256</v>
      </c>
      <c r="K88" s="162"/>
      <c r="L88" s="11"/>
      <c r="M88" s="11"/>
      <c r="N88" s="11"/>
      <c r="O88" s="155">
        <v>13</v>
      </c>
      <c r="P88" s="149">
        <f>(VLOOKUP(Cost_Yr,CI!$A$5:$AD$29,O88)/VLOOKUP($C88,CI!$A$5:$AD$29,O88))</f>
        <v>1</v>
      </c>
      <c r="Q88" s="52"/>
      <c r="R88" s="42">
        <f>(D88*E88*(J88/D88)^I88+F88)*P88</f>
        <v>10694822.530388014</v>
      </c>
      <c r="S88" s="116"/>
    </row>
    <row r="89" spans="1:30" s="4" customFormat="1" ht="15" customHeight="1" x14ac:dyDescent="0.2">
      <c r="A89" s="71"/>
      <c r="B89" s="126" t="s">
        <v>212</v>
      </c>
      <c r="C89" s="301">
        <v>2012</v>
      </c>
      <c r="D89" s="391">
        <f t="shared" si="40"/>
        <v>666004540</v>
      </c>
      <c r="E89" s="399">
        <v>2E-3</v>
      </c>
      <c r="F89" s="256">
        <v>0</v>
      </c>
      <c r="G89" s="42">
        <f t="shared" si="41"/>
        <v>1332009.08</v>
      </c>
      <c r="H89" s="116"/>
      <c r="I89" s="377">
        <v>0.9</v>
      </c>
      <c r="J89" s="392">
        <f t="shared" si="42"/>
        <v>668696047.66226256</v>
      </c>
      <c r="K89" s="169"/>
      <c r="L89" s="80"/>
      <c r="M89" s="80"/>
      <c r="N89" s="80"/>
      <c r="O89" s="155">
        <v>13</v>
      </c>
      <c r="P89" s="149">
        <f>(VLOOKUP(Cost_Yr,CI!$A$5:$AD$29,O89)/VLOOKUP($C89,CI!$A$5:$AD$29,O89))</f>
        <v>1</v>
      </c>
      <c r="Q89" s="39"/>
      <c r="R89" s="42">
        <f>(D89*E89*(J89/D89)^I89+F89)*P89</f>
        <v>1336852.8162985018</v>
      </c>
      <c r="S89" s="116"/>
    </row>
    <row r="90" spans="1:30" s="4" customFormat="1" ht="15" customHeight="1" x14ac:dyDescent="0.2">
      <c r="A90" s="71"/>
      <c r="B90" s="126" t="s">
        <v>249</v>
      </c>
      <c r="C90" s="301">
        <v>2012</v>
      </c>
      <c r="D90" s="391">
        <f t="shared" si="40"/>
        <v>666004540</v>
      </c>
      <c r="E90" s="399">
        <v>0.04</v>
      </c>
      <c r="F90" s="256">
        <v>0</v>
      </c>
      <c r="G90" s="42">
        <f t="shared" si="41"/>
        <v>26640181.600000001</v>
      </c>
      <c r="H90" s="116"/>
      <c r="I90" s="377">
        <v>0.9</v>
      </c>
      <c r="J90" s="392">
        <f t="shared" si="42"/>
        <v>668696047.66226256</v>
      </c>
      <c r="K90" s="301"/>
      <c r="L90" s="394"/>
      <c r="M90" s="393"/>
      <c r="N90" s="190"/>
      <c r="O90" s="155">
        <v>13</v>
      </c>
      <c r="P90" s="149">
        <f>(VLOOKUP(Cost_Yr,CI!$A$5:$AD$29,O90)/VLOOKUP($C90,CI!$A$5:$AD$29,O90))</f>
        <v>1</v>
      </c>
      <c r="Q90" s="39"/>
      <c r="R90" s="42">
        <f>(D90*E90*(J90/D90)^I90+F90)*P90</f>
        <v>26737056.325970039</v>
      </c>
      <c r="S90" s="116"/>
    </row>
    <row r="91" spans="1:30" s="4" customFormat="1" ht="15" customHeight="1" x14ac:dyDescent="0.2">
      <c r="A91" s="71"/>
      <c r="B91" s="166" t="s">
        <v>248</v>
      </c>
      <c r="C91" s="301">
        <v>2012</v>
      </c>
      <c r="D91" s="391">
        <f t="shared" si="40"/>
        <v>666004540</v>
      </c>
      <c r="E91" s="399">
        <v>0.03</v>
      </c>
      <c r="F91" s="256">
        <v>0</v>
      </c>
      <c r="G91" s="42">
        <f t="shared" si="41"/>
        <v>19980136.199999999</v>
      </c>
      <c r="H91" s="116"/>
      <c r="I91" s="377">
        <v>0.9</v>
      </c>
      <c r="J91" s="392">
        <f t="shared" si="42"/>
        <v>668696047.66226256</v>
      </c>
      <c r="K91" s="301"/>
      <c r="L91" s="394"/>
      <c r="M91" s="393"/>
      <c r="N91" s="190"/>
      <c r="O91" s="155">
        <v>13</v>
      </c>
      <c r="P91" s="149">
        <f>(VLOOKUP(Cost_Yr,CI!$A$5:$AD$29,O91)/VLOOKUP($C91,CI!$A$5:$AD$29,O91))</f>
        <v>1</v>
      </c>
      <c r="Q91" s="39"/>
      <c r="R91" s="42">
        <f>(D91*E91*(J91/D91)^I91+F91)*P91*(Labor_Cost_Factor)</f>
        <v>20052792.244477525</v>
      </c>
      <c r="S91" s="116"/>
    </row>
    <row r="92" spans="1:30" s="4" customFormat="1" ht="15" customHeight="1" thickBot="1" x14ac:dyDescent="0.25">
      <c r="A92" s="74"/>
      <c r="B92" s="165" t="s">
        <v>178</v>
      </c>
      <c r="C92" s="303"/>
      <c r="D92" s="303"/>
      <c r="E92" s="5"/>
      <c r="F92" s="5"/>
      <c r="G92" s="255">
        <f>SUM(G87:G91)</f>
        <v>73260499.400000006</v>
      </c>
      <c r="H92" s="324"/>
      <c r="I92" s="382"/>
      <c r="J92" s="257" t="s">
        <v>178</v>
      </c>
      <c r="K92" s="260"/>
      <c r="L92" s="260"/>
      <c r="M92" s="260"/>
      <c r="N92" s="260"/>
      <c r="O92" s="261"/>
      <c r="P92" s="261"/>
      <c r="Q92" s="261"/>
      <c r="R92" s="262">
        <f>SUM(R87:R91)</f>
        <v>73526904.896417603</v>
      </c>
      <c r="S92" s="116"/>
    </row>
    <row r="93" spans="1:30" s="4" customFormat="1" ht="15" customHeight="1" x14ac:dyDescent="0.2">
      <c r="A93" s="71"/>
      <c r="B93" s="58"/>
      <c r="C93" s="301"/>
      <c r="D93" s="301"/>
      <c r="E93" s="38"/>
      <c r="F93" s="39"/>
      <c r="G93" s="193"/>
      <c r="H93" s="116"/>
      <c r="I93" s="382"/>
      <c r="J93" s="58"/>
      <c r="K93" s="169"/>
      <c r="L93" s="80"/>
      <c r="M93" s="80"/>
      <c r="N93" s="80"/>
      <c r="O93" s="38"/>
      <c r="P93" s="39"/>
      <c r="Q93" s="39"/>
      <c r="R93" s="193"/>
      <c r="S93" s="116"/>
    </row>
    <row r="94" spans="1:30" s="4" customFormat="1" ht="15" customHeight="1" x14ac:dyDescent="0.2">
      <c r="A94" s="71"/>
      <c r="B94" s="167" t="s">
        <v>276</v>
      </c>
      <c r="C94" s="301"/>
      <c r="D94" s="301"/>
      <c r="E94" s="38"/>
      <c r="F94" s="39"/>
      <c r="G94" s="42"/>
      <c r="H94" s="116"/>
      <c r="I94" s="382"/>
      <c r="J94" s="167"/>
      <c r="K94" s="169"/>
      <c r="L94" s="80"/>
      <c r="M94" s="80"/>
      <c r="N94" s="80"/>
      <c r="O94" s="38"/>
      <c r="P94" s="39"/>
      <c r="Q94" s="39"/>
      <c r="R94" s="42"/>
      <c r="S94" s="116"/>
    </row>
    <row r="95" spans="1:30" s="4" customFormat="1" ht="15" customHeight="1" x14ac:dyDescent="0.2">
      <c r="A95" s="71"/>
      <c r="B95" s="126" t="s">
        <v>195</v>
      </c>
      <c r="C95" s="301">
        <v>2009</v>
      </c>
      <c r="D95" s="304">
        <f>Ref_Land_Area</f>
        <v>1018</v>
      </c>
      <c r="E95" s="256">
        <v>10000</v>
      </c>
      <c r="F95" s="42" t="s">
        <v>175</v>
      </c>
      <c r="G95" s="42">
        <f>D95*E95</f>
        <v>10180000</v>
      </c>
      <c r="H95" s="116"/>
      <c r="I95" s="377"/>
      <c r="J95" s="265">
        <f>Proj_land_area</f>
        <v>1953</v>
      </c>
      <c r="K95" s="169"/>
      <c r="L95" s="149"/>
      <c r="M95" s="149"/>
      <c r="N95" s="266">
        <v>10000</v>
      </c>
      <c r="O95" s="42" t="s">
        <v>175</v>
      </c>
      <c r="R95" s="50">
        <f>J95*N95</f>
        <v>19530000</v>
      </c>
      <c r="S95" s="116"/>
    </row>
    <row r="96" spans="1:30" ht="15" hidden="1" customHeight="1" x14ac:dyDescent="0.2">
      <c r="B96" s="57" t="s">
        <v>2</v>
      </c>
      <c r="C96" s="9"/>
      <c r="D96" s="9"/>
      <c r="E96" s="10"/>
      <c r="F96" s="31"/>
      <c r="G96" s="41"/>
      <c r="H96" s="112"/>
      <c r="I96" s="376"/>
      <c r="J96" s="57" t="s">
        <v>2</v>
      </c>
      <c r="K96" s="9"/>
      <c r="L96" s="9"/>
      <c r="M96" s="9"/>
      <c r="N96" s="9"/>
      <c r="O96" s="10"/>
      <c r="P96" s="31"/>
      <c r="Q96" s="31"/>
      <c r="R96" s="41"/>
      <c r="S96" s="112"/>
    </row>
    <row r="97" spans="1:30" ht="15" hidden="1" customHeight="1" x14ac:dyDescent="0.2">
      <c r="B97" s="58" t="s">
        <v>3</v>
      </c>
      <c r="C97" s="300"/>
      <c r="D97" s="300"/>
      <c r="E97" s="42"/>
      <c r="F97" s="50"/>
      <c r="G97" s="42" t="e">
        <v>#REF!</v>
      </c>
      <c r="H97" s="116"/>
      <c r="I97" s="382"/>
      <c r="J97" s="58" t="s">
        <v>3</v>
      </c>
      <c r="K97" s="11"/>
      <c r="L97" s="11"/>
      <c r="M97" s="11"/>
      <c r="N97" s="11"/>
      <c r="O97" s="42"/>
      <c r="P97" s="50"/>
      <c r="Q97" s="50"/>
      <c r="R97" s="42" t="e">
        <v>#REF!</v>
      </c>
      <c r="S97" s="116"/>
    </row>
    <row r="98" spans="1:30" ht="15" hidden="1" customHeight="1" x14ac:dyDescent="0.2">
      <c r="B98" s="58" t="s">
        <v>11</v>
      </c>
      <c r="C98" s="300"/>
      <c r="D98" s="300"/>
      <c r="E98" s="42"/>
      <c r="F98" s="50"/>
      <c r="G98" s="42" t="e">
        <v>#REF!</v>
      </c>
      <c r="H98" s="116"/>
      <c r="I98" s="382"/>
      <c r="J98" s="58" t="s">
        <v>11</v>
      </c>
      <c r="K98" s="11"/>
      <c r="L98" s="11"/>
      <c r="M98" s="11"/>
      <c r="N98" s="11"/>
      <c r="O98" s="42"/>
      <c r="P98" s="50"/>
      <c r="Q98" s="50"/>
      <c r="R98" s="42" t="e">
        <v>#REF!</v>
      </c>
      <c r="S98" s="116"/>
    </row>
    <row r="99" spans="1:30" ht="15" hidden="1" customHeight="1" x14ac:dyDescent="0.2">
      <c r="B99" s="58" t="s">
        <v>12</v>
      </c>
      <c r="C99" s="300"/>
      <c r="D99" s="300"/>
      <c r="E99" s="42"/>
      <c r="F99" s="50"/>
      <c r="G99" s="42" t="e">
        <v>#REF!</v>
      </c>
      <c r="H99" s="116"/>
      <c r="I99" s="382"/>
      <c r="J99" s="58" t="s">
        <v>12</v>
      </c>
      <c r="K99" s="11"/>
      <c r="L99" s="11"/>
      <c r="M99" s="11"/>
      <c r="N99" s="11"/>
      <c r="O99" s="42"/>
      <c r="P99" s="50"/>
      <c r="Q99" s="50"/>
      <c r="R99" s="42" t="e">
        <v>#REF!</v>
      </c>
      <c r="S99" s="116"/>
    </row>
    <row r="100" spans="1:30" ht="15" hidden="1" customHeight="1" x14ac:dyDescent="0.2">
      <c r="B100" s="58" t="s">
        <v>10</v>
      </c>
      <c r="C100" s="300"/>
      <c r="D100" s="300"/>
      <c r="E100" s="42"/>
      <c r="F100" s="50"/>
      <c r="G100" s="42" t="e">
        <v>#REF!</v>
      </c>
      <c r="H100" s="116"/>
      <c r="I100" s="382"/>
      <c r="J100" s="58" t="s">
        <v>10</v>
      </c>
      <c r="K100" s="11"/>
      <c r="L100" s="11"/>
      <c r="M100" s="11"/>
      <c r="N100" s="11"/>
      <c r="O100" s="42"/>
      <c r="P100" s="50"/>
      <c r="Q100" s="50"/>
      <c r="R100" s="42" t="e">
        <v>#REF!</v>
      </c>
      <c r="S100" s="116"/>
    </row>
    <row r="101" spans="1:30" ht="15" hidden="1" customHeight="1" x14ac:dyDescent="0.2">
      <c r="B101" s="58" t="s">
        <v>14</v>
      </c>
      <c r="C101" s="300"/>
      <c r="D101" s="300"/>
      <c r="E101" s="42"/>
      <c r="F101" s="50"/>
      <c r="G101" s="42" t="e">
        <v>#REF!</v>
      </c>
      <c r="H101" s="116"/>
      <c r="I101" s="382"/>
      <c r="J101" s="58" t="s">
        <v>14</v>
      </c>
      <c r="K101" s="11"/>
      <c r="L101" s="11"/>
      <c r="M101" s="11"/>
      <c r="N101" s="11"/>
      <c r="O101" s="42"/>
      <c r="P101" s="50"/>
      <c r="Q101" s="50"/>
      <c r="R101" s="42" t="e">
        <v>#REF!</v>
      </c>
      <c r="S101" s="116"/>
    </row>
    <row r="102" spans="1:30" ht="15" hidden="1" customHeight="1" x14ac:dyDescent="0.2">
      <c r="B102" s="58" t="s">
        <v>8</v>
      </c>
      <c r="C102" s="300"/>
      <c r="D102" s="300"/>
      <c r="E102" s="42"/>
      <c r="F102" s="50"/>
      <c r="G102" s="42" t="e">
        <v>#REF!</v>
      </c>
      <c r="H102" s="116"/>
      <c r="I102" s="382"/>
      <c r="J102" s="58" t="s">
        <v>8</v>
      </c>
      <c r="K102" s="11"/>
      <c r="L102" s="11"/>
      <c r="M102" s="11"/>
      <c r="N102" s="11"/>
      <c r="O102" s="42"/>
      <c r="P102" s="50"/>
      <c r="Q102" s="50"/>
      <c r="R102" s="42" t="e">
        <v>#REF!</v>
      </c>
      <c r="S102" s="116"/>
    </row>
    <row r="103" spans="1:30" ht="15" hidden="1" customHeight="1" x14ac:dyDescent="0.2">
      <c r="B103" s="58" t="s">
        <v>13</v>
      </c>
      <c r="C103" s="300"/>
      <c r="D103" s="300"/>
      <c r="E103" s="42"/>
      <c r="F103" s="50"/>
      <c r="G103" s="42" t="e">
        <v>#REF!</v>
      </c>
      <c r="H103" s="116"/>
      <c r="I103" s="382"/>
      <c r="J103" s="58" t="s">
        <v>13</v>
      </c>
      <c r="K103" s="11"/>
      <c r="L103" s="11"/>
      <c r="M103" s="11"/>
      <c r="N103" s="11"/>
      <c r="O103" s="42"/>
      <c r="P103" s="50"/>
      <c r="Q103" s="50"/>
      <c r="R103" s="42" t="e">
        <v>#REF!</v>
      </c>
      <c r="S103" s="116"/>
    </row>
    <row r="104" spans="1:30" ht="15" hidden="1" customHeight="1" x14ac:dyDescent="0.2">
      <c r="B104" s="58" t="s">
        <v>9</v>
      </c>
      <c r="C104" s="300"/>
      <c r="D104" s="300"/>
      <c r="E104" s="42"/>
      <c r="F104" s="50"/>
      <c r="G104" s="42" t="e">
        <v>#REF!</v>
      </c>
      <c r="H104" s="116"/>
      <c r="I104" s="382"/>
      <c r="J104" s="58" t="s">
        <v>9</v>
      </c>
      <c r="K104" s="11"/>
      <c r="L104" s="11"/>
      <c r="M104" s="11"/>
      <c r="N104" s="11"/>
      <c r="O104" s="42"/>
      <c r="P104" s="50"/>
      <c r="Q104" s="50"/>
      <c r="R104" s="42" t="e">
        <v>#REF!</v>
      </c>
      <c r="S104" s="116"/>
    </row>
    <row r="105" spans="1:30" ht="15" hidden="1" customHeight="1" x14ac:dyDescent="0.2">
      <c r="B105" s="58" t="s">
        <v>39</v>
      </c>
      <c r="C105" s="300"/>
      <c r="D105" s="300"/>
      <c r="E105" s="42"/>
      <c r="F105" s="50"/>
      <c r="G105" s="42" t="e">
        <v>#REF!</v>
      </c>
      <c r="H105" s="116"/>
      <c r="I105" s="382"/>
      <c r="J105" s="58" t="s">
        <v>39</v>
      </c>
      <c r="K105" s="11"/>
      <c r="L105" s="11"/>
      <c r="M105" s="11"/>
      <c r="N105" s="11"/>
      <c r="O105" s="42"/>
      <c r="P105" s="50"/>
      <c r="Q105" s="50"/>
      <c r="R105" s="42" t="e">
        <v>#REF!</v>
      </c>
      <c r="S105" s="116"/>
    </row>
    <row r="106" spans="1:30" ht="15" hidden="1" customHeight="1" x14ac:dyDescent="0.2">
      <c r="B106" s="58" t="s">
        <v>40</v>
      </c>
      <c r="C106" s="300"/>
      <c r="D106" s="300"/>
      <c r="E106" s="42"/>
      <c r="F106" s="50"/>
      <c r="G106" s="42" t="e">
        <v>#REF!</v>
      </c>
      <c r="H106" s="116"/>
      <c r="I106" s="382"/>
      <c r="J106" s="58" t="s">
        <v>40</v>
      </c>
      <c r="K106" s="11"/>
      <c r="L106" s="11"/>
      <c r="M106" s="11"/>
      <c r="N106" s="11"/>
      <c r="O106" s="42"/>
      <c r="P106" s="50"/>
      <c r="Q106" s="50"/>
      <c r="R106" s="42" t="e">
        <v>#REF!</v>
      </c>
      <c r="S106" s="116"/>
    </row>
    <row r="107" spans="1:30" ht="15" hidden="1" customHeight="1" x14ac:dyDescent="0.2">
      <c r="B107" s="58" t="s">
        <v>6</v>
      </c>
      <c r="C107" s="300"/>
      <c r="D107" s="300"/>
      <c r="E107" s="42"/>
      <c r="F107" s="50"/>
      <c r="G107" s="42" t="e">
        <v>#REF!</v>
      </c>
      <c r="H107" s="116"/>
      <c r="I107" s="382"/>
      <c r="J107" s="58" t="s">
        <v>6</v>
      </c>
      <c r="K107" s="11"/>
      <c r="L107" s="11"/>
      <c r="M107" s="11"/>
      <c r="N107" s="11"/>
      <c r="O107" s="42"/>
      <c r="P107" s="50"/>
      <c r="Q107" s="50"/>
      <c r="R107" s="42" t="e">
        <v>#REF!</v>
      </c>
      <c r="S107" s="116"/>
    </row>
    <row r="108" spans="1:30" ht="15" hidden="1" customHeight="1" x14ac:dyDescent="0.2">
      <c r="B108" s="58" t="s">
        <v>4</v>
      </c>
      <c r="C108" s="300"/>
      <c r="D108" s="300"/>
      <c r="E108" s="42"/>
      <c r="F108" s="50"/>
      <c r="G108" s="42" t="e">
        <v>#REF!</v>
      </c>
      <c r="H108" s="116"/>
      <c r="I108" s="382"/>
      <c r="J108" s="58" t="s">
        <v>4</v>
      </c>
      <c r="K108" s="11"/>
      <c r="L108" s="11"/>
      <c r="M108" s="11"/>
      <c r="N108" s="11"/>
      <c r="O108" s="42"/>
      <c r="P108" s="50"/>
      <c r="Q108" s="50"/>
      <c r="R108" s="42" t="e">
        <v>#REF!</v>
      </c>
      <c r="S108" s="116"/>
    </row>
    <row r="109" spans="1:30" s="3" customFormat="1" ht="15" hidden="1" customHeight="1" x14ac:dyDescent="0.2">
      <c r="A109" s="71"/>
      <c r="B109" s="58" t="s">
        <v>7</v>
      </c>
      <c r="C109" s="300"/>
      <c r="D109" s="300"/>
      <c r="E109" s="42"/>
      <c r="F109" s="50"/>
      <c r="G109" s="42" t="e">
        <v>#REF!</v>
      </c>
      <c r="H109" s="116"/>
      <c r="I109" s="382"/>
      <c r="J109" s="58" t="s">
        <v>7</v>
      </c>
      <c r="K109" s="11"/>
      <c r="L109" s="11"/>
      <c r="M109" s="11"/>
      <c r="N109" s="11"/>
      <c r="O109" s="42"/>
      <c r="P109" s="50"/>
      <c r="Q109" s="50"/>
      <c r="R109" s="42" t="e">
        <v>#REF!</v>
      </c>
      <c r="S109" s="116"/>
      <c r="T109" s="4"/>
      <c r="U109" s="4"/>
      <c r="V109" s="4"/>
      <c r="W109" s="4"/>
      <c r="X109" s="4"/>
      <c r="Y109" s="4"/>
      <c r="Z109" s="4"/>
      <c r="AA109" s="4"/>
      <c r="AB109" s="4"/>
      <c r="AC109" s="4"/>
      <c r="AD109" s="4"/>
    </row>
    <row r="110" spans="1:30" s="3" customFormat="1" ht="15" hidden="1" customHeight="1" x14ac:dyDescent="0.2">
      <c r="A110" s="71"/>
      <c r="B110" s="54"/>
      <c r="C110" s="300"/>
      <c r="D110" s="300"/>
      <c r="E110" s="8"/>
      <c r="F110" s="31"/>
      <c r="G110" s="38"/>
      <c r="H110" s="112"/>
      <c r="I110" s="376"/>
      <c r="J110" s="54"/>
      <c r="K110" s="11"/>
      <c r="L110" s="11"/>
      <c r="M110" s="11"/>
      <c r="N110" s="11"/>
      <c r="O110" s="8"/>
      <c r="P110" s="31"/>
      <c r="Q110" s="31"/>
      <c r="R110" s="38"/>
      <c r="S110" s="112"/>
      <c r="T110" s="4"/>
      <c r="U110" s="4"/>
      <c r="V110" s="4"/>
      <c r="W110" s="4"/>
      <c r="X110" s="4"/>
      <c r="Y110" s="4"/>
      <c r="Z110" s="4"/>
      <c r="AA110" s="4"/>
      <c r="AB110" s="4"/>
      <c r="AC110" s="4"/>
      <c r="AD110" s="4"/>
    </row>
    <row r="111" spans="1:30" ht="15" hidden="1" customHeight="1" x14ac:dyDescent="0.2">
      <c r="B111" s="55" t="s">
        <v>5</v>
      </c>
      <c r="C111" s="303"/>
      <c r="D111" s="303"/>
      <c r="E111" s="5"/>
      <c r="F111" s="5"/>
      <c r="G111" s="40" t="e">
        <v>#REF!</v>
      </c>
      <c r="H111" s="117"/>
      <c r="I111" s="383"/>
      <c r="J111" s="55" t="s">
        <v>5</v>
      </c>
      <c r="K111" s="13"/>
      <c r="L111" s="13"/>
      <c r="M111" s="13"/>
      <c r="N111" s="13"/>
      <c r="O111" s="5"/>
      <c r="P111" s="5"/>
      <c r="Q111" s="5"/>
      <c r="R111" s="40" t="e">
        <v>#REF!</v>
      </c>
      <c r="S111" s="117"/>
    </row>
    <row r="112" spans="1:30" s="7" customFormat="1" ht="15" hidden="1" customHeight="1" x14ac:dyDescent="0.2">
      <c r="A112" s="71"/>
      <c r="B112" s="56"/>
      <c r="C112" s="301"/>
      <c r="D112" s="301"/>
      <c r="E112" s="12"/>
      <c r="F112" s="12"/>
      <c r="G112" s="39"/>
      <c r="H112" s="117"/>
      <c r="I112" s="383"/>
      <c r="J112" s="56"/>
      <c r="K112" s="26"/>
      <c r="L112" s="26"/>
      <c r="M112" s="26"/>
      <c r="N112" s="26"/>
      <c r="O112" s="12"/>
      <c r="P112" s="12"/>
      <c r="Q112" s="12"/>
      <c r="R112" s="39"/>
      <c r="S112" s="117"/>
    </row>
    <row r="113" spans="1:30" s="27" customFormat="1" ht="15" customHeight="1" thickBot="1" x14ac:dyDescent="0.25">
      <c r="A113" s="73"/>
      <c r="B113" s="165" t="s">
        <v>278</v>
      </c>
      <c r="C113" s="302"/>
      <c r="D113" s="302"/>
      <c r="E113" s="14"/>
      <c r="F113" s="14"/>
      <c r="G113" s="255">
        <f>SUM(G95:G95)</f>
        <v>10180000</v>
      </c>
      <c r="H113" s="324"/>
      <c r="I113" s="384"/>
      <c r="J113" s="257" t="s">
        <v>177</v>
      </c>
      <c r="K113" s="263"/>
      <c r="L113" s="263"/>
      <c r="M113" s="263"/>
      <c r="N113" s="263"/>
      <c r="O113" s="264"/>
      <c r="P113" s="264"/>
      <c r="Q113" s="264"/>
      <c r="R113" s="262">
        <f>SUM(R95:R95)</f>
        <v>19530000</v>
      </c>
      <c r="S113" s="123"/>
      <c r="T113" s="69"/>
      <c r="U113" s="69"/>
      <c r="V113" s="69"/>
      <c r="W113" s="69"/>
      <c r="X113" s="69"/>
      <c r="Y113" s="69"/>
      <c r="Z113" s="69"/>
      <c r="AA113" s="69"/>
      <c r="AB113" s="69"/>
      <c r="AC113" s="69"/>
      <c r="AD113" s="69"/>
    </row>
    <row r="114" spans="1:30" s="18" customFormat="1" x14ac:dyDescent="0.2">
      <c r="A114" s="76"/>
      <c r="B114" s="59"/>
      <c r="C114" s="305"/>
      <c r="D114" s="306"/>
      <c r="E114" s="28"/>
      <c r="F114" s="28"/>
      <c r="G114" s="44"/>
      <c r="H114" s="92"/>
      <c r="I114" s="385"/>
      <c r="J114" s="92"/>
      <c r="K114" s="152"/>
      <c r="L114" s="92"/>
      <c r="M114" s="92"/>
      <c r="N114" s="92"/>
      <c r="O114" s="92"/>
      <c r="P114" s="92"/>
      <c r="Q114" s="92"/>
      <c r="R114" s="92"/>
      <c r="S114" s="92"/>
      <c r="T114" s="70"/>
      <c r="U114" s="70"/>
      <c r="V114" s="70"/>
      <c r="W114" s="70"/>
      <c r="X114" s="70"/>
      <c r="Y114" s="70"/>
      <c r="Z114" s="70"/>
      <c r="AA114" s="70"/>
      <c r="AB114" s="70"/>
      <c r="AC114" s="70"/>
      <c r="AD114" s="70"/>
    </row>
    <row r="115" spans="1:30" s="18" customFormat="1" x14ac:dyDescent="0.2">
      <c r="A115" s="76"/>
      <c r="B115" s="167" t="s">
        <v>191</v>
      </c>
      <c r="C115" s="301"/>
      <c r="D115" s="301"/>
      <c r="E115" s="38"/>
      <c r="F115" s="39"/>
      <c r="G115" s="42"/>
      <c r="H115" s="116"/>
      <c r="I115" s="386"/>
      <c r="J115" s="167" t="s">
        <v>191</v>
      </c>
      <c r="K115" s="169"/>
      <c r="L115" s="80"/>
      <c r="M115" s="80"/>
      <c r="N115" s="38"/>
      <c r="O115" s="39"/>
      <c r="P115" s="290"/>
      <c r="Q115" s="291"/>
      <c r="R115" s="42"/>
      <c r="S115" s="90"/>
      <c r="T115" s="70"/>
      <c r="U115" s="70"/>
      <c r="V115" s="70"/>
      <c r="W115" s="70"/>
      <c r="X115" s="70"/>
      <c r="Y115" s="70"/>
      <c r="Z115" s="70"/>
      <c r="AA115" s="70"/>
      <c r="AB115" s="70"/>
      <c r="AC115" s="70"/>
      <c r="AD115" s="70"/>
    </row>
    <row r="116" spans="1:30" s="18" customFormat="1" x14ac:dyDescent="0.2">
      <c r="A116" s="76"/>
      <c r="B116" s="126" t="s">
        <v>192</v>
      </c>
      <c r="C116" s="307">
        <f>Sales_Tax_Rate</f>
        <v>0.05</v>
      </c>
      <c r="D116" s="301"/>
      <c r="E116" s="288"/>
      <c r="F116" s="39"/>
      <c r="G116" s="256"/>
      <c r="H116" s="323"/>
      <c r="I116" s="387"/>
      <c r="J116" s="126" t="s">
        <v>226</v>
      </c>
      <c r="L116" s="80"/>
      <c r="M116" s="80"/>
      <c r="N116" s="288"/>
      <c r="O116" s="288">
        <f>Sales_Tax_Rate</f>
        <v>0.05</v>
      </c>
      <c r="P116" s="290"/>
      <c r="Q116" s="292"/>
      <c r="R116" s="256"/>
      <c r="S116" s="35"/>
      <c r="T116" s="70"/>
      <c r="U116" s="70"/>
      <c r="V116" s="70"/>
      <c r="W116" s="70"/>
      <c r="X116" s="70"/>
      <c r="Y116" s="70"/>
      <c r="Z116" s="70"/>
      <c r="AA116" s="70"/>
      <c r="AB116" s="70"/>
      <c r="AC116" s="70"/>
      <c r="AD116" s="70"/>
    </row>
    <row r="117" spans="1:30" s="18" customFormat="1" x14ac:dyDescent="0.2">
      <c r="A117" s="76"/>
      <c r="B117" s="126" t="s">
        <v>240</v>
      </c>
      <c r="C117" s="301"/>
      <c r="D117" s="391">
        <f>E79*(1+F82)</f>
        <v>520989569.80000001</v>
      </c>
      <c r="E117" s="256"/>
      <c r="F117" s="42"/>
      <c r="G117" s="42"/>
      <c r="H117" s="116"/>
      <c r="I117" s="388"/>
      <c r="J117" s="126" t="s">
        <v>240</v>
      </c>
      <c r="K117" s="169"/>
      <c r="N117" s="256"/>
      <c r="O117" s="42"/>
      <c r="P117" s="290"/>
      <c r="Q117" s="176">
        <f>N79*(1+R82)</f>
        <v>524026068.00210541</v>
      </c>
      <c r="R117" s="42"/>
      <c r="S117" s="43"/>
      <c r="T117" s="70"/>
      <c r="U117" s="70"/>
      <c r="V117" s="70"/>
      <c r="W117" s="70"/>
      <c r="X117" s="70"/>
      <c r="Y117" s="70"/>
      <c r="Z117" s="70"/>
      <c r="AA117" s="70"/>
      <c r="AB117" s="70"/>
      <c r="AC117" s="70"/>
      <c r="AD117" s="70"/>
    </row>
    <row r="118" spans="1:30" s="18" customFormat="1" x14ac:dyDescent="0.2">
      <c r="A118" s="76"/>
      <c r="B118" s="166" t="s">
        <v>242</v>
      </c>
      <c r="C118" s="300"/>
      <c r="D118" s="300"/>
      <c r="E118" s="409">
        <f>D117/G83</f>
        <v>0.78226128878941281</v>
      </c>
      <c r="F118" s="25"/>
      <c r="G118" s="256"/>
      <c r="H118" s="323"/>
      <c r="I118" s="388"/>
      <c r="J118" s="166" t="s">
        <v>242</v>
      </c>
      <c r="K118" s="162"/>
      <c r="L118" s="11"/>
      <c r="M118" s="295"/>
      <c r="O118" s="25"/>
      <c r="Q118" s="289">
        <f>Q117/R83</f>
        <v>0.78365360440529264</v>
      </c>
      <c r="R118" s="256"/>
      <c r="S118" s="43"/>
      <c r="T118" s="70"/>
      <c r="U118" s="70"/>
      <c r="V118" s="70"/>
      <c r="W118" s="70"/>
      <c r="X118" s="70"/>
      <c r="Y118" s="70"/>
      <c r="Z118" s="70"/>
      <c r="AA118" s="70"/>
      <c r="AB118" s="70"/>
      <c r="AC118" s="70"/>
      <c r="AD118" s="70"/>
    </row>
    <row r="119" spans="1:30" s="18" customFormat="1" ht="13.5" thickBot="1" x14ac:dyDescent="0.25">
      <c r="A119" s="76"/>
      <c r="B119" s="165" t="s">
        <v>193</v>
      </c>
      <c r="C119" s="302"/>
      <c r="D119" s="302"/>
      <c r="E119" s="14"/>
      <c r="F119" s="14"/>
      <c r="G119" s="255">
        <f>C116*D117</f>
        <v>26049478.490000002</v>
      </c>
      <c r="H119" s="324"/>
      <c r="I119" s="389"/>
      <c r="J119" s="257" t="s">
        <v>193</v>
      </c>
      <c r="K119" s="263"/>
      <c r="L119" s="263"/>
      <c r="M119" s="263"/>
      <c r="N119" s="263"/>
      <c r="O119" s="264"/>
      <c r="P119" s="264"/>
      <c r="Q119" s="264"/>
      <c r="R119" s="262">
        <f>Sales_Tax_Rate*Q117</f>
        <v>26201303.400105271</v>
      </c>
      <c r="S119" s="44"/>
      <c r="T119" s="70"/>
      <c r="U119" s="70"/>
      <c r="V119" s="70"/>
      <c r="W119" s="70"/>
      <c r="X119" s="70"/>
      <c r="Y119" s="70"/>
      <c r="Z119" s="70"/>
      <c r="AA119" s="70"/>
      <c r="AB119" s="70"/>
      <c r="AC119" s="70"/>
      <c r="AD119" s="70"/>
    </row>
    <row r="120" spans="1:30" s="18" customFormat="1" x14ac:dyDescent="0.2">
      <c r="A120" s="76"/>
      <c r="B120" s="62"/>
      <c r="C120" s="15"/>
      <c r="D120" s="19"/>
      <c r="E120" s="23"/>
      <c r="F120" s="34"/>
      <c r="G120" s="44"/>
      <c r="H120" s="44"/>
      <c r="I120" s="389"/>
      <c r="J120" s="44"/>
      <c r="K120" s="44"/>
      <c r="L120" s="44"/>
      <c r="M120" s="44"/>
      <c r="N120" s="44"/>
      <c r="O120" s="44"/>
      <c r="P120" s="44"/>
      <c r="Q120" s="44"/>
      <c r="R120" s="44"/>
      <c r="S120" s="44"/>
      <c r="T120" s="70"/>
      <c r="U120" s="70"/>
      <c r="V120" s="70"/>
      <c r="W120" s="70"/>
      <c r="X120" s="70"/>
      <c r="Y120" s="70"/>
      <c r="Z120" s="70"/>
      <c r="AA120" s="70"/>
      <c r="AB120" s="70"/>
      <c r="AC120" s="70"/>
      <c r="AD120" s="70"/>
    </row>
    <row r="121" spans="1:30" s="18" customFormat="1" x14ac:dyDescent="0.2">
      <c r="A121" s="76"/>
      <c r="B121" s="62"/>
      <c r="C121" s="15"/>
      <c r="D121" s="19"/>
      <c r="E121" s="23"/>
      <c r="F121" s="34"/>
      <c r="G121" s="43"/>
      <c r="H121" s="43"/>
      <c r="I121" s="388"/>
      <c r="J121" s="43"/>
      <c r="K121" s="43"/>
      <c r="L121" s="43"/>
      <c r="M121" s="43"/>
      <c r="N121" s="43"/>
      <c r="O121" s="43"/>
      <c r="P121" s="43"/>
      <c r="Q121" s="43"/>
      <c r="R121" s="43"/>
      <c r="S121" s="43"/>
      <c r="T121" s="70"/>
      <c r="U121" s="70"/>
      <c r="V121" s="70"/>
      <c r="W121" s="70"/>
      <c r="X121" s="70"/>
      <c r="Y121" s="70"/>
      <c r="Z121" s="70"/>
      <c r="AA121" s="70"/>
      <c r="AB121" s="70"/>
      <c r="AC121" s="70"/>
      <c r="AD121" s="70"/>
    </row>
    <row r="122" spans="1:30" s="18" customFormat="1" x14ac:dyDescent="0.2">
      <c r="A122" s="76"/>
      <c r="B122" s="62"/>
      <c r="C122" s="16"/>
      <c r="D122" s="17"/>
      <c r="E122" s="23"/>
      <c r="F122" s="34"/>
      <c r="G122" s="43"/>
      <c r="H122" s="43"/>
      <c r="I122" s="388"/>
      <c r="J122" s="43"/>
      <c r="K122" s="43"/>
      <c r="L122" s="43"/>
      <c r="M122" s="43"/>
      <c r="N122" s="43"/>
      <c r="O122" s="43"/>
      <c r="P122" s="43"/>
      <c r="Q122" s="43"/>
      <c r="R122" s="43"/>
      <c r="S122" s="43"/>
      <c r="T122" s="70"/>
      <c r="U122" s="70"/>
      <c r="V122" s="70"/>
      <c r="W122" s="70"/>
      <c r="X122" s="70"/>
      <c r="Y122" s="70"/>
      <c r="Z122" s="70"/>
      <c r="AA122" s="70"/>
      <c r="AB122" s="70"/>
      <c r="AC122" s="70"/>
      <c r="AD122" s="70"/>
    </row>
    <row r="123" spans="1:30" s="18" customFormat="1" x14ac:dyDescent="0.2">
      <c r="A123" s="76"/>
      <c r="B123" s="62"/>
      <c r="C123" s="16"/>
      <c r="D123" s="17"/>
      <c r="E123" s="23"/>
      <c r="F123" s="34"/>
      <c r="G123" s="43"/>
      <c r="H123" s="43"/>
      <c r="I123" s="388"/>
      <c r="J123" s="43"/>
      <c r="K123" s="43"/>
      <c r="L123" s="43"/>
      <c r="M123" s="43"/>
      <c r="N123" s="43"/>
      <c r="O123" s="43"/>
      <c r="P123" s="43"/>
      <c r="Q123" s="43"/>
      <c r="R123" s="43"/>
      <c r="S123" s="43"/>
      <c r="T123" s="70"/>
      <c r="U123" s="70"/>
      <c r="V123" s="70"/>
      <c r="W123" s="70"/>
      <c r="X123" s="70"/>
      <c r="Y123" s="70"/>
      <c r="Z123" s="70"/>
      <c r="AA123" s="70"/>
      <c r="AB123" s="70"/>
      <c r="AC123" s="70"/>
      <c r="AD123" s="70"/>
    </row>
    <row r="124" spans="1:30" s="18" customFormat="1" x14ac:dyDescent="0.2">
      <c r="A124" s="76"/>
      <c r="B124" s="63"/>
      <c r="C124" s="20"/>
      <c r="D124" s="21"/>
      <c r="E124" s="24"/>
      <c r="F124" s="36"/>
      <c r="G124" s="45"/>
      <c r="H124" s="45"/>
      <c r="I124" s="390"/>
      <c r="J124" s="45"/>
      <c r="K124" s="45"/>
      <c r="L124" s="45"/>
      <c r="M124" s="45"/>
      <c r="N124" s="45"/>
      <c r="O124" s="45"/>
      <c r="P124" s="45"/>
      <c r="Q124" s="45"/>
      <c r="R124" s="45"/>
      <c r="S124" s="45"/>
      <c r="T124" s="70"/>
      <c r="U124" s="70"/>
      <c r="V124" s="70"/>
      <c r="W124" s="70"/>
      <c r="X124" s="70"/>
      <c r="Y124" s="70"/>
      <c r="Z124" s="70"/>
      <c r="AA124" s="70"/>
      <c r="AB124" s="70"/>
      <c r="AC124" s="70"/>
      <c r="AD124" s="70"/>
    </row>
    <row r="125" spans="1:30" s="18" customFormat="1" x14ac:dyDescent="0.2">
      <c r="A125" s="76"/>
      <c r="B125" s="63"/>
      <c r="C125" s="20"/>
      <c r="D125" s="21"/>
      <c r="E125" s="24"/>
      <c r="F125" s="36"/>
      <c r="G125" s="45"/>
      <c r="H125" s="45"/>
      <c r="I125" s="390"/>
      <c r="J125" s="45"/>
      <c r="K125" s="45"/>
      <c r="L125" s="45"/>
      <c r="M125" s="45"/>
      <c r="N125" s="45"/>
      <c r="O125" s="45"/>
      <c r="P125" s="45"/>
      <c r="Q125" s="45"/>
      <c r="R125" s="45"/>
      <c r="S125" s="45"/>
      <c r="T125" s="70"/>
      <c r="U125" s="70"/>
      <c r="V125" s="70"/>
      <c r="W125" s="70"/>
      <c r="X125" s="70"/>
      <c r="Y125" s="70"/>
      <c r="Z125" s="70"/>
      <c r="AA125" s="70"/>
      <c r="AB125" s="70"/>
      <c r="AC125" s="70"/>
      <c r="AD125" s="70"/>
    </row>
    <row r="126" spans="1:30" s="18" customFormat="1" x14ac:dyDescent="0.2">
      <c r="A126" s="76"/>
      <c r="B126" s="64"/>
      <c r="C126" s="20"/>
      <c r="D126" s="21"/>
      <c r="E126" s="24"/>
      <c r="F126" s="36"/>
      <c r="G126" s="45"/>
      <c r="H126" s="45"/>
      <c r="I126" s="390"/>
      <c r="J126" s="45"/>
      <c r="K126" s="45"/>
      <c r="L126" s="45"/>
      <c r="M126" s="45"/>
      <c r="N126" s="45"/>
      <c r="O126" s="45"/>
      <c r="P126" s="45"/>
      <c r="Q126" s="45"/>
      <c r="R126" s="45"/>
      <c r="S126" s="45"/>
      <c r="T126" s="70"/>
      <c r="U126" s="70"/>
      <c r="V126" s="70"/>
      <c r="W126" s="70"/>
      <c r="X126" s="70"/>
      <c r="Y126" s="70"/>
      <c r="Z126" s="70"/>
      <c r="AA126" s="70"/>
      <c r="AB126" s="70"/>
      <c r="AC126" s="70"/>
      <c r="AD126" s="70"/>
    </row>
    <row r="127" spans="1:30" s="18" customFormat="1" x14ac:dyDescent="0.2">
      <c r="A127" s="76"/>
      <c r="B127" s="64"/>
      <c r="C127" s="20"/>
      <c r="D127" s="21"/>
      <c r="E127" s="24"/>
      <c r="F127" s="36"/>
      <c r="G127" s="45"/>
      <c r="H127" s="45"/>
      <c r="I127" s="390"/>
      <c r="J127" s="45"/>
      <c r="K127" s="45"/>
      <c r="L127" s="45"/>
      <c r="M127" s="45"/>
      <c r="N127" s="45"/>
      <c r="O127" s="45"/>
      <c r="P127" s="45"/>
      <c r="Q127" s="45"/>
      <c r="R127" s="45"/>
      <c r="S127" s="45"/>
      <c r="T127" s="70"/>
      <c r="U127" s="70"/>
      <c r="V127" s="70"/>
      <c r="W127" s="70"/>
      <c r="X127" s="70"/>
      <c r="Y127" s="70"/>
      <c r="Z127" s="70"/>
      <c r="AA127" s="70"/>
      <c r="AB127" s="70"/>
      <c r="AC127" s="70"/>
      <c r="AD127" s="70"/>
    </row>
    <row r="128" spans="1:30" s="18" customFormat="1" x14ac:dyDescent="0.2">
      <c r="A128" s="76"/>
      <c r="B128" s="64"/>
      <c r="C128" s="20"/>
      <c r="D128" s="21"/>
      <c r="E128" s="24"/>
      <c r="F128" s="36"/>
      <c r="G128" s="45"/>
      <c r="H128" s="45"/>
      <c r="I128" s="390"/>
      <c r="J128" s="45"/>
      <c r="K128" s="45"/>
      <c r="L128" s="45"/>
      <c r="M128" s="45"/>
      <c r="N128" s="45"/>
      <c r="O128" s="45"/>
      <c r="P128" s="45"/>
      <c r="Q128" s="45"/>
      <c r="R128" s="45"/>
      <c r="S128" s="45"/>
      <c r="T128" s="70"/>
      <c r="U128" s="70"/>
      <c r="V128" s="70"/>
      <c r="W128" s="70"/>
      <c r="X128" s="70"/>
      <c r="Y128" s="70"/>
      <c r="Z128" s="70"/>
      <c r="AA128" s="70"/>
      <c r="AB128" s="70"/>
      <c r="AC128" s="70"/>
      <c r="AD128" s="70"/>
    </row>
    <row r="129" spans="1:30" s="18" customFormat="1" x14ac:dyDescent="0.2">
      <c r="A129" s="76"/>
      <c r="B129" s="64"/>
      <c r="C129" s="20"/>
      <c r="D129" s="21"/>
      <c r="E129" s="24"/>
      <c r="F129" s="36"/>
      <c r="G129" s="45"/>
      <c r="H129" s="45"/>
      <c r="I129" s="390"/>
      <c r="J129" s="45"/>
      <c r="K129" s="45"/>
      <c r="L129" s="45"/>
      <c r="M129" s="45"/>
      <c r="N129" s="45"/>
      <c r="O129" s="45"/>
      <c r="P129" s="45"/>
      <c r="Q129" s="45"/>
      <c r="R129" s="45"/>
      <c r="S129" s="45"/>
      <c r="T129" s="70"/>
      <c r="U129" s="70"/>
      <c r="V129" s="70"/>
      <c r="W129" s="70"/>
      <c r="X129" s="70"/>
      <c r="Y129" s="70"/>
      <c r="Z129" s="70"/>
      <c r="AA129" s="70"/>
      <c r="AB129" s="70"/>
      <c r="AC129" s="70"/>
      <c r="AD129" s="70"/>
    </row>
    <row r="130" spans="1:30" s="18" customFormat="1" x14ac:dyDescent="0.2">
      <c r="A130" s="76"/>
      <c r="B130" s="64"/>
      <c r="C130" s="20"/>
      <c r="D130" s="21"/>
      <c r="E130" s="24"/>
      <c r="F130" s="36"/>
      <c r="G130" s="45"/>
      <c r="H130" s="45"/>
      <c r="I130" s="390"/>
      <c r="J130" s="45"/>
      <c r="K130" s="45"/>
      <c r="L130" s="45"/>
      <c r="M130" s="45"/>
      <c r="N130" s="45"/>
      <c r="O130" s="45"/>
      <c r="P130" s="45"/>
      <c r="Q130" s="45"/>
      <c r="R130" s="45"/>
      <c r="S130" s="45"/>
      <c r="T130" s="70"/>
      <c r="U130" s="70"/>
      <c r="V130" s="70"/>
      <c r="W130" s="70"/>
      <c r="X130" s="70"/>
      <c r="Y130" s="70"/>
      <c r="Z130" s="70"/>
      <c r="AA130" s="70"/>
      <c r="AB130" s="70"/>
      <c r="AC130" s="70"/>
      <c r="AD130" s="70"/>
    </row>
    <row r="131" spans="1:30" s="18" customFormat="1" x14ac:dyDescent="0.2">
      <c r="A131" s="76"/>
      <c r="B131" s="64"/>
      <c r="C131" s="20"/>
      <c r="D131" s="21"/>
      <c r="E131" s="24"/>
      <c r="F131" s="36"/>
      <c r="G131" s="45"/>
      <c r="H131" s="45"/>
      <c r="I131" s="390"/>
      <c r="J131" s="45"/>
      <c r="K131" s="45"/>
      <c r="L131" s="45"/>
      <c r="M131" s="45"/>
      <c r="N131" s="45"/>
      <c r="O131" s="45"/>
      <c r="P131" s="45"/>
      <c r="Q131" s="45"/>
      <c r="R131" s="45"/>
      <c r="S131" s="45"/>
      <c r="T131" s="70"/>
      <c r="U131" s="70"/>
      <c r="V131" s="70"/>
      <c r="W131" s="70"/>
      <c r="X131" s="70"/>
      <c r="Y131" s="70"/>
      <c r="Z131" s="70"/>
      <c r="AA131" s="70"/>
      <c r="AB131" s="70"/>
      <c r="AC131" s="70"/>
      <c r="AD131" s="70"/>
    </row>
    <row r="132" spans="1:30" s="18" customFormat="1" x14ac:dyDescent="0.2">
      <c r="A132" s="76"/>
      <c r="B132" s="64"/>
      <c r="C132" s="20"/>
      <c r="D132" s="21"/>
      <c r="E132" s="24"/>
      <c r="F132" s="36"/>
      <c r="G132" s="45"/>
      <c r="H132" s="45"/>
      <c r="I132" s="390"/>
      <c r="J132" s="45"/>
      <c r="K132" s="45"/>
      <c r="L132" s="45"/>
      <c r="M132" s="45"/>
      <c r="N132" s="45"/>
      <c r="O132" s="45"/>
      <c r="P132" s="45"/>
      <c r="Q132" s="45"/>
      <c r="R132" s="45"/>
      <c r="S132" s="45"/>
      <c r="T132" s="70"/>
      <c r="U132" s="70"/>
      <c r="V132" s="70"/>
      <c r="W132" s="70"/>
      <c r="X132" s="70"/>
      <c r="Y132" s="70"/>
      <c r="Z132" s="70"/>
      <c r="AA132" s="70"/>
      <c r="AB132" s="70"/>
      <c r="AC132" s="70"/>
      <c r="AD132" s="70"/>
    </row>
    <row r="133" spans="1:30" x14ac:dyDescent="0.2">
      <c r="G133" s="46"/>
      <c r="H133" s="46"/>
      <c r="J133" s="46"/>
      <c r="K133" s="46"/>
      <c r="L133" s="46"/>
      <c r="M133" s="46"/>
      <c r="N133" s="46"/>
      <c r="O133" s="46"/>
      <c r="P133" s="46"/>
      <c r="Q133" s="46"/>
      <c r="R133" s="46"/>
      <c r="S133" s="46"/>
    </row>
    <row r="134" spans="1:30" x14ac:dyDescent="0.2">
      <c r="G134" s="46"/>
      <c r="H134" s="46"/>
      <c r="J134" s="46"/>
      <c r="K134" s="46"/>
      <c r="L134" s="46"/>
      <c r="M134" s="46"/>
      <c r="N134" s="46"/>
      <c r="O134" s="46"/>
      <c r="P134" s="46"/>
      <c r="Q134" s="46"/>
      <c r="R134" s="46"/>
      <c r="S134" s="46"/>
    </row>
    <row r="135" spans="1:30" x14ac:dyDescent="0.2">
      <c r="G135" s="46"/>
      <c r="H135" s="46"/>
      <c r="J135" s="46"/>
      <c r="K135" s="46"/>
      <c r="L135" s="46"/>
      <c r="M135" s="46"/>
      <c r="N135" s="46"/>
      <c r="O135" s="46"/>
      <c r="P135" s="46"/>
      <c r="Q135" s="46"/>
      <c r="R135" s="46"/>
      <c r="S135" s="46"/>
    </row>
    <row r="136" spans="1:30" x14ac:dyDescent="0.2">
      <c r="G136" s="46"/>
      <c r="H136" s="46"/>
      <c r="J136" s="46"/>
      <c r="K136" s="46"/>
      <c r="L136" s="46"/>
      <c r="M136" s="46"/>
      <c r="N136" s="46"/>
      <c r="O136" s="46"/>
      <c r="P136" s="46"/>
      <c r="Q136" s="46"/>
      <c r="R136" s="46"/>
      <c r="S136" s="46"/>
    </row>
    <row r="137" spans="1:30" x14ac:dyDescent="0.2">
      <c r="G137" s="46"/>
      <c r="H137" s="46"/>
      <c r="J137" s="46"/>
      <c r="K137" s="46"/>
      <c r="L137" s="46"/>
      <c r="M137" s="46"/>
      <c r="N137" s="46"/>
      <c r="O137" s="46"/>
      <c r="P137" s="46"/>
      <c r="Q137" s="46"/>
      <c r="R137" s="46"/>
      <c r="S137" s="46"/>
    </row>
    <row r="138" spans="1:30" x14ac:dyDescent="0.2">
      <c r="G138" s="46"/>
      <c r="H138" s="46"/>
      <c r="J138" s="46"/>
      <c r="K138" s="46"/>
      <c r="L138" s="46"/>
      <c r="M138" s="46"/>
      <c r="N138" s="46"/>
      <c r="O138" s="46"/>
      <c r="P138" s="46"/>
      <c r="Q138" s="46"/>
      <c r="R138" s="46"/>
      <c r="S138" s="46"/>
    </row>
    <row r="139" spans="1:30" x14ac:dyDescent="0.2">
      <c r="G139" s="46"/>
      <c r="H139" s="46"/>
      <c r="J139" s="46"/>
      <c r="K139" s="46"/>
      <c r="L139" s="46"/>
      <c r="M139" s="46"/>
      <c r="N139" s="46"/>
      <c r="O139" s="46"/>
      <c r="P139" s="46"/>
      <c r="Q139" s="46"/>
      <c r="R139" s="46"/>
      <c r="S139" s="46"/>
    </row>
    <row r="140" spans="1:30" x14ac:dyDescent="0.2">
      <c r="G140" s="46"/>
      <c r="H140" s="46"/>
      <c r="J140" s="46"/>
      <c r="K140" s="46"/>
      <c r="L140" s="46"/>
      <c r="M140" s="46"/>
      <c r="N140" s="46"/>
      <c r="O140" s="46"/>
      <c r="P140" s="46"/>
      <c r="Q140" s="46"/>
      <c r="R140" s="46"/>
      <c r="S140" s="46"/>
    </row>
    <row r="141" spans="1:30" x14ac:dyDescent="0.2">
      <c r="G141" s="46"/>
      <c r="H141" s="46"/>
      <c r="J141" s="46"/>
      <c r="K141" s="46"/>
      <c r="L141" s="46"/>
      <c r="M141" s="46"/>
      <c r="N141" s="46"/>
      <c r="O141" s="46"/>
      <c r="P141" s="46"/>
      <c r="Q141" s="46"/>
      <c r="R141" s="46"/>
      <c r="S141" s="46"/>
    </row>
    <row r="142" spans="1:30" x14ac:dyDescent="0.2">
      <c r="G142" s="46"/>
      <c r="H142" s="46"/>
      <c r="J142" s="46"/>
      <c r="K142" s="46"/>
      <c r="L142" s="46"/>
      <c r="M142" s="46"/>
      <c r="N142" s="46"/>
      <c r="O142" s="46"/>
      <c r="P142" s="46"/>
      <c r="Q142" s="46"/>
      <c r="R142" s="46"/>
      <c r="S142" s="46"/>
    </row>
    <row r="143" spans="1:30" x14ac:dyDescent="0.2">
      <c r="G143" s="46"/>
      <c r="H143" s="46"/>
      <c r="J143" s="46"/>
      <c r="K143" s="46"/>
      <c r="L143" s="46"/>
      <c r="M143" s="46"/>
      <c r="N143" s="46"/>
      <c r="O143" s="46"/>
      <c r="P143" s="46"/>
      <c r="Q143" s="46"/>
      <c r="R143" s="46"/>
      <c r="S143" s="46"/>
    </row>
    <row r="144" spans="1:30" x14ac:dyDescent="0.2">
      <c r="G144" s="46"/>
      <c r="H144" s="46"/>
      <c r="J144" s="46"/>
      <c r="K144" s="46"/>
      <c r="L144" s="46"/>
      <c r="M144" s="46"/>
      <c r="N144" s="46"/>
      <c r="O144" s="46"/>
      <c r="P144" s="46"/>
      <c r="Q144" s="46"/>
      <c r="R144" s="46"/>
      <c r="S144" s="46"/>
    </row>
    <row r="145" spans="7:19" x14ac:dyDescent="0.2">
      <c r="G145" s="46"/>
      <c r="H145" s="46"/>
      <c r="J145" s="46"/>
      <c r="K145" s="46"/>
      <c r="L145" s="46"/>
      <c r="M145" s="46"/>
      <c r="N145" s="46"/>
      <c r="O145" s="46"/>
      <c r="P145" s="46"/>
      <c r="Q145" s="46"/>
      <c r="R145" s="46"/>
      <c r="S145" s="46"/>
    </row>
    <row r="146" spans="7:19" x14ac:dyDescent="0.2">
      <c r="G146" s="46"/>
      <c r="H146" s="46"/>
      <c r="J146" s="46"/>
      <c r="K146" s="46"/>
      <c r="L146" s="46"/>
      <c r="M146" s="46"/>
      <c r="N146" s="46"/>
      <c r="O146" s="46"/>
      <c r="P146" s="46"/>
      <c r="Q146" s="46"/>
      <c r="R146" s="46"/>
      <c r="S146" s="46"/>
    </row>
    <row r="147" spans="7:19" x14ac:dyDescent="0.2">
      <c r="G147" s="46"/>
      <c r="H147" s="46"/>
      <c r="J147" s="46"/>
      <c r="K147" s="46"/>
      <c r="L147" s="46"/>
      <c r="M147" s="46"/>
      <c r="N147" s="46"/>
      <c r="O147" s="46"/>
      <c r="P147" s="46"/>
      <c r="Q147" s="46"/>
      <c r="R147" s="46"/>
      <c r="S147" s="46"/>
    </row>
    <row r="148" spans="7:19" x14ac:dyDescent="0.2">
      <c r="G148" s="46"/>
      <c r="H148" s="46"/>
      <c r="J148" s="46"/>
      <c r="K148" s="46"/>
      <c r="L148" s="46"/>
      <c r="M148" s="46"/>
      <c r="N148" s="46"/>
      <c r="O148" s="46"/>
      <c r="P148" s="46"/>
      <c r="Q148" s="46"/>
      <c r="R148" s="46"/>
      <c r="S148" s="46"/>
    </row>
    <row r="149" spans="7:19" x14ac:dyDescent="0.2">
      <c r="G149" s="46"/>
      <c r="H149" s="46"/>
      <c r="J149" s="46"/>
      <c r="K149" s="46"/>
      <c r="L149" s="46"/>
      <c r="M149" s="46"/>
      <c r="N149" s="46"/>
      <c r="O149" s="46"/>
      <c r="P149" s="46"/>
      <c r="Q149" s="46"/>
      <c r="R149" s="46"/>
      <c r="S149" s="46"/>
    </row>
    <row r="150" spans="7:19" x14ac:dyDescent="0.2">
      <c r="G150" s="46"/>
      <c r="H150" s="46"/>
      <c r="J150" s="46"/>
      <c r="K150" s="46"/>
      <c r="L150" s="46"/>
      <c r="M150" s="46"/>
      <c r="N150" s="46"/>
      <c r="O150" s="46"/>
      <c r="P150" s="46"/>
      <c r="Q150" s="46"/>
      <c r="R150" s="46"/>
      <c r="S150" s="46"/>
    </row>
    <row r="151" spans="7:19" x14ac:dyDescent="0.2">
      <c r="G151" s="46"/>
      <c r="H151" s="46"/>
      <c r="J151" s="46"/>
      <c r="K151" s="46"/>
      <c r="L151" s="46"/>
      <c r="M151" s="46"/>
      <c r="N151" s="46"/>
      <c r="O151" s="46"/>
      <c r="P151" s="46"/>
      <c r="Q151" s="46"/>
      <c r="R151" s="46"/>
      <c r="S151" s="46"/>
    </row>
    <row r="152" spans="7:19" x14ac:dyDescent="0.2">
      <c r="G152" s="46"/>
      <c r="H152" s="46"/>
      <c r="J152" s="46"/>
      <c r="K152" s="46"/>
      <c r="L152" s="46"/>
      <c r="M152" s="46"/>
      <c r="N152" s="46"/>
      <c r="O152" s="46"/>
      <c r="P152" s="46"/>
      <c r="Q152" s="46"/>
      <c r="R152" s="46"/>
      <c r="S152" s="46"/>
    </row>
    <row r="153" spans="7:19" x14ac:dyDescent="0.2">
      <c r="G153" s="46"/>
      <c r="H153" s="46"/>
      <c r="J153" s="46"/>
      <c r="K153" s="46"/>
      <c r="L153" s="46"/>
      <c r="M153" s="46"/>
      <c r="N153" s="46"/>
      <c r="O153" s="46"/>
      <c r="P153" s="46"/>
      <c r="Q153" s="46"/>
      <c r="R153" s="46"/>
      <c r="S153" s="46"/>
    </row>
    <row r="154" spans="7:19" x14ac:dyDescent="0.2">
      <c r="G154" s="46"/>
      <c r="H154" s="46"/>
      <c r="J154" s="46"/>
      <c r="K154" s="46"/>
      <c r="L154" s="46"/>
      <c r="M154" s="46"/>
      <c r="N154" s="46"/>
      <c r="O154" s="46"/>
      <c r="P154" s="46"/>
      <c r="Q154" s="46"/>
      <c r="R154" s="46"/>
      <c r="S154" s="46"/>
    </row>
    <row r="155" spans="7:19" x14ac:dyDescent="0.2">
      <c r="G155" s="46"/>
      <c r="H155" s="46"/>
      <c r="J155" s="46"/>
      <c r="K155" s="46"/>
      <c r="L155" s="46"/>
      <c r="M155" s="46"/>
      <c r="N155" s="46"/>
      <c r="O155" s="46"/>
      <c r="P155" s="46"/>
      <c r="Q155" s="46"/>
      <c r="R155" s="46"/>
      <c r="S155" s="46"/>
    </row>
    <row r="156" spans="7:19" x14ac:dyDescent="0.2">
      <c r="G156" s="46"/>
      <c r="H156" s="46"/>
      <c r="J156" s="46"/>
      <c r="K156" s="46"/>
      <c r="L156" s="46"/>
      <c r="M156" s="46"/>
      <c r="N156" s="46"/>
      <c r="O156" s="46"/>
      <c r="P156" s="46"/>
      <c r="Q156" s="46"/>
      <c r="R156" s="46"/>
      <c r="S156" s="46"/>
    </row>
    <row r="157" spans="7:19" x14ac:dyDescent="0.2">
      <c r="G157" s="46"/>
      <c r="H157" s="46"/>
      <c r="J157" s="46"/>
      <c r="K157" s="46"/>
      <c r="L157" s="46"/>
      <c r="M157" s="46"/>
      <c r="N157" s="46"/>
      <c r="O157" s="46"/>
      <c r="P157" s="46"/>
      <c r="Q157" s="46"/>
      <c r="R157" s="46"/>
      <c r="S157" s="46"/>
    </row>
    <row r="158" spans="7:19" x14ac:dyDescent="0.2">
      <c r="G158" s="46"/>
      <c r="H158" s="46"/>
      <c r="J158" s="46"/>
      <c r="K158" s="46"/>
      <c r="L158" s="46"/>
      <c r="M158" s="46"/>
      <c r="N158" s="46"/>
      <c r="O158" s="46"/>
      <c r="P158" s="46"/>
      <c r="Q158" s="46"/>
      <c r="R158" s="46"/>
      <c r="S158" s="46"/>
    </row>
    <row r="159" spans="7:19" x14ac:dyDescent="0.2">
      <c r="G159" s="46"/>
      <c r="H159" s="46"/>
      <c r="J159" s="46"/>
      <c r="K159" s="46"/>
      <c r="L159" s="46"/>
      <c r="M159" s="46"/>
      <c r="N159" s="46"/>
      <c r="O159" s="46"/>
      <c r="P159" s="46"/>
      <c r="Q159" s="46"/>
      <c r="R159" s="46"/>
      <c r="S159" s="46"/>
    </row>
    <row r="160" spans="7:19" x14ac:dyDescent="0.2">
      <c r="G160" s="46"/>
      <c r="H160" s="46"/>
      <c r="J160" s="46"/>
      <c r="K160" s="46"/>
      <c r="L160" s="46"/>
      <c r="M160" s="46"/>
      <c r="N160" s="46"/>
      <c r="O160" s="46"/>
      <c r="P160" s="46"/>
      <c r="Q160" s="46"/>
      <c r="R160" s="46"/>
      <c r="S160" s="46"/>
    </row>
    <row r="161" spans="7:19" x14ac:dyDescent="0.2">
      <c r="G161" s="46"/>
      <c r="H161" s="46"/>
      <c r="J161" s="46"/>
      <c r="K161" s="46"/>
      <c r="L161" s="46"/>
      <c r="M161" s="46"/>
      <c r="N161" s="46"/>
      <c r="O161" s="46"/>
      <c r="P161" s="46"/>
      <c r="Q161" s="46"/>
      <c r="R161" s="46"/>
      <c r="S161" s="46"/>
    </row>
    <row r="162" spans="7:19" x14ac:dyDescent="0.2">
      <c r="G162" s="46"/>
      <c r="H162" s="46"/>
      <c r="J162" s="46"/>
      <c r="K162" s="46"/>
      <c r="L162" s="46"/>
      <c r="M162" s="46"/>
      <c r="N162" s="46"/>
      <c r="O162" s="46"/>
      <c r="P162" s="46"/>
      <c r="Q162" s="46"/>
      <c r="R162" s="46"/>
      <c r="S162" s="46"/>
    </row>
    <row r="163" spans="7:19" x14ac:dyDescent="0.2">
      <c r="G163" s="46"/>
      <c r="H163" s="46"/>
      <c r="J163" s="46"/>
      <c r="K163" s="46"/>
      <c r="L163" s="46"/>
      <c r="M163" s="46"/>
      <c r="N163" s="46"/>
      <c r="O163" s="46"/>
      <c r="P163" s="46"/>
      <c r="Q163" s="46"/>
      <c r="R163" s="46"/>
      <c r="S163" s="46"/>
    </row>
    <row r="164" spans="7:19" x14ac:dyDescent="0.2">
      <c r="G164" s="46"/>
      <c r="H164" s="46"/>
      <c r="J164" s="46"/>
      <c r="K164" s="46"/>
      <c r="L164" s="46"/>
      <c r="M164" s="46"/>
      <c r="N164" s="46"/>
      <c r="O164" s="46"/>
      <c r="P164" s="46"/>
      <c r="Q164" s="46"/>
      <c r="R164" s="46"/>
      <c r="S164" s="46"/>
    </row>
    <row r="165" spans="7:19" x14ac:dyDescent="0.2">
      <c r="G165" s="46"/>
      <c r="H165" s="46"/>
      <c r="J165" s="46"/>
      <c r="K165" s="46"/>
      <c r="L165" s="46"/>
      <c r="M165" s="46"/>
      <c r="N165" s="46"/>
      <c r="O165" s="46"/>
      <c r="P165" s="46"/>
      <c r="Q165" s="46"/>
      <c r="R165" s="46"/>
      <c r="S165" s="46"/>
    </row>
    <row r="166" spans="7:19" x14ac:dyDescent="0.2">
      <c r="G166" s="46"/>
      <c r="H166" s="46"/>
      <c r="J166" s="46"/>
      <c r="K166" s="46"/>
      <c r="L166" s="46"/>
      <c r="M166" s="46"/>
      <c r="N166" s="46"/>
      <c r="O166" s="46"/>
      <c r="P166" s="46"/>
      <c r="Q166" s="46"/>
      <c r="R166" s="46"/>
      <c r="S166" s="46"/>
    </row>
    <row r="167" spans="7:19" x14ac:dyDescent="0.2">
      <c r="G167" s="46"/>
      <c r="H167" s="46"/>
      <c r="J167" s="46"/>
      <c r="K167" s="46"/>
      <c r="L167" s="46"/>
      <c r="M167" s="46"/>
      <c r="N167" s="46"/>
      <c r="O167" s="46"/>
      <c r="P167" s="46"/>
      <c r="Q167" s="46"/>
      <c r="R167" s="46"/>
      <c r="S167" s="46"/>
    </row>
    <row r="168" spans="7:19" x14ac:dyDescent="0.2">
      <c r="G168" s="46"/>
      <c r="H168" s="46"/>
      <c r="J168" s="46"/>
      <c r="K168" s="46"/>
      <c r="L168" s="46"/>
      <c r="M168" s="46"/>
      <c r="N168" s="46"/>
      <c r="O168" s="46"/>
      <c r="P168" s="46"/>
      <c r="Q168" s="46"/>
      <c r="R168" s="46"/>
      <c r="S168" s="46"/>
    </row>
    <row r="169" spans="7:19" x14ac:dyDescent="0.2">
      <c r="G169" s="46"/>
      <c r="H169" s="46"/>
      <c r="J169" s="46"/>
      <c r="K169" s="46"/>
      <c r="L169" s="46"/>
      <c r="M169" s="46"/>
      <c r="N169" s="46"/>
      <c r="O169" s="46"/>
      <c r="P169" s="46"/>
      <c r="Q169" s="46"/>
      <c r="R169" s="46"/>
      <c r="S169" s="46"/>
    </row>
    <row r="170" spans="7:19" x14ac:dyDescent="0.2">
      <c r="G170" s="46"/>
      <c r="H170" s="46"/>
      <c r="J170" s="46"/>
      <c r="K170" s="46"/>
      <c r="L170" s="46"/>
      <c r="M170" s="46"/>
      <c r="N170" s="46"/>
      <c r="O170" s="46"/>
      <c r="P170" s="46"/>
      <c r="Q170" s="46"/>
      <c r="R170" s="46"/>
      <c r="S170" s="46"/>
    </row>
    <row r="171" spans="7:19" x14ac:dyDescent="0.2">
      <c r="G171" s="46"/>
      <c r="H171" s="46"/>
      <c r="J171" s="46"/>
      <c r="K171" s="46"/>
      <c r="L171" s="46"/>
      <c r="M171" s="46"/>
      <c r="N171" s="46"/>
      <c r="O171" s="46"/>
      <c r="P171" s="46"/>
      <c r="Q171" s="46"/>
      <c r="R171" s="46"/>
      <c r="S171" s="46"/>
    </row>
    <row r="172" spans="7:19" x14ac:dyDescent="0.2">
      <c r="G172" s="46"/>
      <c r="H172" s="46"/>
      <c r="J172" s="46"/>
      <c r="K172" s="46"/>
      <c r="L172" s="46"/>
      <c r="M172" s="46"/>
      <c r="N172" s="46"/>
      <c r="O172" s="46"/>
      <c r="P172" s="46"/>
      <c r="Q172" s="46"/>
      <c r="R172" s="46"/>
      <c r="S172" s="46"/>
    </row>
    <row r="173" spans="7:19" x14ac:dyDescent="0.2">
      <c r="G173" s="46"/>
      <c r="H173" s="46"/>
      <c r="J173" s="46"/>
      <c r="K173" s="46"/>
      <c r="L173" s="46"/>
      <c r="M173" s="46"/>
      <c r="N173" s="46"/>
      <c r="O173" s="46"/>
      <c r="P173" s="46"/>
      <c r="Q173" s="46"/>
      <c r="R173" s="46"/>
      <c r="S173" s="46"/>
    </row>
    <row r="174" spans="7:19" x14ac:dyDescent="0.2">
      <c r="G174" s="46"/>
      <c r="H174" s="46"/>
      <c r="J174" s="46"/>
      <c r="K174" s="46"/>
      <c r="L174" s="46"/>
      <c r="M174" s="46"/>
      <c r="N174" s="46"/>
      <c r="O174" s="46"/>
      <c r="P174" s="46"/>
      <c r="Q174" s="46"/>
      <c r="R174" s="46"/>
      <c r="S174" s="46"/>
    </row>
    <row r="175" spans="7:19" x14ac:dyDescent="0.2">
      <c r="G175" s="46"/>
      <c r="H175" s="46"/>
      <c r="J175" s="46"/>
      <c r="K175" s="46"/>
      <c r="L175" s="46"/>
      <c r="M175" s="46"/>
      <c r="N175" s="46"/>
      <c r="O175" s="46"/>
      <c r="P175" s="46"/>
      <c r="Q175" s="46"/>
      <c r="R175" s="46"/>
      <c r="S175" s="46"/>
    </row>
    <row r="176" spans="7:19" x14ac:dyDescent="0.2">
      <c r="G176" s="46"/>
      <c r="H176" s="46"/>
      <c r="J176" s="46"/>
      <c r="K176" s="46"/>
      <c r="L176" s="46"/>
      <c r="M176" s="46"/>
      <c r="N176" s="46"/>
      <c r="O176" s="46"/>
      <c r="P176" s="46"/>
      <c r="Q176" s="46"/>
      <c r="R176" s="46"/>
      <c r="S176" s="46"/>
    </row>
    <row r="177" spans="7:19" x14ac:dyDescent="0.2">
      <c r="G177" s="46"/>
      <c r="H177" s="46"/>
      <c r="J177" s="46"/>
      <c r="K177" s="46"/>
      <c r="L177" s="46"/>
      <c r="M177" s="46"/>
      <c r="N177" s="46"/>
      <c r="O177" s="46"/>
      <c r="P177" s="46"/>
      <c r="Q177" s="46"/>
      <c r="R177" s="46"/>
      <c r="S177" s="46"/>
    </row>
    <row r="178" spans="7:19" x14ac:dyDescent="0.2">
      <c r="G178" s="46"/>
      <c r="H178" s="46"/>
      <c r="J178" s="46"/>
      <c r="K178" s="46"/>
      <c r="L178" s="46"/>
      <c r="M178" s="46"/>
      <c r="N178" s="46"/>
      <c r="O178" s="46"/>
      <c r="P178" s="46"/>
      <c r="Q178" s="46"/>
      <c r="R178" s="46"/>
      <c r="S178" s="46"/>
    </row>
    <row r="179" spans="7:19" x14ac:dyDescent="0.2">
      <c r="G179" s="46"/>
      <c r="H179" s="46"/>
      <c r="J179" s="46"/>
      <c r="K179" s="46"/>
      <c r="L179" s="46"/>
      <c r="M179" s="46"/>
      <c r="N179" s="46"/>
      <c r="O179" s="46"/>
      <c r="P179" s="46"/>
      <c r="Q179" s="46"/>
      <c r="R179" s="46"/>
      <c r="S179" s="46"/>
    </row>
    <row r="180" spans="7:19" x14ac:dyDescent="0.2">
      <c r="G180" s="46"/>
      <c r="H180" s="46"/>
      <c r="J180" s="46"/>
      <c r="K180" s="46"/>
      <c r="L180" s="46"/>
      <c r="M180" s="46"/>
      <c r="N180" s="46"/>
      <c r="O180" s="46"/>
      <c r="P180" s="46"/>
      <c r="Q180" s="46"/>
      <c r="R180" s="46"/>
      <c r="S180" s="46"/>
    </row>
    <row r="181" spans="7:19" x14ac:dyDescent="0.2">
      <c r="G181" s="46"/>
      <c r="H181" s="46"/>
      <c r="J181" s="46"/>
      <c r="K181" s="46"/>
      <c r="L181" s="46"/>
      <c r="M181" s="46"/>
      <c r="N181" s="46"/>
      <c r="O181" s="46"/>
      <c r="P181" s="46"/>
      <c r="Q181" s="46"/>
      <c r="R181" s="46"/>
      <c r="S181" s="46"/>
    </row>
    <row r="182" spans="7:19" x14ac:dyDescent="0.2">
      <c r="G182" s="46"/>
      <c r="H182" s="46"/>
      <c r="J182" s="46"/>
      <c r="K182" s="46"/>
      <c r="L182" s="46"/>
      <c r="M182" s="46"/>
      <c r="N182" s="46"/>
      <c r="O182" s="46"/>
      <c r="P182" s="46"/>
      <c r="Q182" s="46"/>
      <c r="R182" s="46"/>
      <c r="S182" s="46"/>
    </row>
    <row r="183" spans="7:19" x14ac:dyDescent="0.2">
      <c r="G183" s="46"/>
      <c r="H183" s="46"/>
      <c r="J183" s="46"/>
      <c r="K183" s="46"/>
      <c r="L183" s="46"/>
      <c r="M183" s="46"/>
      <c r="N183" s="46"/>
      <c r="O183" s="46"/>
      <c r="P183" s="46"/>
      <c r="Q183" s="46"/>
      <c r="R183" s="46"/>
      <c r="S183" s="46"/>
    </row>
    <row r="184" spans="7:19" x14ac:dyDescent="0.2">
      <c r="G184" s="46"/>
      <c r="H184" s="46"/>
      <c r="J184" s="46"/>
      <c r="K184" s="46"/>
      <c r="L184" s="46"/>
      <c r="M184" s="46"/>
      <c r="N184" s="46"/>
      <c r="O184" s="46"/>
      <c r="P184" s="46"/>
      <c r="Q184" s="46"/>
      <c r="R184" s="46"/>
      <c r="S184" s="46"/>
    </row>
    <row r="185" spans="7:19" x14ac:dyDescent="0.2">
      <c r="G185" s="46"/>
      <c r="H185" s="46"/>
      <c r="J185" s="46"/>
      <c r="K185" s="46"/>
      <c r="L185" s="46"/>
      <c r="M185" s="46"/>
      <c r="N185" s="46"/>
      <c r="O185" s="46"/>
      <c r="P185" s="46"/>
      <c r="Q185" s="46"/>
      <c r="R185" s="46"/>
      <c r="S185" s="46"/>
    </row>
    <row r="186" spans="7:19" x14ac:dyDescent="0.2">
      <c r="G186" s="46"/>
      <c r="H186" s="46"/>
      <c r="J186" s="46"/>
      <c r="K186" s="46"/>
      <c r="L186" s="46"/>
      <c r="M186" s="46"/>
      <c r="N186" s="46"/>
      <c r="O186" s="46"/>
      <c r="P186" s="46"/>
      <c r="Q186" s="46"/>
      <c r="R186" s="46"/>
      <c r="S186" s="46"/>
    </row>
    <row r="187" spans="7:19" x14ac:dyDescent="0.2">
      <c r="G187" s="46"/>
      <c r="H187" s="46"/>
      <c r="J187" s="46"/>
      <c r="K187" s="46"/>
      <c r="L187" s="46"/>
      <c r="M187" s="46"/>
      <c r="N187" s="46"/>
      <c r="O187" s="46"/>
      <c r="P187" s="46"/>
      <c r="Q187" s="46"/>
      <c r="R187" s="46"/>
      <c r="S187" s="46"/>
    </row>
    <row r="188" spans="7:19" x14ac:dyDescent="0.2">
      <c r="G188" s="46"/>
      <c r="H188" s="46"/>
      <c r="J188" s="46"/>
      <c r="K188" s="46"/>
      <c r="L188" s="46"/>
      <c r="M188" s="46"/>
      <c r="N188" s="46"/>
      <c r="O188" s="46"/>
      <c r="P188" s="46"/>
      <c r="Q188" s="46"/>
      <c r="R188" s="46"/>
      <c r="S188" s="46"/>
    </row>
    <row r="189" spans="7:19" x14ac:dyDescent="0.2">
      <c r="G189" s="46"/>
      <c r="H189" s="46"/>
      <c r="J189" s="46"/>
      <c r="K189" s="46"/>
      <c r="L189" s="46"/>
      <c r="M189" s="46"/>
      <c r="N189" s="46"/>
      <c r="O189" s="46"/>
      <c r="P189" s="46"/>
      <c r="Q189" s="46"/>
      <c r="R189" s="46"/>
      <c r="S189" s="46"/>
    </row>
    <row r="190" spans="7:19" x14ac:dyDescent="0.2">
      <c r="G190" s="46"/>
      <c r="H190" s="46"/>
      <c r="J190" s="46"/>
      <c r="K190" s="46"/>
      <c r="L190" s="46"/>
      <c r="M190" s="46"/>
      <c r="N190" s="46"/>
      <c r="O190" s="46"/>
      <c r="P190" s="46"/>
      <c r="Q190" s="46"/>
      <c r="R190" s="46"/>
      <c r="S190" s="46"/>
    </row>
    <row r="191" spans="7:19" x14ac:dyDescent="0.2">
      <c r="G191" s="46"/>
      <c r="H191" s="46"/>
      <c r="J191" s="46"/>
      <c r="K191" s="46"/>
      <c r="L191" s="46"/>
      <c r="M191" s="46"/>
      <c r="N191" s="46"/>
      <c r="O191" s="46"/>
      <c r="P191" s="46"/>
      <c r="Q191" s="46"/>
      <c r="R191" s="46"/>
      <c r="S191" s="46"/>
    </row>
    <row r="192" spans="7:19" x14ac:dyDescent="0.2">
      <c r="G192" s="46"/>
      <c r="H192" s="46"/>
      <c r="J192" s="46"/>
      <c r="K192" s="46"/>
      <c r="L192" s="46"/>
      <c r="M192" s="46"/>
      <c r="N192" s="46"/>
      <c r="O192" s="46"/>
      <c r="P192" s="46"/>
      <c r="Q192" s="46"/>
      <c r="R192" s="46"/>
      <c r="S192" s="46"/>
    </row>
    <row r="193" spans="7:19" x14ac:dyDescent="0.2">
      <c r="G193" s="46"/>
      <c r="H193" s="46"/>
      <c r="J193" s="46"/>
      <c r="K193" s="46"/>
      <c r="L193" s="46"/>
      <c r="M193" s="46"/>
      <c r="N193" s="46"/>
      <c r="O193" s="46"/>
      <c r="P193" s="46"/>
      <c r="Q193" s="46"/>
      <c r="R193" s="46"/>
      <c r="S193" s="46"/>
    </row>
    <row r="194" spans="7:19" x14ac:dyDescent="0.2">
      <c r="G194" s="46"/>
      <c r="H194" s="46"/>
      <c r="J194" s="46"/>
      <c r="K194" s="46"/>
      <c r="L194" s="46"/>
      <c r="M194" s="46"/>
      <c r="N194" s="46"/>
      <c r="O194" s="46"/>
      <c r="P194" s="46"/>
      <c r="Q194" s="46"/>
      <c r="R194" s="46"/>
      <c r="S194" s="46"/>
    </row>
    <row r="195" spans="7:19" x14ac:dyDescent="0.2">
      <c r="G195" s="46"/>
      <c r="H195" s="46"/>
      <c r="J195" s="46"/>
      <c r="K195" s="46"/>
      <c r="L195" s="46"/>
      <c r="M195" s="46"/>
      <c r="N195" s="46"/>
      <c r="O195" s="46"/>
      <c r="P195" s="46"/>
      <c r="Q195" s="46"/>
      <c r="R195" s="46"/>
      <c r="S195" s="46"/>
    </row>
    <row r="196" spans="7:19" x14ac:dyDescent="0.2">
      <c r="G196" s="46"/>
      <c r="H196" s="46"/>
      <c r="J196" s="46"/>
      <c r="K196" s="46"/>
      <c r="L196" s="46"/>
      <c r="M196" s="46"/>
      <c r="N196" s="46"/>
      <c r="O196" s="46"/>
      <c r="P196" s="46"/>
      <c r="Q196" s="46"/>
      <c r="R196" s="46"/>
      <c r="S196" s="46"/>
    </row>
    <row r="197" spans="7:19" x14ac:dyDescent="0.2">
      <c r="G197" s="46"/>
      <c r="H197" s="46"/>
      <c r="J197" s="46"/>
      <c r="K197" s="46"/>
      <c r="L197" s="46"/>
      <c r="M197" s="46"/>
      <c r="N197" s="46"/>
      <c r="O197" s="46"/>
      <c r="P197" s="46"/>
      <c r="Q197" s="46"/>
      <c r="R197" s="46"/>
      <c r="S197" s="46"/>
    </row>
    <row r="198" spans="7:19" x14ac:dyDescent="0.2">
      <c r="G198" s="46"/>
      <c r="H198" s="46"/>
      <c r="J198" s="46"/>
      <c r="K198" s="46"/>
      <c r="L198" s="46"/>
      <c r="M198" s="46"/>
      <c r="N198" s="46"/>
      <c r="O198" s="46"/>
      <c r="P198" s="46"/>
      <c r="Q198" s="46"/>
      <c r="R198" s="46"/>
      <c r="S198" s="46"/>
    </row>
    <row r="199" spans="7:19" x14ac:dyDescent="0.2">
      <c r="G199" s="46"/>
      <c r="H199" s="46"/>
      <c r="J199" s="46"/>
      <c r="K199" s="46"/>
      <c r="L199" s="46"/>
      <c r="M199" s="46"/>
      <c r="N199" s="46"/>
      <c r="O199" s="46"/>
      <c r="P199" s="46"/>
      <c r="Q199" s="46"/>
      <c r="R199" s="46"/>
      <c r="S199" s="46"/>
    </row>
    <row r="200" spans="7:19" x14ac:dyDescent="0.2">
      <c r="G200" s="46"/>
      <c r="H200" s="46"/>
      <c r="J200" s="46"/>
      <c r="K200" s="46"/>
      <c r="L200" s="46"/>
      <c r="M200" s="46"/>
      <c r="N200" s="46"/>
      <c r="O200" s="46"/>
      <c r="P200" s="46"/>
      <c r="Q200" s="46"/>
      <c r="R200" s="46"/>
      <c r="S200" s="46"/>
    </row>
    <row r="201" spans="7:19" x14ac:dyDescent="0.2">
      <c r="G201" s="46"/>
      <c r="H201" s="46"/>
      <c r="J201" s="46"/>
      <c r="K201" s="46"/>
      <c r="L201" s="46"/>
      <c r="M201" s="46"/>
      <c r="N201" s="46"/>
      <c r="O201" s="46"/>
      <c r="P201" s="46"/>
      <c r="Q201" s="46"/>
      <c r="R201" s="46"/>
      <c r="S201" s="46"/>
    </row>
    <row r="202" spans="7:19" x14ac:dyDescent="0.2">
      <c r="G202" s="46"/>
      <c r="H202" s="46"/>
      <c r="J202" s="46"/>
      <c r="K202" s="46"/>
      <c r="L202" s="46"/>
      <c r="M202" s="46"/>
      <c r="N202" s="46"/>
      <c r="O202" s="46"/>
      <c r="P202" s="46"/>
      <c r="Q202" s="46"/>
      <c r="R202" s="46"/>
      <c r="S202" s="46"/>
    </row>
    <row r="203" spans="7:19" x14ac:dyDescent="0.2">
      <c r="G203" s="46"/>
      <c r="H203" s="46"/>
      <c r="J203" s="46"/>
      <c r="K203" s="46"/>
      <c r="L203" s="46"/>
      <c r="M203" s="46"/>
      <c r="N203" s="46"/>
      <c r="O203" s="46"/>
      <c r="P203" s="46"/>
      <c r="Q203" s="46"/>
      <c r="R203" s="46"/>
      <c r="S203" s="46"/>
    </row>
    <row r="204" spans="7:19" x14ac:dyDescent="0.2">
      <c r="G204" s="46"/>
      <c r="H204" s="46"/>
      <c r="J204" s="46"/>
      <c r="K204" s="46"/>
      <c r="L204" s="46"/>
      <c r="M204" s="46"/>
      <c r="N204" s="46"/>
      <c r="O204" s="46"/>
      <c r="P204" s="46"/>
      <c r="Q204" s="46"/>
      <c r="R204" s="46"/>
      <c r="S204" s="46"/>
    </row>
    <row r="205" spans="7:19" x14ac:dyDescent="0.2">
      <c r="G205" s="46"/>
      <c r="H205" s="46"/>
      <c r="J205" s="46"/>
      <c r="K205" s="46"/>
      <c r="L205" s="46"/>
      <c r="M205" s="46"/>
      <c r="N205" s="46"/>
      <c r="O205" s="46"/>
      <c r="P205" s="46"/>
      <c r="Q205" s="46"/>
      <c r="R205" s="46"/>
      <c r="S205" s="46"/>
    </row>
    <row r="206" spans="7:19" x14ac:dyDescent="0.2">
      <c r="G206" s="46"/>
      <c r="H206" s="46"/>
      <c r="J206" s="46"/>
      <c r="K206" s="46"/>
      <c r="L206" s="46"/>
      <c r="M206" s="46"/>
      <c r="N206" s="46"/>
      <c r="O206" s="46"/>
      <c r="P206" s="46"/>
      <c r="Q206" s="46"/>
      <c r="R206" s="46"/>
      <c r="S206" s="46"/>
    </row>
    <row r="207" spans="7:19" x14ac:dyDescent="0.2">
      <c r="G207" s="46"/>
      <c r="H207" s="46"/>
      <c r="J207" s="46"/>
      <c r="K207" s="46"/>
      <c r="L207" s="46"/>
      <c r="M207" s="46"/>
      <c r="N207" s="46"/>
      <c r="O207" s="46"/>
      <c r="P207" s="46"/>
      <c r="Q207" s="46"/>
      <c r="R207" s="46"/>
      <c r="S207" s="46"/>
    </row>
    <row r="208" spans="7:19" x14ac:dyDescent="0.2">
      <c r="G208" s="46"/>
      <c r="H208" s="46"/>
      <c r="J208" s="46"/>
      <c r="K208" s="46"/>
      <c r="L208" s="46"/>
      <c r="M208" s="46"/>
      <c r="N208" s="46"/>
      <c r="O208" s="46"/>
      <c r="P208" s="46"/>
      <c r="Q208" s="46"/>
      <c r="R208" s="46"/>
      <c r="S208" s="46"/>
    </row>
    <row r="209" spans="7:19" x14ac:dyDescent="0.2">
      <c r="G209" s="46"/>
      <c r="H209" s="46"/>
      <c r="J209" s="46"/>
      <c r="K209" s="46"/>
      <c r="L209" s="46"/>
      <c r="M209" s="46"/>
      <c r="N209" s="46"/>
      <c r="O209" s="46"/>
      <c r="P209" s="46"/>
      <c r="Q209" s="46"/>
      <c r="R209" s="46"/>
      <c r="S209" s="46"/>
    </row>
    <row r="210" spans="7:19" x14ac:dyDescent="0.2">
      <c r="G210" s="46"/>
      <c r="H210" s="46"/>
      <c r="J210" s="46"/>
      <c r="K210" s="46"/>
      <c r="L210" s="46"/>
      <c r="M210" s="46"/>
      <c r="N210" s="46"/>
      <c r="O210" s="46"/>
      <c r="P210" s="46"/>
      <c r="Q210" s="46"/>
      <c r="R210" s="46"/>
      <c r="S210" s="46"/>
    </row>
    <row r="211" spans="7:19" x14ac:dyDescent="0.2">
      <c r="G211" s="46"/>
      <c r="H211" s="46"/>
      <c r="J211" s="46"/>
      <c r="K211" s="46"/>
      <c r="L211" s="46"/>
      <c r="M211" s="46"/>
      <c r="N211" s="46"/>
      <c r="O211" s="46"/>
      <c r="P211" s="46"/>
      <c r="Q211" s="46"/>
      <c r="R211" s="46"/>
      <c r="S211" s="46"/>
    </row>
    <row r="212" spans="7:19" x14ac:dyDescent="0.2">
      <c r="G212" s="46"/>
      <c r="H212" s="46"/>
      <c r="J212" s="46"/>
      <c r="K212" s="46"/>
      <c r="L212" s="46"/>
      <c r="M212" s="46"/>
      <c r="N212" s="46"/>
      <c r="O212" s="46"/>
      <c r="P212" s="46"/>
      <c r="Q212" s="46"/>
      <c r="R212" s="46"/>
      <c r="S212" s="46"/>
    </row>
    <row r="213" spans="7:19" x14ac:dyDescent="0.2">
      <c r="G213" s="46"/>
      <c r="H213" s="46"/>
      <c r="J213" s="46"/>
      <c r="K213" s="46"/>
      <c r="L213" s="46"/>
      <c r="M213" s="46"/>
      <c r="N213" s="46"/>
      <c r="O213" s="46"/>
      <c r="P213" s="46"/>
      <c r="Q213" s="46"/>
      <c r="R213" s="46"/>
      <c r="S213" s="46"/>
    </row>
    <row r="214" spans="7:19" x14ac:dyDescent="0.2">
      <c r="G214" s="46"/>
      <c r="H214" s="46"/>
      <c r="J214" s="46"/>
      <c r="K214" s="46"/>
      <c r="L214" s="46"/>
      <c r="M214" s="46"/>
      <c r="N214" s="46"/>
      <c r="O214" s="46"/>
      <c r="P214" s="46"/>
      <c r="Q214" s="46"/>
      <c r="R214" s="46"/>
      <c r="S214" s="46"/>
    </row>
    <row r="215" spans="7:19" x14ac:dyDescent="0.2">
      <c r="G215" s="46"/>
      <c r="H215" s="46"/>
      <c r="J215" s="46"/>
      <c r="K215" s="46"/>
      <c r="L215" s="46"/>
      <c r="M215" s="46"/>
      <c r="N215" s="46"/>
      <c r="O215" s="46"/>
      <c r="P215" s="46"/>
      <c r="Q215" s="46"/>
      <c r="R215" s="46"/>
      <c r="S215" s="46"/>
    </row>
    <row r="216" spans="7:19" x14ac:dyDescent="0.2">
      <c r="G216" s="46"/>
      <c r="H216" s="46"/>
      <c r="J216" s="46"/>
      <c r="K216" s="46"/>
      <c r="L216" s="46"/>
      <c r="M216" s="46"/>
      <c r="N216" s="46"/>
      <c r="O216" s="46"/>
      <c r="P216" s="46"/>
      <c r="Q216" s="46"/>
      <c r="R216" s="46"/>
      <c r="S216" s="46"/>
    </row>
    <row r="217" spans="7:19" x14ac:dyDescent="0.2">
      <c r="G217" s="46"/>
      <c r="H217" s="46"/>
      <c r="J217" s="46"/>
      <c r="K217" s="46"/>
      <c r="L217" s="46"/>
      <c r="M217" s="46"/>
      <c r="N217" s="46"/>
      <c r="O217" s="46"/>
      <c r="P217" s="46"/>
      <c r="Q217" s="46"/>
      <c r="R217" s="46"/>
      <c r="S217" s="46"/>
    </row>
    <row r="218" spans="7:19" x14ac:dyDescent="0.2">
      <c r="G218" s="46"/>
      <c r="H218" s="46"/>
      <c r="J218" s="46"/>
      <c r="K218" s="46"/>
      <c r="L218" s="46"/>
      <c r="M218" s="46"/>
      <c r="N218" s="46"/>
      <c r="O218" s="46"/>
      <c r="P218" s="46"/>
      <c r="Q218" s="46"/>
      <c r="R218" s="46"/>
      <c r="S218" s="46"/>
    </row>
    <row r="219" spans="7:19" x14ac:dyDescent="0.2">
      <c r="G219" s="46"/>
      <c r="H219" s="46"/>
      <c r="J219" s="46"/>
      <c r="K219" s="46"/>
      <c r="L219" s="46"/>
      <c r="M219" s="46"/>
      <c r="N219" s="46"/>
      <c r="O219" s="46"/>
      <c r="P219" s="46"/>
      <c r="Q219" s="46"/>
      <c r="R219" s="46"/>
      <c r="S219" s="46"/>
    </row>
    <row r="220" spans="7:19" x14ac:dyDescent="0.2">
      <c r="G220" s="46"/>
      <c r="H220" s="46"/>
      <c r="J220" s="46"/>
      <c r="K220" s="46"/>
      <c r="L220" s="46"/>
      <c r="M220" s="46"/>
      <c r="N220" s="46"/>
      <c r="O220" s="46"/>
      <c r="P220" s="46"/>
      <c r="Q220" s="46"/>
      <c r="R220" s="46"/>
      <c r="S220" s="46"/>
    </row>
    <row r="221" spans="7:19" x14ac:dyDescent="0.2">
      <c r="G221" s="46"/>
      <c r="H221" s="46"/>
      <c r="J221" s="46"/>
      <c r="K221" s="46"/>
      <c r="L221" s="46"/>
      <c r="M221" s="46"/>
      <c r="N221" s="46"/>
      <c r="O221" s="46"/>
      <c r="P221" s="46"/>
      <c r="Q221" s="46"/>
      <c r="R221" s="46"/>
      <c r="S221" s="46"/>
    </row>
    <row r="222" spans="7:19" x14ac:dyDescent="0.2">
      <c r="G222" s="46"/>
      <c r="H222" s="46"/>
      <c r="J222" s="46"/>
      <c r="K222" s="46"/>
      <c r="L222" s="46"/>
      <c r="M222" s="46"/>
      <c r="N222" s="46"/>
      <c r="O222" s="46"/>
      <c r="P222" s="46"/>
      <c r="Q222" s="46"/>
      <c r="R222" s="46"/>
      <c r="S222" s="46"/>
    </row>
    <row r="223" spans="7:19" x14ac:dyDescent="0.2">
      <c r="G223" s="46"/>
      <c r="H223" s="46"/>
      <c r="J223" s="46"/>
      <c r="K223" s="46"/>
      <c r="L223" s="46"/>
      <c r="M223" s="46"/>
      <c r="N223" s="46"/>
      <c r="O223" s="46"/>
      <c r="P223" s="46"/>
      <c r="Q223" s="46"/>
      <c r="R223" s="46"/>
      <c r="S223" s="46"/>
    </row>
    <row r="224" spans="7:19" x14ac:dyDescent="0.2">
      <c r="G224" s="46"/>
      <c r="H224" s="46"/>
      <c r="J224" s="46"/>
      <c r="K224" s="46"/>
      <c r="L224" s="46"/>
      <c r="M224" s="46"/>
      <c r="N224" s="46"/>
      <c r="O224" s="46"/>
      <c r="P224" s="46"/>
      <c r="Q224" s="46"/>
      <c r="R224" s="46"/>
      <c r="S224" s="46"/>
    </row>
    <row r="225" spans="7:19" x14ac:dyDescent="0.2">
      <c r="G225" s="46"/>
      <c r="H225" s="46"/>
      <c r="J225" s="46"/>
      <c r="K225" s="46"/>
      <c r="L225" s="46"/>
      <c r="M225" s="46"/>
      <c r="N225" s="46"/>
      <c r="O225" s="46"/>
      <c r="P225" s="46"/>
      <c r="Q225" s="46"/>
      <c r="R225" s="46"/>
      <c r="S225" s="46"/>
    </row>
    <row r="226" spans="7:19" x14ac:dyDescent="0.2">
      <c r="G226" s="46"/>
      <c r="H226" s="46"/>
      <c r="J226" s="46"/>
      <c r="K226" s="46"/>
      <c r="L226" s="46"/>
      <c r="M226" s="46"/>
      <c r="N226" s="46"/>
      <c r="O226" s="46"/>
      <c r="P226" s="46"/>
      <c r="Q226" s="46"/>
      <c r="R226" s="46"/>
      <c r="S226" s="46"/>
    </row>
    <row r="227" spans="7:19" x14ac:dyDescent="0.2">
      <c r="G227" s="46"/>
      <c r="H227" s="46"/>
      <c r="J227" s="46"/>
      <c r="K227" s="46"/>
      <c r="L227" s="46"/>
      <c r="M227" s="46"/>
      <c r="N227" s="46"/>
      <c r="O227" s="46"/>
      <c r="P227" s="46"/>
      <c r="Q227" s="46"/>
      <c r="R227" s="46"/>
      <c r="S227" s="46"/>
    </row>
    <row r="228" spans="7:19" x14ac:dyDescent="0.2">
      <c r="G228" s="46"/>
      <c r="H228" s="46"/>
      <c r="J228" s="46"/>
      <c r="K228" s="46"/>
      <c r="L228" s="46"/>
      <c r="M228" s="46"/>
      <c r="N228" s="46"/>
      <c r="O228" s="46"/>
      <c r="P228" s="46"/>
      <c r="Q228" s="46"/>
      <c r="R228" s="46"/>
      <c r="S228" s="46"/>
    </row>
    <row r="229" spans="7:19" x14ac:dyDescent="0.2">
      <c r="G229" s="46"/>
      <c r="H229" s="46"/>
      <c r="J229" s="46"/>
      <c r="K229" s="46"/>
      <c r="L229" s="46"/>
      <c r="M229" s="46"/>
      <c r="N229" s="46"/>
      <c r="O229" s="46"/>
      <c r="P229" s="46"/>
      <c r="Q229" s="46"/>
      <c r="R229" s="46"/>
      <c r="S229" s="46"/>
    </row>
    <row r="230" spans="7:19" x14ac:dyDescent="0.2">
      <c r="G230" s="46"/>
      <c r="H230" s="46"/>
      <c r="J230" s="46"/>
      <c r="K230" s="46"/>
      <c r="L230" s="46"/>
      <c r="M230" s="46"/>
      <c r="N230" s="46"/>
      <c r="O230" s="46"/>
      <c r="P230" s="46"/>
      <c r="Q230" s="46"/>
      <c r="R230" s="46"/>
      <c r="S230" s="46"/>
    </row>
    <row r="231" spans="7:19" x14ac:dyDescent="0.2">
      <c r="G231" s="46"/>
      <c r="H231" s="46"/>
      <c r="J231" s="46"/>
      <c r="K231" s="46"/>
      <c r="L231" s="46"/>
      <c r="M231" s="46"/>
      <c r="N231" s="46"/>
      <c r="O231" s="46"/>
      <c r="P231" s="46"/>
      <c r="Q231" s="46"/>
      <c r="R231" s="46"/>
      <c r="S231" s="46"/>
    </row>
    <row r="232" spans="7:19" x14ac:dyDescent="0.2">
      <c r="G232" s="46"/>
      <c r="H232" s="46"/>
      <c r="J232" s="46"/>
      <c r="K232" s="46"/>
      <c r="L232" s="46"/>
      <c r="M232" s="46"/>
      <c r="N232" s="46"/>
      <c r="O232" s="46"/>
      <c r="P232" s="46"/>
      <c r="Q232" s="46"/>
      <c r="R232" s="46"/>
      <c r="S232" s="46"/>
    </row>
    <row r="233" spans="7:19" x14ac:dyDescent="0.2">
      <c r="G233" s="46"/>
      <c r="H233" s="46"/>
      <c r="J233" s="46"/>
      <c r="K233" s="46"/>
      <c r="L233" s="46"/>
      <c r="M233" s="46"/>
      <c r="N233" s="46"/>
      <c r="O233" s="46"/>
      <c r="P233" s="46"/>
      <c r="Q233" s="46"/>
      <c r="R233" s="46"/>
      <c r="S233" s="46"/>
    </row>
    <row r="234" spans="7:19" x14ac:dyDescent="0.2">
      <c r="G234" s="46"/>
      <c r="H234" s="46"/>
      <c r="J234" s="46"/>
      <c r="K234" s="46"/>
      <c r="L234" s="46"/>
      <c r="M234" s="46"/>
      <c r="N234" s="46"/>
      <c r="O234" s="46"/>
      <c r="P234" s="46"/>
      <c r="Q234" s="46"/>
      <c r="R234" s="46"/>
      <c r="S234" s="46"/>
    </row>
    <row r="235" spans="7:19" x14ac:dyDescent="0.2">
      <c r="G235" s="46"/>
      <c r="H235" s="46"/>
      <c r="J235" s="46"/>
      <c r="K235" s="46"/>
      <c r="L235" s="46"/>
      <c r="M235" s="46"/>
      <c r="N235" s="46"/>
      <c r="O235" s="46"/>
      <c r="P235" s="46"/>
      <c r="Q235" s="46"/>
      <c r="R235" s="46"/>
      <c r="S235" s="46"/>
    </row>
    <row r="236" spans="7:19" x14ac:dyDescent="0.2">
      <c r="G236" s="46"/>
      <c r="H236" s="46"/>
      <c r="J236" s="46"/>
      <c r="K236" s="46"/>
      <c r="L236" s="46"/>
      <c r="M236" s="46"/>
      <c r="N236" s="46"/>
      <c r="O236" s="46"/>
      <c r="P236" s="46"/>
      <c r="Q236" s="46"/>
      <c r="R236" s="46"/>
      <c r="S236" s="46"/>
    </row>
    <row r="237" spans="7:19" x14ac:dyDescent="0.2">
      <c r="G237" s="46"/>
      <c r="H237" s="46"/>
      <c r="J237" s="46"/>
      <c r="K237" s="46"/>
      <c r="L237" s="46"/>
      <c r="M237" s="46"/>
      <c r="N237" s="46"/>
      <c r="O237" s="46"/>
      <c r="P237" s="46"/>
      <c r="Q237" s="46"/>
      <c r="R237" s="46"/>
      <c r="S237" s="46"/>
    </row>
    <row r="238" spans="7:19" x14ac:dyDescent="0.2">
      <c r="G238" s="46"/>
      <c r="H238" s="46"/>
      <c r="J238" s="46"/>
      <c r="K238" s="46"/>
      <c r="L238" s="46"/>
      <c r="M238" s="46"/>
      <c r="N238" s="46"/>
      <c r="O238" s="46"/>
      <c r="P238" s="46"/>
      <c r="Q238" s="46"/>
      <c r="R238" s="46"/>
      <c r="S238" s="46"/>
    </row>
    <row r="239" spans="7:19" x14ac:dyDescent="0.2">
      <c r="G239" s="46"/>
      <c r="H239" s="46"/>
      <c r="J239" s="46"/>
      <c r="K239" s="46"/>
      <c r="L239" s="46"/>
      <c r="M239" s="46"/>
      <c r="N239" s="46"/>
      <c r="O239" s="46"/>
      <c r="P239" s="46"/>
      <c r="Q239" s="46"/>
      <c r="R239" s="46"/>
      <c r="S239" s="46"/>
    </row>
    <row r="240" spans="7:19" x14ac:dyDescent="0.2">
      <c r="G240" s="46"/>
      <c r="H240" s="46"/>
      <c r="J240" s="46"/>
      <c r="K240" s="46"/>
      <c r="L240" s="46"/>
      <c r="M240" s="46"/>
      <c r="N240" s="46"/>
      <c r="O240" s="46"/>
      <c r="P240" s="46"/>
      <c r="Q240" s="46"/>
      <c r="R240" s="46"/>
      <c r="S240" s="46"/>
    </row>
    <row r="241" spans="7:19" x14ac:dyDescent="0.2">
      <c r="G241" s="46"/>
      <c r="H241" s="46"/>
      <c r="J241" s="46"/>
      <c r="K241" s="46"/>
      <c r="L241" s="46"/>
      <c r="M241" s="46"/>
      <c r="N241" s="46"/>
      <c r="O241" s="46"/>
      <c r="P241" s="46"/>
      <c r="Q241" s="46"/>
      <c r="R241" s="46"/>
      <c r="S241" s="46"/>
    </row>
    <row r="242" spans="7:19" x14ac:dyDescent="0.2">
      <c r="G242" s="46"/>
      <c r="H242" s="46"/>
      <c r="J242" s="46"/>
      <c r="K242" s="46"/>
      <c r="L242" s="46"/>
      <c r="M242" s="46"/>
      <c r="N242" s="46"/>
      <c r="O242" s="46"/>
      <c r="P242" s="46"/>
      <c r="Q242" s="46"/>
      <c r="R242" s="46"/>
      <c r="S242" s="46"/>
    </row>
    <row r="243" spans="7:19" x14ac:dyDescent="0.2">
      <c r="G243" s="46"/>
      <c r="H243" s="46"/>
      <c r="J243" s="46"/>
      <c r="K243" s="46"/>
      <c r="L243" s="46"/>
      <c r="M243" s="46"/>
      <c r="N243" s="46"/>
      <c r="O243" s="46"/>
      <c r="P243" s="46"/>
      <c r="Q243" s="46"/>
      <c r="R243" s="46"/>
      <c r="S243" s="46"/>
    </row>
    <row r="244" spans="7:19" x14ac:dyDescent="0.2">
      <c r="G244" s="46"/>
      <c r="H244" s="46"/>
      <c r="J244" s="46"/>
      <c r="K244" s="46"/>
      <c r="L244" s="46"/>
      <c r="M244" s="46"/>
      <c r="N244" s="46"/>
      <c r="O244" s="46"/>
      <c r="P244" s="46"/>
      <c r="Q244" s="46"/>
      <c r="R244" s="46"/>
      <c r="S244" s="46"/>
    </row>
    <row r="245" spans="7:19" x14ac:dyDescent="0.2">
      <c r="G245" s="46"/>
      <c r="H245" s="46"/>
      <c r="J245" s="46"/>
      <c r="K245" s="46"/>
      <c r="L245" s="46"/>
      <c r="M245" s="46"/>
      <c r="N245" s="46"/>
      <c r="O245" s="46"/>
      <c r="P245" s="46"/>
      <c r="Q245" s="46"/>
      <c r="R245" s="46"/>
      <c r="S245" s="46"/>
    </row>
    <row r="246" spans="7:19" x14ac:dyDescent="0.2">
      <c r="G246" s="46"/>
      <c r="H246" s="46"/>
      <c r="J246" s="46"/>
      <c r="K246" s="46"/>
      <c r="L246" s="46"/>
      <c r="M246" s="46"/>
      <c r="N246" s="46"/>
      <c r="O246" s="46"/>
      <c r="P246" s="46"/>
      <c r="Q246" s="46"/>
      <c r="R246" s="46"/>
      <c r="S246" s="46"/>
    </row>
    <row r="247" spans="7:19" x14ac:dyDescent="0.2">
      <c r="G247" s="46"/>
      <c r="H247" s="46"/>
      <c r="J247" s="46"/>
      <c r="K247" s="46"/>
      <c r="L247" s="46"/>
      <c r="M247" s="46"/>
      <c r="N247" s="46"/>
      <c r="O247" s="46"/>
      <c r="P247" s="46"/>
      <c r="Q247" s="46"/>
      <c r="R247" s="46"/>
      <c r="S247" s="46"/>
    </row>
    <row r="248" spans="7:19" x14ac:dyDescent="0.2">
      <c r="G248" s="46"/>
      <c r="H248" s="46"/>
      <c r="J248" s="46"/>
      <c r="K248" s="46"/>
      <c r="L248" s="46"/>
      <c r="M248" s="46"/>
      <c r="N248" s="46"/>
      <c r="O248" s="46"/>
      <c r="P248" s="46"/>
      <c r="Q248" s="46"/>
      <c r="R248" s="46"/>
      <c r="S248" s="46"/>
    </row>
    <row r="249" spans="7:19" x14ac:dyDescent="0.2">
      <c r="G249" s="46"/>
      <c r="H249" s="46"/>
      <c r="J249" s="46"/>
      <c r="K249" s="46"/>
      <c r="L249" s="46"/>
      <c r="M249" s="46"/>
      <c r="N249" s="46"/>
      <c r="O249" s="46"/>
      <c r="P249" s="46"/>
      <c r="Q249" s="46"/>
      <c r="R249" s="46"/>
      <c r="S249" s="46"/>
    </row>
    <row r="250" spans="7:19" x14ac:dyDescent="0.2">
      <c r="G250" s="46"/>
      <c r="H250" s="46"/>
      <c r="J250" s="46"/>
      <c r="K250" s="46"/>
      <c r="L250" s="46"/>
      <c r="M250" s="46"/>
      <c r="N250" s="46"/>
      <c r="O250" s="46"/>
      <c r="P250" s="46"/>
      <c r="Q250" s="46"/>
      <c r="R250" s="46"/>
      <c r="S250" s="46"/>
    </row>
  </sheetData>
  <mergeCells count="2">
    <mergeCell ref="D12:G12"/>
    <mergeCell ref="J12:S12"/>
  </mergeCells>
  <phoneticPr fontId="0" type="noConversion"/>
  <printOptions horizontalCentered="1"/>
  <pageMargins left="0" right="0" top="0.5" bottom="0.5" header="0.25" footer="0.28000000000000003"/>
  <pageSetup paperSize="17" scale="60" orientation="landscape" cellComments="asDisplayed" r:id="rId1"/>
  <headerFooter alignWithMargins="0">
    <oddFooter>&amp;C&amp;A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A1:U196"/>
  <sheetViews>
    <sheetView zoomScaleNormal="100" workbookViewId="0">
      <selection activeCell="C9" sqref="C9"/>
    </sheetView>
  </sheetViews>
  <sheetFormatPr defaultRowHeight="12.75" x14ac:dyDescent="0.2"/>
  <cols>
    <col min="1" max="1" width="2.85546875" style="71" customWidth="1"/>
    <col min="2" max="2" width="51" style="65" customWidth="1"/>
    <col min="3" max="3" width="10.7109375" customWidth="1"/>
    <col min="4" max="4" width="12.28515625" customWidth="1"/>
    <col min="5" max="5" width="9.7109375" customWidth="1"/>
    <col min="6" max="6" width="14.7109375" style="173" customWidth="1"/>
    <col min="7" max="7" width="14.7109375" style="37" bestFit="1" customWidth="1"/>
    <col min="8" max="8" width="4.140625" style="47" customWidth="1"/>
    <col min="9" max="9" width="11.85546875" style="371" customWidth="1"/>
    <col min="10" max="10" width="14.42578125" style="47" customWidth="1"/>
    <col min="11" max="13" width="10.28515625" style="47" customWidth="1"/>
    <col min="14" max="14" width="16.7109375" style="47" customWidth="1"/>
    <col min="15" max="15" width="10.5703125" style="47" customWidth="1"/>
    <col min="16" max="21" width="9.140625" style="7"/>
  </cols>
  <sheetData>
    <row r="1" spans="1:21" x14ac:dyDescent="0.2">
      <c r="B1" s="144" t="s">
        <v>225</v>
      </c>
      <c r="E1" s="111" t="s">
        <v>76</v>
      </c>
      <c r="F1" s="318"/>
      <c r="M1" s="405" t="s">
        <v>204</v>
      </c>
      <c r="N1" s="447" t="s">
        <v>233</v>
      </c>
      <c r="O1" s="444"/>
    </row>
    <row r="2" spans="1:21" x14ac:dyDescent="0.2">
      <c r="B2" s="170" t="s">
        <v>134</v>
      </c>
      <c r="C2" s="448">
        <v>0.35</v>
      </c>
      <c r="E2" s="32" t="s">
        <v>135</v>
      </c>
      <c r="N2" s="445"/>
      <c r="O2" s="444"/>
    </row>
    <row r="3" spans="1:21" x14ac:dyDescent="0.2">
      <c r="B3" s="492" t="s">
        <v>362</v>
      </c>
      <c r="C3" s="315"/>
      <c r="E3" s="32"/>
      <c r="H3" s="120"/>
      <c r="I3" s="372"/>
      <c r="J3" s="120"/>
      <c r="K3" s="120"/>
      <c r="N3" s="446"/>
      <c r="O3" s="444"/>
    </row>
    <row r="4" spans="1:21" ht="15" customHeight="1" x14ac:dyDescent="0.2">
      <c r="B4" s="53"/>
      <c r="C4" s="1"/>
      <c r="D4" s="1"/>
      <c r="E4" s="1"/>
      <c r="F4" s="174"/>
      <c r="G4" s="22"/>
      <c r="H4" s="121"/>
      <c r="I4" s="373"/>
      <c r="J4" s="121"/>
      <c r="K4" s="121"/>
      <c r="N4" s="446"/>
      <c r="O4" s="89"/>
    </row>
    <row r="5" spans="1:21" s="2" customFormat="1" ht="15" customHeight="1" x14ac:dyDescent="0.2">
      <c r="A5" s="71"/>
      <c r="B5" s="97"/>
      <c r="C5" s="504" t="s">
        <v>72</v>
      </c>
      <c r="D5" s="505"/>
      <c r="E5" s="505"/>
      <c r="F5" s="505"/>
      <c r="G5" s="506"/>
      <c r="H5" s="118"/>
      <c r="I5" s="374"/>
      <c r="J5" s="507" t="s">
        <v>78</v>
      </c>
      <c r="K5" s="508"/>
      <c r="L5" s="508"/>
      <c r="M5" s="508"/>
      <c r="N5" s="508"/>
      <c r="O5" s="509"/>
      <c r="P5" s="66"/>
      <c r="Q5" s="66"/>
      <c r="R5" s="66"/>
      <c r="S5" s="66"/>
      <c r="T5" s="66"/>
      <c r="U5" s="66"/>
    </row>
    <row r="6" spans="1:21" s="67" customFormat="1" ht="45.75" customHeight="1" x14ac:dyDescent="0.2">
      <c r="A6" s="72"/>
      <c r="B6" s="104" t="s">
        <v>0</v>
      </c>
      <c r="C6" s="105" t="s">
        <v>97</v>
      </c>
      <c r="D6" s="105" t="s">
        <v>88</v>
      </c>
      <c r="E6" s="106" t="s">
        <v>130</v>
      </c>
      <c r="F6" s="191" t="s">
        <v>305</v>
      </c>
      <c r="G6" s="191" t="s">
        <v>194</v>
      </c>
      <c r="H6" s="122"/>
      <c r="I6" s="375" t="s">
        <v>77</v>
      </c>
      <c r="J6" s="217" t="s">
        <v>87</v>
      </c>
      <c r="K6" s="222" t="s">
        <v>94</v>
      </c>
      <c r="L6" s="222" t="s">
        <v>95</v>
      </c>
      <c r="M6" s="222" t="s">
        <v>197</v>
      </c>
      <c r="N6" s="222" t="s">
        <v>194</v>
      </c>
      <c r="O6" s="222" t="s">
        <v>244</v>
      </c>
    </row>
    <row r="7" spans="1:21" ht="15" customHeight="1" x14ac:dyDescent="0.2">
      <c r="B7" s="54"/>
      <c r="C7" s="11"/>
      <c r="D7" s="6"/>
      <c r="E7" s="6"/>
      <c r="F7" s="175"/>
      <c r="G7" s="31"/>
      <c r="H7" s="112"/>
      <c r="I7" s="376"/>
      <c r="J7" s="112"/>
      <c r="K7" s="30"/>
      <c r="L7" s="30"/>
      <c r="M7" s="30"/>
      <c r="N7" s="31"/>
      <c r="O7" s="112"/>
    </row>
    <row r="8" spans="1:21" ht="15" customHeight="1" x14ac:dyDescent="0.2">
      <c r="A8" s="73"/>
      <c r="B8" s="57" t="s">
        <v>103</v>
      </c>
      <c r="C8" s="11"/>
      <c r="D8" s="6"/>
      <c r="E8" s="6"/>
      <c r="F8" s="176"/>
      <c r="G8" s="51"/>
      <c r="H8" s="112"/>
      <c r="I8" s="376"/>
      <c r="J8" s="112"/>
      <c r="K8" s="50"/>
      <c r="L8" s="50"/>
      <c r="M8" s="50"/>
      <c r="N8" s="51"/>
      <c r="O8" s="112"/>
    </row>
    <row r="9" spans="1:21" ht="15" customHeight="1" x14ac:dyDescent="0.2">
      <c r="A9" s="75"/>
      <c r="B9" s="166" t="s">
        <v>101</v>
      </c>
      <c r="C9" s="300">
        <v>2011</v>
      </c>
      <c r="D9" s="300">
        <f>Ref_SF_area</f>
        <v>1289000</v>
      </c>
      <c r="E9" s="162">
        <v>1</v>
      </c>
      <c r="F9" s="177">
        <f>ROUND(123030*CA_union_labor/US_avg_labor,-3)</f>
        <v>194000</v>
      </c>
      <c r="G9" s="50">
        <f t="shared" ref="G9:G18" si="0">E9*F9*(1+DL_burden)</f>
        <v>261900.00000000003</v>
      </c>
      <c r="H9" s="113"/>
      <c r="I9" s="377">
        <v>0</v>
      </c>
      <c r="J9" s="11">
        <f t="shared" ref="J9:J18" si="1">Proj_SF_Area</f>
        <v>1289000</v>
      </c>
      <c r="K9" s="155">
        <v>13</v>
      </c>
      <c r="L9" s="149">
        <f>(VLOOKUP(Cost_Yr,CI!$A$5:$AD$29,K9)/VLOOKUP($C9,CI!$A$5:$AD$29,K9))</f>
        <v>0.98776451709958879</v>
      </c>
      <c r="M9" s="298">
        <v>1</v>
      </c>
      <c r="N9" s="50">
        <f t="shared" ref="N9:N18" si="2">(G9*Labor_Cost_Factor)*L9*M9*($J9/$D9)^$I9</f>
        <v>258695.52702838232</v>
      </c>
      <c r="O9" s="434">
        <f>ROUND(E9*(J9/D9)^I9,0)</f>
        <v>1</v>
      </c>
    </row>
    <row r="10" spans="1:21" ht="15" customHeight="1" x14ac:dyDescent="0.2">
      <c r="B10" s="166" t="s">
        <v>136</v>
      </c>
      <c r="C10" s="300">
        <v>2011</v>
      </c>
      <c r="D10" s="300">
        <f t="shared" ref="D10:D18" si="3">Ref_SF_area</f>
        <v>1289000</v>
      </c>
      <c r="E10" s="162">
        <v>1</v>
      </c>
      <c r="F10" s="177">
        <f>ROUND(44430*CA_union_labor/US_avg_labor,-3)</f>
        <v>70000</v>
      </c>
      <c r="G10" s="50">
        <f t="shared" si="0"/>
        <v>94500</v>
      </c>
      <c r="H10" s="113"/>
      <c r="I10" s="377">
        <v>0</v>
      </c>
      <c r="J10" s="11">
        <f t="shared" si="1"/>
        <v>1289000</v>
      </c>
      <c r="K10" s="155">
        <v>11</v>
      </c>
      <c r="L10" s="149">
        <f>(VLOOKUP(Cost_Yr,CI!$A$5:$AD$29,K10)/VLOOKUP($C10,CI!$A$5:$AD$29,K10))</f>
        <v>0.9862804490034871</v>
      </c>
      <c r="M10" s="298">
        <v>1</v>
      </c>
      <c r="N10" s="50">
        <f t="shared" si="2"/>
        <v>93203.502430829525</v>
      </c>
      <c r="O10" s="434">
        <f t="shared" ref="O10:O18" si="4">ROUND(E10*(J10/D10)^I10,0)</f>
        <v>1</v>
      </c>
    </row>
    <row r="11" spans="1:21" ht="15" customHeight="1" x14ac:dyDescent="0.2">
      <c r="B11" s="166" t="s">
        <v>104</v>
      </c>
      <c r="C11" s="300">
        <v>2011</v>
      </c>
      <c r="D11" s="300">
        <f t="shared" si="3"/>
        <v>1289000</v>
      </c>
      <c r="E11" s="162">
        <v>1</v>
      </c>
      <c r="F11" s="177">
        <f>ROUND(117020*CA_union_labor/US_avg_labor,-3)</f>
        <v>184000</v>
      </c>
      <c r="G11" s="50">
        <f t="shared" si="0"/>
        <v>248400.00000000003</v>
      </c>
      <c r="H11" s="113"/>
      <c r="I11" s="377">
        <v>0</v>
      </c>
      <c r="J11" s="11">
        <f t="shared" si="1"/>
        <v>1289000</v>
      </c>
      <c r="K11" s="155">
        <v>13</v>
      </c>
      <c r="L11" s="149">
        <f>(VLOOKUP(Cost_Yr,CI!$A$5:$AD$29,K11)/VLOOKUP($C11,CI!$A$5:$AD$29,K11))</f>
        <v>0.98776451709958879</v>
      </c>
      <c r="M11" s="298">
        <v>1</v>
      </c>
      <c r="N11" s="50">
        <f t="shared" si="2"/>
        <v>245360.70604753788</v>
      </c>
      <c r="O11" s="434">
        <f t="shared" si="4"/>
        <v>1</v>
      </c>
    </row>
    <row r="12" spans="1:21" ht="15" customHeight="1" x14ac:dyDescent="0.2">
      <c r="B12" s="166" t="s">
        <v>105</v>
      </c>
      <c r="C12" s="300">
        <v>2011</v>
      </c>
      <c r="D12" s="300">
        <f t="shared" si="3"/>
        <v>1289000</v>
      </c>
      <c r="E12" s="162">
        <v>1</v>
      </c>
      <c r="F12" s="177">
        <f>ROUND(68500*CA_union_labor/US_avg_labor,-3)</f>
        <v>108000</v>
      </c>
      <c r="G12" s="50">
        <f t="shared" si="0"/>
        <v>145800</v>
      </c>
      <c r="H12" s="113"/>
      <c r="I12" s="377">
        <v>0</v>
      </c>
      <c r="J12" s="11">
        <f t="shared" si="1"/>
        <v>1289000</v>
      </c>
      <c r="K12" s="155">
        <v>13</v>
      </c>
      <c r="L12" s="149">
        <f>(VLOOKUP(Cost_Yr,CI!$A$5:$AD$29,K12)/VLOOKUP($C12,CI!$A$5:$AD$29,K12))</f>
        <v>0.98776451709958879</v>
      </c>
      <c r="M12" s="298">
        <v>1</v>
      </c>
      <c r="N12" s="50">
        <f t="shared" si="2"/>
        <v>144016.06659312005</v>
      </c>
      <c r="O12" s="434">
        <f t="shared" si="4"/>
        <v>1</v>
      </c>
    </row>
    <row r="13" spans="1:21" ht="15" customHeight="1" x14ac:dyDescent="0.2">
      <c r="A13" s="75"/>
      <c r="B13" s="166" t="s">
        <v>102</v>
      </c>
      <c r="C13" s="300">
        <v>2011</v>
      </c>
      <c r="D13" s="300">
        <f t="shared" si="3"/>
        <v>1289000</v>
      </c>
      <c r="E13" s="162">
        <v>1</v>
      </c>
      <c r="F13" s="177">
        <f>ROUND(69730*CA_union_labor/US_avg_labor,-3)</f>
        <v>110000</v>
      </c>
      <c r="G13" s="50">
        <f t="shared" si="0"/>
        <v>148500</v>
      </c>
      <c r="H13" s="113"/>
      <c r="I13" s="377">
        <v>0</v>
      </c>
      <c r="J13" s="11">
        <f t="shared" si="1"/>
        <v>1289000</v>
      </c>
      <c r="K13" s="155">
        <v>13</v>
      </c>
      <c r="L13" s="149">
        <f>(VLOOKUP(Cost_Yr,CI!$A$5:$AD$29,K13)/VLOOKUP($C13,CI!$A$5:$AD$29,K13))</f>
        <v>0.98776451709958879</v>
      </c>
      <c r="M13" s="298">
        <v>1</v>
      </c>
      <c r="N13" s="50">
        <f t="shared" si="2"/>
        <v>146683.03078928893</v>
      </c>
      <c r="O13" s="434">
        <f t="shared" si="4"/>
        <v>1</v>
      </c>
    </row>
    <row r="14" spans="1:21" ht="15" customHeight="1" x14ac:dyDescent="0.2">
      <c r="A14" s="75"/>
      <c r="B14" s="166" t="s">
        <v>106</v>
      </c>
      <c r="C14" s="300">
        <v>2011</v>
      </c>
      <c r="D14" s="300">
        <f t="shared" si="3"/>
        <v>1289000</v>
      </c>
      <c r="E14" s="162">
        <v>1</v>
      </c>
      <c r="F14" s="177">
        <f>ROUND(121220*CA_union_labor/US_avg_labor,-3)</f>
        <v>191000</v>
      </c>
      <c r="G14" s="50">
        <f t="shared" si="0"/>
        <v>257850.00000000003</v>
      </c>
      <c r="H14" s="113"/>
      <c r="I14" s="377">
        <v>0</v>
      </c>
      <c r="J14" s="11">
        <f t="shared" si="1"/>
        <v>1289000</v>
      </c>
      <c r="K14" s="155">
        <v>13</v>
      </c>
      <c r="L14" s="149">
        <f>(VLOOKUP(Cost_Yr,CI!$A$5:$AD$29,K14)/VLOOKUP($C14,CI!$A$5:$AD$29,K14))</f>
        <v>0.98776451709958879</v>
      </c>
      <c r="M14" s="298">
        <v>1</v>
      </c>
      <c r="N14" s="50">
        <f t="shared" si="2"/>
        <v>254695.08073412901</v>
      </c>
      <c r="O14" s="434">
        <f t="shared" si="4"/>
        <v>1</v>
      </c>
    </row>
    <row r="15" spans="1:21" ht="15" customHeight="1" x14ac:dyDescent="0.2">
      <c r="B15" s="166" t="s">
        <v>107</v>
      </c>
      <c r="C15" s="300">
        <v>2011</v>
      </c>
      <c r="D15" s="300">
        <f t="shared" si="3"/>
        <v>1289000</v>
      </c>
      <c r="E15" s="162">
        <v>1</v>
      </c>
      <c r="F15" s="177">
        <f>ROUND(85910*CA_union_labor/US_avg_labor,-3)</f>
        <v>135000</v>
      </c>
      <c r="G15" s="50">
        <f t="shared" si="0"/>
        <v>182250</v>
      </c>
      <c r="H15" s="113"/>
      <c r="I15" s="377">
        <v>0</v>
      </c>
      <c r="J15" s="11">
        <f t="shared" si="1"/>
        <v>1289000</v>
      </c>
      <c r="K15" s="155">
        <v>13</v>
      </c>
      <c r="L15" s="149">
        <f>(VLOOKUP(Cost_Yr,CI!$A$5:$AD$29,K15)/VLOOKUP($C15,CI!$A$5:$AD$29,K15))</f>
        <v>0.98776451709958879</v>
      </c>
      <c r="M15" s="298">
        <v>1</v>
      </c>
      <c r="N15" s="50">
        <f t="shared" si="2"/>
        <v>180020.08324140005</v>
      </c>
      <c r="O15" s="434">
        <f t="shared" si="4"/>
        <v>1</v>
      </c>
    </row>
    <row r="16" spans="1:21" ht="15" customHeight="1" x14ac:dyDescent="0.2">
      <c r="B16" s="166" t="s">
        <v>108</v>
      </c>
      <c r="C16" s="300">
        <v>2011</v>
      </c>
      <c r="D16" s="300">
        <f t="shared" si="3"/>
        <v>1289000</v>
      </c>
      <c r="E16" s="162">
        <v>1</v>
      </c>
      <c r="F16" s="177">
        <f>ROUND(112690*CA_union_labor/US_avg_labor,-3)</f>
        <v>178000</v>
      </c>
      <c r="G16" s="50">
        <f t="shared" si="0"/>
        <v>240300.00000000003</v>
      </c>
      <c r="H16" s="113"/>
      <c r="I16" s="377">
        <v>0</v>
      </c>
      <c r="J16" s="11">
        <f t="shared" si="1"/>
        <v>1289000</v>
      </c>
      <c r="K16" s="155">
        <v>13</v>
      </c>
      <c r="L16" s="149">
        <f>(VLOOKUP(Cost_Yr,CI!$A$5:$AD$29,K16)/VLOOKUP($C16,CI!$A$5:$AD$29,K16))</f>
        <v>0.98776451709958879</v>
      </c>
      <c r="M16" s="298">
        <v>1</v>
      </c>
      <c r="N16" s="50">
        <f t="shared" si="2"/>
        <v>237359.81345903123</v>
      </c>
      <c r="O16" s="434">
        <f t="shared" si="4"/>
        <v>1</v>
      </c>
    </row>
    <row r="17" spans="1:15" ht="15" customHeight="1" x14ac:dyDescent="0.2">
      <c r="B17" s="166" t="s">
        <v>207</v>
      </c>
      <c r="C17" s="300">
        <v>2011</v>
      </c>
      <c r="D17" s="300">
        <f t="shared" si="3"/>
        <v>1289000</v>
      </c>
      <c r="E17" s="162">
        <v>0</v>
      </c>
      <c r="F17" s="177">
        <f>ROUND(44430*CA_union_labor/US_avg_labor,-3)</f>
        <v>70000</v>
      </c>
      <c r="G17" s="50">
        <f t="shared" si="0"/>
        <v>0</v>
      </c>
      <c r="H17" s="113"/>
      <c r="I17" s="377">
        <v>0</v>
      </c>
      <c r="J17" s="11">
        <f t="shared" si="1"/>
        <v>1289000</v>
      </c>
      <c r="K17" s="155">
        <v>13</v>
      </c>
      <c r="L17" s="149">
        <f>(VLOOKUP(Cost_Yr,CI!$A$5:$AD$29,K17)/VLOOKUP($C17,CI!$A$5:$AD$29,K17))</f>
        <v>0.98776451709958879</v>
      </c>
      <c r="M17" s="298">
        <v>1</v>
      </c>
      <c r="N17" s="50">
        <f t="shared" si="2"/>
        <v>0</v>
      </c>
      <c r="O17" s="434">
        <f t="shared" si="4"/>
        <v>0</v>
      </c>
    </row>
    <row r="18" spans="1:15" ht="15" customHeight="1" x14ac:dyDescent="0.2">
      <c r="B18" s="166" t="s">
        <v>129</v>
      </c>
      <c r="C18" s="300">
        <v>2011</v>
      </c>
      <c r="D18" s="300">
        <f t="shared" si="3"/>
        <v>1289000</v>
      </c>
      <c r="E18" s="395">
        <v>0</v>
      </c>
      <c r="F18" s="177">
        <v>0</v>
      </c>
      <c r="G18" s="50">
        <f t="shared" si="0"/>
        <v>0</v>
      </c>
      <c r="H18" s="113"/>
      <c r="I18" s="377">
        <v>0</v>
      </c>
      <c r="J18" s="11">
        <f t="shared" si="1"/>
        <v>1289000</v>
      </c>
      <c r="K18" s="155">
        <v>13</v>
      </c>
      <c r="L18" s="149">
        <f>(VLOOKUP(Cost_Yr,CI!$A$5:$AD$29,K18)/VLOOKUP($C18,CI!$A$5:$AD$29,K18))</f>
        <v>0.98776451709958879</v>
      </c>
      <c r="M18" s="156">
        <v>1</v>
      </c>
      <c r="N18" s="50">
        <f t="shared" si="2"/>
        <v>0</v>
      </c>
      <c r="O18" s="434">
        <f t="shared" si="4"/>
        <v>0</v>
      </c>
    </row>
    <row r="19" spans="1:15" s="7" customFormat="1" ht="15" customHeight="1" thickBot="1" x14ac:dyDescent="0.25">
      <c r="A19" s="71"/>
      <c r="B19" s="54"/>
      <c r="C19" s="11"/>
      <c r="D19" s="188"/>
      <c r="E19" s="172">
        <f>SUM(E9:E18)</f>
        <v>8</v>
      </c>
      <c r="F19" s="162"/>
      <c r="G19" s="83">
        <f t="shared" ref="G19" si="5">SUM(G9:G18)</f>
        <v>1579500</v>
      </c>
      <c r="H19" s="114"/>
      <c r="I19" s="378"/>
      <c r="J19" s="114"/>
      <c r="K19" s="150"/>
      <c r="L19" s="150"/>
      <c r="M19" s="150"/>
      <c r="N19" s="83">
        <f t="shared" ref="N19" si="6">SUM(N9:N18)</f>
        <v>1560033.8103237192</v>
      </c>
      <c r="O19" s="435">
        <f>SUM(O9:O18)</f>
        <v>8</v>
      </c>
    </row>
    <row r="20" spans="1:15" s="7" customFormat="1" ht="15" customHeight="1" x14ac:dyDescent="0.2">
      <c r="A20" s="71"/>
      <c r="B20" s="57" t="s">
        <v>109</v>
      </c>
      <c r="C20" s="11"/>
      <c r="D20" s="188"/>
      <c r="E20" s="171"/>
      <c r="F20" s="178"/>
      <c r="G20" s="113"/>
      <c r="H20" s="114"/>
      <c r="I20" s="378"/>
      <c r="J20" s="114"/>
      <c r="K20" s="151"/>
      <c r="L20" s="151"/>
      <c r="M20" s="151"/>
      <c r="N20" s="113"/>
      <c r="O20" s="114"/>
    </row>
    <row r="21" spans="1:15" s="7" customFormat="1" ht="15" customHeight="1" x14ac:dyDescent="0.2">
      <c r="A21" s="73"/>
      <c r="B21" s="166" t="s">
        <v>110</v>
      </c>
      <c r="C21" s="300">
        <v>2011</v>
      </c>
      <c r="D21" s="300">
        <f t="shared" ref="D21:D27" si="7">Ref_SF_area</f>
        <v>1289000</v>
      </c>
      <c r="E21" s="162">
        <v>1</v>
      </c>
      <c r="F21" s="177">
        <f>ROUND(81720*CA_union_labor/US_avg_labor,-3)</f>
        <v>129000</v>
      </c>
      <c r="G21" s="50">
        <f t="shared" ref="G21:G27" si="8">E21*F21*(1+DL_burden)</f>
        <v>174150</v>
      </c>
      <c r="H21" s="113"/>
      <c r="I21" s="377">
        <v>0</v>
      </c>
      <c r="J21" s="11">
        <f t="shared" ref="J21:J27" si="9">Proj_SF_Area</f>
        <v>1289000</v>
      </c>
      <c r="K21" s="155">
        <v>13</v>
      </c>
      <c r="L21" s="149">
        <f>(VLOOKUP(Cost_Yr,CI!$A$5:$AD$29,K21)/VLOOKUP($C21,CI!$A$5:$AD$29,K21))</f>
        <v>0.98776451709958879</v>
      </c>
      <c r="M21" s="298">
        <v>1</v>
      </c>
      <c r="N21" s="50">
        <f t="shared" ref="N21:N27" si="10">(G21*Labor_Cost_Factor)*L21*M21*($J21/$D21)^$I21</f>
        <v>172019.19065289339</v>
      </c>
      <c r="O21" s="434">
        <f t="shared" ref="O21:O27" si="11">ROUND(E21*(J21/D21)^I21,0)</f>
        <v>1</v>
      </c>
    </row>
    <row r="22" spans="1:15" s="7" customFormat="1" ht="15" customHeight="1" x14ac:dyDescent="0.2">
      <c r="A22" s="71"/>
      <c r="B22" s="166" t="s">
        <v>111</v>
      </c>
      <c r="C22" s="300">
        <v>2011</v>
      </c>
      <c r="D22" s="300">
        <f t="shared" si="7"/>
        <v>1289000</v>
      </c>
      <c r="E22" s="162">
        <v>0</v>
      </c>
      <c r="F22" s="177">
        <f>ROUND(81720*CA_union_labor/US_avg_labor,-3)</f>
        <v>129000</v>
      </c>
      <c r="G22" s="50">
        <f t="shared" si="8"/>
        <v>0</v>
      </c>
      <c r="H22" s="113"/>
      <c r="I22" s="377">
        <v>0</v>
      </c>
      <c r="J22" s="11">
        <f t="shared" si="9"/>
        <v>1289000</v>
      </c>
      <c r="K22" s="155">
        <v>13</v>
      </c>
      <c r="L22" s="149">
        <f>(VLOOKUP(Cost_Yr,CI!$A$5:$AD$29,K22)/VLOOKUP($C22,CI!$A$5:$AD$29,K22))</f>
        <v>0.98776451709958879</v>
      </c>
      <c r="M22" s="298">
        <v>1</v>
      </c>
      <c r="N22" s="50">
        <f t="shared" si="10"/>
        <v>0</v>
      </c>
      <c r="O22" s="434">
        <f t="shared" si="11"/>
        <v>0</v>
      </c>
    </row>
    <row r="23" spans="1:15" s="7" customFormat="1" ht="15" customHeight="1" x14ac:dyDescent="0.2">
      <c r="A23" s="71"/>
      <c r="B23" s="166" t="s">
        <v>112</v>
      </c>
      <c r="C23" s="300">
        <v>2011</v>
      </c>
      <c r="D23" s="300">
        <f t="shared" si="7"/>
        <v>1289000</v>
      </c>
      <c r="E23" s="162">
        <v>4</v>
      </c>
      <c r="F23" s="177">
        <f>ROUND(65330*CA_union_labor/US_avg_labor,-3)</f>
        <v>103000</v>
      </c>
      <c r="G23" s="50">
        <f t="shared" si="8"/>
        <v>556200</v>
      </c>
      <c r="H23" s="113"/>
      <c r="I23" s="377">
        <v>0</v>
      </c>
      <c r="J23" s="11">
        <f t="shared" si="9"/>
        <v>1289000</v>
      </c>
      <c r="K23" s="155">
        <v>11</v>
      </c>
      <c r="L23" s="149">
        <f>(VLOOKUP(Cost_Yr,CI!$A$5:$AD$29,K23)/VLOOKUP($C23,CI!$A$5:$AD$29,K23))</f>
        <v>0.9862804490034871</v>
      </c>
      <c r="M23" s="298">
        <v>1</v>
      </c>
      <c r="N23" s="50">
        <f t="shared" si="10"/>
        <v>548569.18573573953</v>
      </c>
      <c r="O23" s="434">
        <f t="shared" si="11"/>
        <v>4</v>
      </c>
    </row>
    <row r="24" spans="1:15" s="7" customFormat="1" ht="15" customHeight="1" x14ac:dyDescent="0.2">
      <c r="A24" s="71"/>
      <c r="B24" s="166" t="s">
        <v>356</v>
      </c>
      <c r="C24" s="300">
        <v>2011</v>
      </c>
      <c r="D24" s="300">
        <f t="shared" si="7"/>
        <v>1289000</v>
      </c>
      <c r="E24" s="162">
        <v>2</v>
      </c>
      <c r="F24" s="177">
        <f>ROUND(61690*CA_union_labor/US_avg_labor,-3)</f>
        <v>97000</v>
      </c>
      <c r="G24" s="50">
        <f t="shared" si="8"/>
        <v>261900.00000000003</v>
      </c>
      <c r="H24" s="113"/>
      <c r="I24" s="377">
        <v>1</v>
      </c>
      <c r="J24" s="11">
        <f t="shared" si="9"/>
        <v>1289000</v>
      </c>
      <c r="K24" s="155">
        <v>11</v>
      </c>
      <c r="L24" s="149">
        <f>(VLOOKUP(Cost_Yr,CI!$A$5:$AD$29,K24)/VLOOKUP($C24,CI!$A$5:$AD$29,K24))</f>
        <v>0.9862804490034871</v>
      </c>
      <c r="M24" s="298">
        <v>1</v>
      </c>
      <c r="N24" s="50">
        <f t="shared" si="10"/>
        <v>258306.8495940133</v>
      </c>
      <c r="O24" s="434">
        <f t="shared" si="11"/>
        <v>2</v>
      </c>
    </row>
    <row r="25" spans="1:15" s="7" customFormat="1" ht="15" customHeight="1" x14ac:dyDescent="0.2">
      <c r="A25" s="71"/>
      <c r="B25" s="166" t="s">
        <v>113</v>
      </c>
      <c r="C25" s="300">
        <v>2011</v>
      </c>
      <c r="D25" s="300">
        <f t="shared" si="7"/>
        <v>1289000</v>
      </c>
      <c r="E25" s="162">
        <v>4</v>
      </c>
      <c r="F25" s="177">
        <f>ROUND(41540*CA_union_labor/US_avg_labor,-3)</f>
        <v>65000</v>
      </c>
      <c r="G25" s="50">
        <f t="shared" si="8"/>
        <v>351000</v>
      </c>
      <c r="H25" s="113"/>
      <c r="I25" s="377">
        <v>1</v>
      </c>
      <c r="J25" s="11">
        <f t="shared" si="9"/>
        <v>1289000</v>
      </c>
      <c r="K25" s="155">
        <v>11</v>
      </c>
      <c r="L25" s="149">
        <f>(VLOOKUP(Cost_Yr,CI!$A$5:$AD$29,K25)/VLOOKUP($C25,CI!$A$5:$AD$29,K25))</f>
        <v>0.9862804490034871</v>
      </c>
      <c r="M25" s="298">
        <v>1</v>
      </c>
      <c r="N25" s="50">
        <f t="shared" si="10"/>
        <v>346184.43760022399</v>
      </c>
      <c r="O25" s="434">
        <f t="shared" si="11"/>
        <v>4</v>
      </c>
    </row>
    <row r="26" spans="1:15" s="7" customFormat="1" ht="15" customHeight="1" x14ac:dyDescent="0.2">
      <c r="A26" s="71"/>
      <c r="B26" s="166" t="s">
        <v>128</v>
      </c>
      <c r="C26" s="300">
        <v>2011</v>
      </c>
      <c r="D26" s="300">
        <f t="shared" si="7"/>
        <v>1289000</v>
      </c>
      <c r="E26" s="162">
        <v>0</v>
      </c>
      <c r="F26" s="177">
        <v>0</v>
      </c>
      <c r="G26" s="50">
        <f t="shared" si="8"/>
        <v>0</v>
      </c>
      <c r="H26" s="113"/>
      <c r="I26" s="377">
        <v>1</v>
      </c>
      <c r="J26" s="11">
        <f t="shared" si="9"/>
        <v>1289000</v>
      </c>
      <c r="K26" s="155">
        <v>11</v>
      </c>
      <c r="L26" s="149">
        <f>(VLOOKUP(Cost_Yr,CI!$A$5:$AD$29,K26)/VLOOKUP($C26,CI!$A$5:$AD$29,K26))</f>
        <v>0.9862804490034871</v>
      </c>
      <c r="M26" s="298">
        <v>1</v>
      </c>
      <c r="N26" s="50">
        <f t="shared" si="10"/>
        <v>0</v>
      </c>
      <c r="O26" s="434">
        <f t="shared" si="11"/>
        <v>0</v>
      </c>
    </row>
    <row r="27" spans="1:15" s="7" customFormat="1" ht="15" customHeight="1" x14ac:dyDescent="0.2">
      <c r="A27" s="71"/>
      <c r="B27" s="126" t="s">
        <v>128</v>
      </c>
      <c r="C27" s="300">
        <v>2011</v>
      </c>
      <c r="D27" s="300">
        <f t="shared" si="7"/>
        <v>1289000</v>
      </c>
      <c r="E27" s="169">
        <v>0</v>
      </c>
      <c r="F27" s="177">
        <v>0</v>
      </c>
      <c r="G27" s="50">
        <f t="shared" si="8"/>
        <v>0</v>
      </c>
      <c r="H27" s="113"/>
      <c r="I27" s="377">
        <v>1</v>
      </c>
      <c r="J27" s="11">
        <f t="shared" si="9"/>
        <v>1289000</v>
      </c>
      <c r="K27" s="155">
        <v>11</v>
      </c>
      <c r="L27" s="149">
        <f>(VLOOKUP(Cost_Yr,CI!$A$5:$AD$29,K27)/VLOOKUP($C27,CI!$A$5:$AD$29,K27))</f>
        <v>0.9862804490034871</v>
      </c>
      <c r="M27" s="156">
        <v>1</v>
      </c>
      <c r="N27" s="50">
        <f t="shared" si="10"/>
        <v>0</v>
      </c>
      <c r="O27" s="434">
        <f t="shared" si="11"/>
        <v>0</v>
      </c>
    </row>
    <row r="28" spans="1:15" s="7" customFormat="1" ht="15" customHeight="1" thickBot="1" x14ac:dyDescent="0.25">
      <c r="A28" s="71"/>
      <c r="B28" s="58"/>
      <c r="C28" s="80"/>
      <c r="D28" s="189"/>
      <c r="E28" s="172">
        <f>SUM(E21:E27)</f>
        <v>11</v>
      </c>
      <c r="F28" s="162"/>
      <c r="G28" s="83">
        <f>SUM(G21:G27)</f>
        <v>1343250</v>
      </c>
      <c r="H28" s="114"/>
      <c r="I28" s="378"/>
      <c r="J28" s="114"/>
      <c r="K28" s="150"/>
      <c r="L28" s="150"/>
      <c r="M28" s="150"/>
      <c r="N28" s="83">
        <f>SUM(N21:N27)</f>
        <v>1325079.6635828703</v>
      </c>
      <c r="O28" s="435">
        <f>SUM(O21:O27)</f>
        <v>11</v>
      </c>
    </row>
    <row r="29" spans="1:15" s="7" customFormat="1" ht="15" customHeight="1" x14ac:dyDescent="0.2">
      <c r="A29" s="71"/>
      <c r="B29" s="167" t="s">
        <v>133</v>
      </c>
      <c r="C29" s="80"/>
      <c r="D29" s="189"/>
      <c r="E29" s="169"/>
      <c r="F29" s="178"/>
      <c r="G29" s="113"/>
      <c r="H29" s="114"/>
      <c r="I29" s="378"/>
      <c r="J29" s="114"/>
      <c r="K29" s="151"/>
      <c r="L29" s="151"/>
      <c r="M29" s="151"/>
      <c r="N29" s="113"/>
      <c r="O29" s="114"/>
    </row>
    <row r="30" spans="1:15" s="7" customFormat="1" ht="15" customHeight="1" x14ac:dyDescent="0.2">
      <c r="A30" s="73"/>
      <c r="B30" s="166" t="s">
        <v>115</v>
      </c>
      <c r="C30" s="300">
        <v>2011</v>
      </c>
      <c r="D30" s="300">
        <f t="shared" ref="D30:D37" si="12">Ref_Turb_Gross</f>
        <v>115</v>
      </c>
      <c r="E30" s="162">
        <v>1</v>
      </c>
      <c r="F30" s="177">
        <f>ROUND(78380*CA_union_labor/US_avg_labor,-3)</f>
        <v>124000</v>
      </c>
      <c r="G30" s="50">
        <f t="shared" ref="G30:G37" si="13">E30*F30*(1+DL_burden)</f>
        <v>167400</v>
      </c>
      <c r="H30" s="113"/>
      <c r="I30" s="377">
        <v>0</v>
      </c>
      <c r="J30" s="11">
        <f t="shared" ref="J30:J37" si="14">Proj_Turb_Gross</f>
        <v>115</v>
      </c>
      <c r="K30" s="155">
        <v>13</v>
      </c>
      <c r="L30" s="149">
        <f>(VLOOKUP(Cost_Yr,CI!$A$5:$AD$29,K30)/VLOOKUP($C30,CI!$A$5:$AD$29,K30))</f>
        <v>0.98776451709958879</v>
      </c>
      <c r="M30" s="298">
        <v>1</v>
      </c>
      <c r="N30" s="50">
        <f t="shared" ref="N30:N37" si="15">(G30*Labor_Cost_Factor)*L30*M30*($J30/$D30)^$I30</f>
        <v>165351.78016247117</v>
      </c>
      <c r="O30" s="434">
        <f t="shared" ref="O30:O37" si="16">ROUND(E30*(J30/D30)^I30,0)</f>
        <v>1</v>
      </c>
    </row>
    <row r="31" spans="1:15" s="7" customFormat="1" ht="15" customHeight="1" x14ac:dyDescent="0.2">
      <c r="A31" s="71"/>
      <c r="B31" s="166" t="s">
        <v>116</v>
      </c>
      <c r="C31" s="300">
        <v>2011</v>
      </c>
      <c r="D31" s="300">
        <f t="shared" si="12"/>
        <v>115</v>
      </c>
      <c r="E31" s="162">
        <v>1</v>
      </c>
      <c r="F31" s="177">
        <f>ROUND(78380*CA_union_labor/US_avg_labor,-3)</f>
        <v>124000</v>
      </c>
      <c r="G31" s="50">
        <f t="shared" si="13"/>
        <v>167400</v>
      </c>
      <c r="H31" s="113"/>
      <c r="I31" s="377">
        <v>0</v>
      </c>
      <c r="J31" s="11">
        <f t="shared" si="14"/>
        <v>115</v>
      </c>
      <c r="K31" s="155">
        <v>13</v>
      </c>
      <c r="L31" s="149">
        <f>(VLOOKUP(Cost_Yr,CI!$A$5:$AD$29,K31)/VLOOKUP($C31,CI!$A$5:$AD$29,K31))</f>
        <v>0.98776451709958879</v>
      </c>
      <c r="M31" s="298">
        <v>1</v>
      </c>
      <c r="N31" s="50">
        <f t="shared" si="15"/>
        <v>165351.78016247117</v>
      </c>
      <c r="O31" s="434">
        <f t="shared" si="16"/>
        <v>1</v>
      </c>
    </row>
    <row r="32" spans="1:15" s="7" customFormat="1" ht="15" customHeight="1" x14ac:dyDescent="0.2">
      <c r="A32" s="71"/>
      <c r="B32" s="166" t="s">
        <v>117</v>
      </c>
      <c r="C32" s="300">
        <v>2011</v>
      </c>
      <c r="D32" s="300">
        <f t="shared" si="12"/>
        <v>115</v>
      </c>
      <c r="E32" s="162">
        <v>1</v>
      </c>
      <c r="F32" s="177">
        <f>ROUND(67020*CA_union_labor/US_avg_labor,-3)</f>
        <v>106000</v>
      </c>
      <c r="G32" s="50">
        <f t="shared" si="13"/>
        <v>143100</v>
      </c>
      <c r="H32" s="113"/>
      <c r="I32" s="377">
        <v>0.7</v>
      </c>
      <c r="J32" s="11">
        <f t="shared" si="14"/>
        <v>115</v>
      </c>
      <c r="K32" s="155">
        <v>11</v>
      </c>
      <c r="L32" s="149">
        <f>(VLOOKUP(Cost_Yr,CI!$A$5:$AD$29,K32)/VLOOKUP($C32,CI!$A$5:$AD$29,K32))</f>
        <v>0.9862804490034871</v>
      </c>
      <c r="M32" s="298">
        <v>1</v>
      </c>
      <c r="N32" s="50">
        <f t="shared" si="15"/>
        <v>141136.732252399</v>
      </c>
      <c r="O32" s="434">
        <f t="shared" si="16"/>
        <v>1</v>
      </c>
    </row>
    <row r="33" spans="1:15" s="7" customFormat="1" ht="15" customHeight="1" x14ac:dyDescent="0.2">
      <c r="A33" s="71"/>
      <c r="B33" s="166" t="s">
        <v>118</v>
      </c>
      <c r="C33" s="300">
        <v>2011</v>
      </c>
      <c r="D33" s="300">
        <f t="shared" si="12"/>
        <v>115</v>
      </c>
      <c r="E33" s="162">
        <v>2</v>
      </c>
      <c r="F33" s="177">
        <f>ROUND(61690*CA_union_labor/US_avg_labor,-3)</f>
        <v>97000</v>
      </c>
      <c r="G33" s="50">
        <f t="shared" si="13"/>
        <v>261900.00000000003</v>
      </c>
      <c r="H33" s="113"/>
      <c r="I33" s="377">
        <v>0.7</v>
      </c>
      <c r="J33" s="11">
        <f t="shared" si="14"/>
        <v>115</v>
      </c>
      <c r="K33" s="155">
        <v>11</v>
      </c>
      <c r="L33" s="149">
        <f>(VLOOKUP(Cost_Yr,CI!$A$5:$AD$29,K33)/VLOOKUP($C33,CI!$A$5:$AD$29,K33))</f>
        <v>0.9862804490034871</v>
      </c>
      <c r="M33" s="298">
        <v>1</v>
      </c>
      <c r="N33" s="50">
        <f t="shared" si="15"/>
        <v>258306.8495940133</v>
      </c>
      <c r="O33" s="434">
        <f t="shared" si="16"/>
        <v>2</v>
      </c>
    </row>
    <row r="34" spans="1:15" s="7" customFormat="1" ht="15" customHeight="1" x14ac:dyDescent="0.2">
      <c r="A34" s="71"/>
      <c r="B34" s="166" t="s">
        <v>119</v>
      </c>
      <c r="C34" s="300">
        <v>2011</v>
      </c>
      <c r="D34" s="300">
        <f t="shared" si="12"/>
        <v>115</v>
      </c>
      <c r="E34" s="162">
        <v>2</v>
      </c>
      <c r="F34" s="177">
        <f>ROUND(61690*CA_union_labor/US_avg_labor,-3)</f>
        <v>97000</v>
      </c>
      <c r="G34" s="50">
        <f t="shared" si="13"/>
        <v>261900.00000000003</v>
      </c>
      <c r="H34" s="113"/>
      <c r="I34" s="377">
        <v>0.7</v>
      </c>
      <c r="J34" s="11">
        <f t="shared" si="14"/>
        <v>115</v>
      </c>
      <c r="K34" s="155">
        <v>11</v>
      </c>
      <c r="L34" s="149">
        <f>(VLOOKUP(Cost_Yr,CI!$A$5:$AD$29,K34)/VLOOKUP($C34,CI!$A$5:$AD$29,K34))</f>
        <v>0.9862804490034871</v>
      </c>
      <c r="M34" s="298">
        <v>1</v>
      </c>
      <c r="N34" s="50">
        <f t="shared" si="15"/>
        <v>258306.8495940133</v>
      </c>
      <c r="O34" s="434">
        <f t="shared" si="16"/>
        <v>2</v>
      </c>
    </row>
    <row r="35" spans="1:15" s="7" customFormat="1" ht="15" customHeight="1" x14ac:dyDescent="0.2">
      <c r="A35" s="71"/>
      <c r="B35" s="168" t="s">
        <v>120</v>
      </c>
      <c r="C35" s="300">
        <v>2011</v>
      </c>
      <c r="D35" s="300">
        <f t="shared" si="12"/>
        <v>115</v>
      </c>
      <c r="E35" s="162">
        <v>4</v>
      </c>
      <c r="F35" s="177">
        <f>ROUND(41540*CA_union_labor/US_avg_labor,-3)</f>
        <v>65000</v>
      </c>
      <c r="G35" s="50">
        <f t="shared" si="13"/>
        <v>351000</v>
      </c>
      <c r="H35" s="113"/>
      <c r="I35" s="377">
        <v>0.7</v>
      </c>
      <c r="J35" s="11">
        <f t="shared" si="14"/>
        <v>115</v>
      </c>
      <c r="K35" s="155">
        <v>11</v>
      </c>
      <c r="L35" s="149">
        <f>(VLOOKUP(Cost_Yr,CI!$A$5:$AD$29,K35)/VLOOKUP($C35,CI!$A$5:$AD$29,K35))</f>
        <v>0.9862804490034871</v>
      </c>
      <c r="M35" s="298">
        <v>1</v>
      </c>
      <c r="N35" s="50">
        <f t="shared" si="15"/>
        <v>346184.43760022399</v>
      </c>
      <c r="O35" s="434">
        <f t="shared" si="16"/>
        <v>4</v>
      </c>
    </row>
    <row r="36" spans="1:15" s="7" customFormat="1" ht="15" customHeight="1" x14ac:dyDescent="0.2">
      <c r="A36" s="71"/>
      <c r="B36" s="166" t="s">
        <v>114</v>
      </c>
      <c r="C36" s="300">
        <v>2011</v>
      </c>
      <c r="D36" s="300">
        <f t="shared" si="12"/>
        <v>115</v>
      </c>
      <c r="E36" s="162">
        <v>0</v>
      </c>
      <c r="F36" s="177">
        <v>0</v>
      </c>
      <c r="G36" s="50">
        <f t="shared" si="13"/>
        <v>0</v>
      </c>
      <c r="H36" s="113"/>
      <c r="I36" s="377">
        <v>0.7</v>
      </c>
      <c r="J36" s="11">
        <f t="shared" si="14"/>
        <v>115</v>
      </c>
      <c r="K36" s="155">
        <v>11</v>
      </c>
      <c r="L36" s="149">
        <f>(VLOOKUP(Cost_Yr,CI!$A$5:$AD$29,K36)/VLOOKUP($C36,CI!$A$5:$AD$29,K36))</f>
        <v>0.9862804490034871</v>
      </c>
      <c r="M36" s="298">
        <v>1</v>
      </c>
      <c r="N36" s="50">
        <f t="shared" si="15"/>
        <v>0</v>
      </c>
      <c r="O36" s="434">
        <f t="shared" si="16"/>
        <v>0</v>
      </c>
    </row>
    <row r="37" spans="1:15" s="7" customFormat="1" ht="15" customHeight="1" x14ac:dyDescent="0.2">
      <c r="A37" s="71"/>
      <c r="B37" s="166" t="s">
        <v>114</v>
      </c>
      <c r="C37" s="300">
        <v>2011</v>
      </c>
      <c r="D37" s="300">
        <f t="shared" si="12"/>
        <v>115</v>
      </c>
      <c r="E37" s="162">
        <v>0</v>
      </c>
      <c r="F37" s="177">
        <v>0</v>
      </c>
      <c r="G37" s="50">
        <f t="shared" si="13"/>
        <v>0</v>
      </c>
      <c r="H37" s="113"/>
      <c r="I37" s="377">
        <v>0.7</v>
      </c>
      <c r="J37" s="11">
        <f t="shared" si="14"/>
        <v>115</v>
      </c>
      <c r="K37" s="155">
        <v>11</v>
      </c>
      <c r="L37" s="149">
        <f>(VLOOKUP(Cost_Yr,CI!$A$5:$AD$29,K37)/VLOOKUP($C37,CI!$A$5:$AD$29,K37))</f>
        <v>0.9862804490034871</v>
      </c>
      <c r="M37" s="156">
        <v>1</v>
      </c>
      <c r="N37" s="50">
        <f t="shared" si="15"/>
        <v>0</v>
      </c>
      <c r="O37" s="434">
        <f t="shared" si="16"/>
        <v>0</v>
      </c>
    </row>
    <row r="38" spans="1:15" s="7" customFormat="1" ht="15" customHeight="1" thickBot="1" x14ac:dyDescent="0.25">
      <c r="A38" s="71"/>
      <c r="B38" s="54"/>
      <c r="C38" s="11"/>
      <c r="D38" s="188"/>
      <c r="E38" s="172">
        <f>SUM(E30:E37)</f>
        <v>11</v>
      </c>
      <c r="F38" s="162"/>
      <c r="G38" s="83">
        <f t="shared" ref="G38" si="17">SUM(G30:G37)</f>
        <v>1352700</v>
      </c>
      <c r="H38" s="114"/>
      <c r="I38" s="378"/>
      <c r="J38" s="114"/>
      <c r="K38" s="150"/>
      <c r="L38" s="150"/>
      <c r="M38" s="150"/>
      <c r="N38" s="83">
        <f t="shared" ref="N38" si="18">SUM(N30:N37)</f>
        <v>1334638.4293655918</v>
      </c>
      <c r="O38" s="435">
        <f>SUM(O30:O37)</f>
        <v>11</v>
      </c>
    </row>
    <row r="39" spans="1:15" s="7" customFormat="1" ht="15" customHeight="1" x14ac:dyDescent="0.2">
      <c r="A39" s="71"/>
      <c r="B39" s="57" t="s">
        <v>121</v>
      </c>
      <c r="C39" s="11"/>
      <c r="D39" s="188"/>
      <c r="E39" s="162"/>
      <c r="F39" s="178"/>
      <c r="G39" s="113"/>
      <c r="H39" s="114"/>
      <c r="I39" s="378"/>
      <c r="J39" s="114"/>
      <c r="K39" s="151"/>
      <c r="L39" s="151"/>
      <c r="M39" s="151"/>
      <c r="N39" s="113"/>
      <c r="O39" s="114"/>
    </row>
    <row r="40" spans="1:15" s="7" customFormat="1" ht="15" customHeight="1" x14ac:dyDescent="0.2">
      <c r="A40" s="73"/>
      <c r="B40" s="166" t="s">
        <v>122</v>
      </c>
      <c r="C40" s="300">
        <v>2011</v>
      </c>
      <c r="D40" s="300">
        <f t="shared" ref="D40:D46" si="19">Ref_SF_area</f>
        <v>1289000</v>
      </c>
      <c r="E40" s="162">
        <v>1</v>
      </c>
      <c r="F40" s="177">
        <f>ROUND(78380*CA_union_labor/US_avg_labor,-3)</f>
        <v>124000</v>
      </c>
      <c r="G40" s="50">
        <f t="shared" ref="G40:G46" si="20">E40*F40*(1+DL_burden)</f>
        <v>167400</v>
      </c>
      <c r="H40" s="113"/>
      <c r="I40" s="377">
        <v>0</v>
      </c>
      <c r="J40" s="11">
        <f t="shared" ref="J40:J46" si="21">Proj_SF_Area</f>
        <v>1289000</v>
      </c>
      <c r="K40" s="155">
        <v>13</v>
      </c>
      <c r="L40" s="149">
        <f>(VLOOKUP(Cost_Yr,CI!$A$5:$AD$29,K40)/VLOOKUP($C40,CI!$A$5:$AD$29,K40))</f>
        <v>0.98776451709958879</v>
      </c>
      <c r="M40" s="298">
        <v>1</v>
      </c>
      <c r="N40" s="50">
        <f t="shared" ref="N40:N46" si="22">(G40*Labor_Cost_Factor)*L40*M40*($J40/$D40)^$I40</f>
        <v>165351.78016247117</v>
      </c>
      <c r="O40" s="434">
        <f t="shared" ref="O40:O46" si="23">ROUND(E40*(J40/D40)^I40,0)</f>
        <v>1</v>
      </c>
    </row>
    <row r="41" spans="1:15" s="7" customFormat="1" ht="15" customHeight="1" x14ac:dyDescent="0.2">
      <c r="A41" s="71"/>
      <c r="B41" s="166" t="s">
        <v>123</v>
      </c>
      <c r="C41" s="300">
        <v>2011</v>
      </c>
      <c r="D41" s="300">
        <f t="shared" si="19"/>
        <v>1289000</v>
      </c>
      <c r="E41" s="162">
        <v>1</v>
      </c>
      <c r="F41" s="177">
        <f>ROUND(78380*CA_union_labor/US_avg_labor,-3)</f>
        <v>124000</v>
      </c>
      <c r="G41" s="50">
        <f t="shared" si="20"/>
        <v>167400</v>
      </c>
      <c r="H41" s="115"/>
      <c r="I41" s="377">
        <v>0</v>
      </c>
      <c r="J41" s="11">
        <f t="shared" si="21"/>
        <v>1289000</v>
      </c>
      <c r="K41" s="155">
        <v>13</v>
      </c>
      <c r="L41" s="149">
        <f>(VLOOKUP(Cost_Yr,CI!$A$5:$AD$29,K41)/VLOOKUP($C41,CI!$A$5:$AD$29,K41))</f>
        <v>0.98776451709958879</v>
      </c>
      <c r="M41" s="298">
        <v>1</v>
      </c>
      <c r="N41" s="50">
        <f t="shared" si="22"/>
        <v>165351.78016247117</v>
      </c>
      <c r="O41" s="434">
        <f t="shared" si="23"/>
        <v>1</v>
      </c>
    </row>
    <row r="42" spans="1:15" s="7" customFormat="1" ht="15" customHeight="1" x14ac:dyDescent="0.2">
      <c r="A42" s="71"/>
      <c r="B42" s="166" t="s">
        <v>125</v>
      </c>
      <c r="C42" s="300">
        <v>2011</v>
      </c>
      <c r="D42" s="300">
        <f t="shared" si="19"/>
        <v>1289000</v>
      </c>
      <c r="E42" s="162">
        <v>2</v>
      </c>
      <c r="F42" s="177">
        <f>ROUND(61690*CA_union_labor/US_avg_labor,-3)</f>
        <v>97000</v>
      </c>
      <c r="G42" s="50">
        <f t="shared" si="20"/>
        <v>261900.00000000003</v>
      </c>
      <c r="H42" s="113"/>
      <c r="I42" s="377">
        <v>0.7</v>
      </c>
      <c r="J42" s="11">
        <f t="shared" si="21"/>
        <v>1289000</v>
      </c>
      <c r="K42" s="155">
        <v>11</v>
      </c>
      <c r="L42" s="149">
        <f>(VLOOKUP(Cost_Yr,CI!$A$5:$AD$29,K42)/VLOOKUP($C42,CI!$A$5:$AD$29,K42))</f>
        <v>0.9862804490034871</v>
      </c>
      <c r="M42" s="298">
        <v>1</v>
      </c>
      <c r="N42" s="50">
        <f t="shared" si="22"/>
        <v>258306.8495940133</v>
      </c>
      <c r="O42" s="434">
        <f t="shared" si="23"/>
        <v>2</v>
      </c>
    </row>
    <row r="43" spans="1:15" s="7" customFormat="1" ht="15" customHeight="1" x14ac:dyDescent="0.2">
      <c r="A43" s="71"/>
      <c r="B43" s="166" t="s">
        <v>126</v>
      </c>
      <c r="C43" s="300">
        <v>2011</v>
      </c>
      <c r="D43" s="300">
        <f t="shared" si="19"/>
        <v>1289000</v>
      </c>
      <c r="E43" s="162">
        <v>2</v>
      </c>
      <c r="F43" s="177">
        <f>ROUND(61690*CA_union_labor/US_avg_labor,-3)</f>
        <v>97000</v>
      </c>
      <c r="G43" s="50">
        <f t="shared" si="20"/>
        <v>261900.00000000003</v>
      </c>
      <c r="H43" s="113"/>
      <c r="I43" s="377">
        <v>0.7</v>
      </c>
      <c r="J43" s="11">
        <f t="shared" si="21"/>
        <v>1289000</v>
      </c>
      <c r="K43" s="155">
        <v>11</v>
      </c>
      <c r="L43" s="149">
        <f>(VLOOKUP(Cost_Yr,CI!$A$5:$AD$29,K43)/VLOOKUP($C43,CI!$A$5:$AD$29,K43))</f>
        <v>0.9862804490034871</v>
      </c>
      <c r="M43" s="298">
        <v>1</v>
      </c>
      <c r="N43" s="50">
        <f t="shared" si="22"/>
        <v>258306.8495940133</v>
      </c>
      <c r="O43" s="434">
        <f t="shared" si="23"/>
        <v>2</v>
      </c>
    </row>
    <row r="44" spans="1:15" s="7" customFormat="1" ht="15" customHeight="1" x14ac:dyDescent="0.2">
      <c r="A44" s="71"/>
      <c r="B44" s="168" t="s">
        <v>127</v>
      </c>
      <c r="C44" s="300">
        <v>2011</v>
      </c>
      <c r="D44" s="300">
        <f t="shared" si="19"/>
        <v>1289000</v>
      </c>
      <c r="E44" s="162">
        <v>4</v>
      </c>
      <c r="F44" s="177">
        <f>ROUND(41540*CA_union_labor/US_avg_labor,-3)</f>
        <v>65000</v>
      </c>
      <c r="G44" s="50">
        <f t="shared" si="20"/>
        <v>351000</v>
      </c>
      <c r="H44" s="113"/>
      <c r="I44" s="377">
        <v>0.7</v>
      </c>
      <c r="J44" s="11">
        <f t="shared" si="21"/>
        <v>1289000</v>
      </c>
      <c r="K44" s="155">
        <v>11</v>
      </c>
      <c r="L44" s="149">
        <f>(VLOOKUP(Cost_Yr,CI!$A$5:$AD$29,K44)/VLOOKUP($C44,CI!$A$5:$AD$29,K44))</f>
        <v>0.9862804490034871</v>
      </c>
      <c r="M44" s="298">
        <v>1</v>
      </c>
      <c r="N44" s="50">
        <f t="shared" si="22"/>
        <v>346184.43760022399</v>
      </c>
      <c r="O44" s="434">
        <f t="shared" si="23"/>
        <v>4</v>
      </c>
    </row>
    <row r="45" spans="1:15" s="7" customFormat="1" ht="15" customHeight="1" x14ac:dyDescent="0.2">
      <c r="A45" s="71"/>
      <c r="B45" s="166" t="s">
        <v>124</v>
      </c>
      <c r="C45" s="300">
        <v>2011</v>
      </c>
      <c r="D45" s="300">
        <f t="shared" si="19"/>
        <v>1289000</v>
      </c>
      <c r="E45" s="162">
        <v>0</v>
      </c>
      <c r="F45" s="177">
        <v>0</v>
      </c>
      <c r="G45" s="50">
        <f t="shared" si="20"/>
        <v>0</v>
      </c>
      <c r="H45" s="115"/>
      <c r="I45" s="377">
        <v>1</v>
      </c>
      <c r="J45" s="11">
        <f t="shared" si="21"/>
        <v>1289000</v>
      </c>
      <c r="K45" s="155">
        <v>11</v>
      </c>
      <c r="L45" s="149">
        <f>(VLOOKUP(Cost_Yr,CI!$A$5:$AD$29,K45)/VLOOKUP($C45,CI!$A$5:$AD$29,K45))</f>
        <v>0.9862804490034871</v>
      </c>
      <c r="M45" s="298">
        <v>1</v>
      </c>
      <c r="N45" s="50">
        <f t="shared" si="22"/>
        <v>0</v>
      </c>
      <c r="O45" s="434">
        <f t="shared" si="23"/>
        <v>0</v>
      </c>
    </row>
    <row r="46" spans="1:15" s="7" customFormat="1" ht="15" customHeight="1" x14ac:dyDescent="0.2">
      <c r="A46" s="71"/>
      <c r="B46" s="166" t="s">
        <v>124</v>
      </c>
      <c r="C46" s="300">
        <v>2011</v>
      </c>
      <c r="D46" s="300">
        <f t="shared" si="19"/>
        <v>1289000</v>
      </c>
      <c r="E46" s="162">
        <v>0</v>
      </c>
      <c r="F46" s="177">
        <v>0</v>
      </c>
      <c r="G46" s="50">
        <f t="shared" si="20"/>
        <v>0</v>
      </c>
      <c r="H46" s="115"/>
      <c r="I46" s="377">
        <v>1</v>
      </c>
      <c r="J46" s="11">
        <f t="shared" si="21"/>
        <v>1289000</v>
      </c>
      <c r="K46" s="155">
        <v>11</v>
      </c>
      <c r="L46" s="149">
        <f>(VLOOKUP(Cost_Yr,CI!$A$5:$AD$29,K46)/VLOOKUP($C46,CI!$A$5:$AD$29,K46))</f>
        <v>0.9862804490034871</v>
      </c>
      <c r="M46" s="156">
        <v>1</v>
      </c>
      <c r="N46" s="50">
        <f t="shared" si="22"/>
        <v>0</v>
      </c>
      <c r="O46" s="434">
        <f t="shared" si="23"/>
        <v>0</v>
      </c>
    </row>
    <row r="47" spans="1:15" s="7" customFormat="1" ht="15" customHeight="1" thickBot="1" x14ac:dyDescent="0.25">
      <c r="A47" s="71"/>
      <c r="B47" s="54"/>
      <c r="C47" s="11"/>
      <c r="D47" s="163"/>
      <c r="E47" s="172">
        <f>SUM(E40:E46)</f>
        <v>10</v>
      </c>
      <c r="F47" s="162"/>
      <c r="G47" s="83">
        <f t="shared" ref="G47" si="24">SUM(G40:G46)</f>
        <v>1209600</v>
      </c>
      <c r="H47" s="114"/>
      <c r="I47" s="378"/>
      <c r="J47" s="114"/>
      <c r="K47" s="150"/>
      <c r="L47" s="150"/>
      <c r="M47" s="150"/>
      <c r="N47" s="83">
        <f t="shared" ref="N47" si="25">SUM(N40:N46)</f>
        <v>1193501.6971131929</v>
      </c>
      <c r="O47" s="435">
        <f>SUM(O40:O46)</f>
        <v>10</v>
      </c>
    </row>
    <row r="48" spans="1:15" s="7" customFormat="1" ht="15" customHeight="1" x14ac:dyDescent="0.2">
      <c r="A48" s="71"/>
      <c r="B48" s="54"/>
      <c r="C48" s="11"/>
      <c r="D48" s="163"/>
      <c r="E48" s="163"/>
      <c r="F48" s="178"/>
      <c r="G48" s="113"/>
      <c r="H48" s="114"/>
      <c r="I48" s="378"/>
      <c r="J48" s="114"/>
      <c r="K48" s="151"/>
      <c r="L48" s="151"/>
      <c r="M48" s="151"/>
      <c r="N48" s="113"/>
      <c r="O48" s="114"/>
    </row>
    <row r="49" spans="1:15" ht="15" customHeight="1" thickBot="1" x14ac:dyDescent="0.25">
      <c r="B49" s="179" t="s">
        <v>131</v>
      </c>
      <c r="C49" s="194"/>
      <c r="D49" s="194"/>
      <c r="E49" s="268">
        <f>E19+E28+E38+E47</f>
        <v>40</v>
      </c>
      <c r="F49" s="180"/>
      <c r="G49" s="181">
        <f>G19+G28+G38+G47</f>
        <v>5485050</v>
      </c>
      <c r="H49" s="114"/>
      <c r="I49" s="379"/>
      <c r="J49" s="269"/>
      <c r="K49" s="271"/>
      <c r="L49" s="271"/>
      <c r="M49" s="271"/>
      <c r="N49" s="270">
        <f>N19+N28+N38+N47</f>
        <v>5413253.6003853744</v>
      </c>
      <c r="O49" s="436">
        <f>SUM(O19+O28+O38+O47)</f>
        <v>40</v>
      </c>
    </row>
    <row r="50" spans="1:15" ht="15" customHeight="1" x14ac:dyDescent="0.2">
      <c r="B50" s="54"/>
      <c r="C50" s="11"/>
      <c r="D50" s="11"/>
      <c r="E50" s="11"/>
      <c r="F50" s="175"/>
      <c r="G50" s="31"/>
      <c r="H50" s="112"/>
      <c r="I50" s="376"/>
      <c r="J50" s="112"/>
      <c r="K50" s="112"/>
      <c r="L50" s="112"/>
      <c r="M50" s="112"/>
      <c r="N50" s="112"/>
      <c r="O50" s="112"/>
    </row>
    <row r="51" spans="1:15" s="68" customFormat="1" ht="29.25" customHeight="1" x14ac:dyDescent="0.2">
      <c r="A51" s="71"/>
      <c r="B51" s="58"/>
      <c r="C51" s="105" t="s">
        <v>97</v>
      </c>
      <c r="D51" s="105" t="s">
        <v>88</v>
      </c>
      <c r="E51" s="106" t="s">
        <v>155</v>
      </c>
      <c r="F51" s="191" t="s">
        <v>147</v>
      </c>
      <c r="G51" s="107" t="s">
        <v>146</v>
      </c>
      <c r="H51" s="112"/>
      <c r="I51" s="376"/>
      <c r="J51" s="217" t="s">
        <v>87</v>
      </c>
      <c r="K51" s="222" t="s">
        <v>165</v>
      </c>
      <c r="L51" s="222" t="s">
        <v>166</v>
      </c>
      <c r="M51" s="222" t="s">
        <v>197</v>
      </c>
      <c r="N51" s="217" t="s">
        <v>146</v>
      </c>
      <c r="O51" s="112"/>
    </row>
    <row r="52" spans="1:15" s="7" customFormat="1" ht="15" customHeight="1" x14ac:dyDescent="0.2">
      <c r="A52" s="71"/>
      <c r="B52" s="167" t="s">
        <v>132</v>
      </c>
      <c r="C52" s="80"/>
      <c r="D52" s="80"/>
      <c r="E52" s="80"/>
      <c r="F52" s="175"/>
      <c r="G52" s="175"/>
      <c r="H52" s="112"/>
      <c r="I52" s="376"/>
      <c r="J52" s="112"/>
      <c r="K52" s="155"/>
      <c r="L52" s="112"/>
      <c r="M52" s="112"/>
      <c r="N52" s="112"/>
      <c r="O52" s="112"/>
    </row>
    <row r="53" spans="1:15" s="7" customFormat="1" ht="15" customHeight="1" x14ac:dyDescent="0.2">
      <c r="A53" s="71"/>
      <c r="B53" s="126" t="s">
        <v>137</v>
      </c>
      <c r="C53" s="301">
        <v>2009</v>
      </c>
      <c r="D53" s="301">
        <v>1</v>
      </c>
      <c r="E53" s="301">
        <v>1</v>
      </c>
      <c r="F53" s="190">
        <v>100000</v>
      </c>
      <c r="G53" s="50">
        <f>E53*F53</f>
        <v>100000</v>
      </c>
      <c r="H53" s="116"/>
      <c r="I53" s="377">
        <v>1</v>
      </c>
      <c r="J53" s="11">
        <v>1</v>
      </c>
      <c r="K53" s="155">
        <v>11</v>
      </c>
      <c r="L53" s="149">
        <f>(VLOOKUP(Cost_Yr,CI!$A$5:$AD$29,K53)/VLOOKUP($C53,CI!$A$5:$AD$29,K53))</f>
        <v>0.98618004123081626</v>
      </c>
      <c r="M53" s="298">
        <v>1</v>
      </c>
      <c r="N53" s="50">
        <f t="shared" ref="N53:N58" si="26">G53*L53*M53*($J53/$D53)^$I53</f>
        <v>98618.004123081628</v>
      </c>
      <c r="O53" s="116"/>
    </row>
    <row r="54" spans="1:15" s="7" customFormat="1" ht="15" customHeight="1" x14ac:dyDescent="0.2">
      <c r="A54" s="71"/>
      <c r="B54" s="126" t="s">
        <v>138</v>
      </c>
      <c r="C54" s="301">
        <v>2009</v>
      </c>
      <c r="D54" s="311">
        <f>E49</f>
        <v>40</v>
      </c>
      <c r="E54" s="301">
        <v>1</v>
      </c>
      <c r="F54" s="190">
        <v>105000</v>
      </c>
      <c r="G54" s="50">
        <f t="shared" ref="G54:G58" si="27">E54*F54</f>
        <v>105000</v>
      </c>
      <c r="H54" s="116"/>
      <c r="I54" s="377">
        <v>1</v>
      </c>
      <c r="J54" s="299">
        <f>O49</f>
        <v>40</v>
      </c>
      <c r="K54" s="155">
        <v>11</v>
      </c>
      <c r="L54" s="149">
        <f>(VLOOKUP(Cost_Yr,CI!$A$5:$AD$29,K54)/VLOOKUP($C54,CI!$A$5:$AD$29,K54))</f>
        <v>0.98618004123081626</v>
      </c>
      <c r="M54" s="298">
        <v>1</v>
      </c>
      <c r="N54" s="50">
        <f t="shared" si="26"/>
        <v>103548.90432923571</v>
      </c>
      <c r="O54" s="116"/>
    </row>
    <row r="55" spans="1:15" s="4" customFormat="1" ht="15" customHeight="1" x14ac:dyDescent="0.2">
      <c r="A55" s="71"/>
      <c r="B55" s="126" t="s">
        <v>139</v>
      </c>
      <c r="C55" s="301">
        <v>2009</v>
      </c>
      <c r="D55" s="301">
        <f>Ref_SF_area</f>
        <v>1289000</v>
      </c>
      <c r="E55" s="301">
        <v>1</v>
      </c>
      <c r="F55" s="190">
        <v>100000</v>
      </c>
      <c r="G55" s="50">
        <f t="shared" si="27"/>
        <v>100000</v>
      </c>
      <c r="H55" s="116"/>
      <c r="I55" s="377">
        <v>0.5</v>
      </c>
      <c r="J55" s="11">
        <f t="shared" ref="J55:J56" si="28">Proj_SF_Area</f>
        <v>1289000</v>
      </c>
      <c r="K55" s="155">
        <v>11</v>
      </c>
      <c r="L55" s="149">
        <f>(VLOOKUP(Cost_Yr,CI!$A$5:$AD$29,K55)/VLOOKUP($C55,CI!$A$5:$AD$29,K55))</f>
        <v>0.98618004123081626</v>
      </c>
      <c r="M55" s="298">
        <v>1</v>
      </c>
      <c r="N55" s="50">
        <f t="shared" si="26"/>
        <v>98618.004123081628</v>
      </c>
      <c r="O55" s="116"/>
    </row>
    <row r="56" spans="1:15" s="4" customFormat="1" ht="15" customHeight="1" x14ac:dyDescent="0.2">
      <c r="A56" s="71"/>
      <c r="B56" s="126" t="s">
        <v>213</v>
      </c>
      <c r="C56" s="301">
        <v>2009</v>
      </c>
      <c r="D56" s="301">
        <f>Ref_SF_area</f>
        <v>1289000</v>
      </c>
      <c r="E56" s="301">
        <v>1</v>
      </c>
      <c r="F56" s="190">
        <v>350000</v>
      </c>
      <c r="G56" s="50">
        <f t="shared" si="27"/>
        <v>350000</v>
      </c>
      <c r="H56" s="116"/>
      <c r="I56" s="377">
        <v>1</v>
      </c>
      <c r="J56" s="11">
        <f t="shared" si="28"/>
        <v>1289000</v>
      </c>
      <c r="K56" s="155">
        <v>30</v>
      </c>
      <c r="L56" s="149">
        <f>(VLOOKUP(Cost_Yr,CI!$A$5:$AD$29,K56)/VLOOKUP($C56,CI!$A$5:$AD$29,K56))</f>
        <v>1</v>
      </c>
      <c r="M56" s="298">
        <v>1</v>
      </c>
      <c r="N56" s="50">
        <f t="shared" si="26"/>
        <v>350000</v>
      </c>
      <c r="O56" s="116"/>
    </row>
    <row r="57" spans="1:15" s="4" customFormat="1" ht="15" customHeight="1" x14ac:dyDescent="0.2">
      <c r="A57" s="71"/>
      <c r="B57" s="126" t="s">
        <v>214</v>
      </c>
      <c r="C57" s="301">
        <v>2009</v>
      </c>
      <c r="D57" s="301">
        <f>Ref_Turb_Gross</f>
        <v>115</v>
      </c>
      <c r="E57" s="301">
        <v>1</v>
      </c>
      <c r="F57" s="190">
        <v>145000</v>
      </c>
      <c r="G57" s="50">
        <f t="shared" si="27"/>
        <v>145000</v>
      </c>
      <c r="H57" s="116"/>
      <c r="I57" s="377">
        <v>1</v>
      </c>
      <c r="J57" s="11">
        <f>Proj_Turb_Gross</f>
        <v>115</v>
      </c>
      <c r="K57" s="155">
        <v>30</v>
      </c>
      <c r="L57" s="149">
        <f>(VLOOKUP(Cost_Yr,CI!$A$5:$AD$29,K57)/VLOOKUP($C57,CI!$A$5:$AD$29,K57))</f>
        <v>1</v>
      </c>
      <c r="M57" s="298">
        <v>1</v>
      </c>
      <c r="N57" s="50">
        <f t="shared" si="26"/>
        <v>145000</v>
      </c>
      <c r="O57" s="116"/>
    </row>
    <row r="58" spans="1:15" s="4" customFormat="1" ht="15" customHeight="1" x14ac:dyDescent="0.2">
      <c r="A58" s="71"/>
      <c r="B58" s="126" t="s">
        <v>140</v>
      </c>
      <c r="C58" s="301">
        <v>2009</v>
      </c>
      <c r="D58" s="301">
        <v>1</v>
      </c>
      <c r="E58" s="301">
        <v>0</v>
      </c>
      <c r="F58" s="190"/>
      <c r="G58" s="50">
        <f t="shared" si="27"/>
        <v>0</v>
      </c>
      <c r="H58" s="116"/>
      <c r="I58" s="377">
        <v>1</v>
      </c>
      <c r="J58" s="11">
        <v>1</v>
      </c>
      <c r="K58" s="155">
        <v>30</v>
      </c>
      <c r="L58" s="149">
        <f>(VLOOKUP(Cost_Yr,CI!$A$5:$AD$29,K58)/VLOOKUP($C58,CI!$A$5:$AD$29,K58))</f>
        <v>1</v>
      </c>
      <c r="M58" s="298">
        <v>1</v>
      </c>
      <c r="N58" s="50">
        <f t="shared" si="26"/>
        <v>0</v>
      </c>
      <c r="O58" s="116"/>
    </row>
    <row r="59" spans="1:15" s="4" customFormat="1" ht="15" customHeight="1" thickBot="1" x14ac:dyDescent="0.25">
      <c r="A59" s="71"/>
      <c r="B59" s="126"/>
      <c r="C59" s="301"/>
      <c r="D59" s="301"/>
      <c r="E59" s="301"/>
      <c r="F59" s="190"/>
      <c r="G59" s="83">
        <f>SUM(G53:G58)</f>
        <v>800000</v>
      </c>
      <c r="H59" s="116"/>
      <c r="I59" s="377"/>
      <c r="J59" s="116"/>
      <c r="K59" s="155"/>
      <c r="L59" s="116"/>
      <c r="M59" s="116"/>
      <c r="N59" s="83">
        <f>SUM(N53:N58)</f>
        <v>795784.91257539904</v>
      </c>
      <c r="O59" s="116"/>
    </row>
    <row r="60" spans="1:15" s="4" customFormat="1" ht="15" customHeight="1" x14ac:dyDescent="0.2">
      <c r="A60" s="71"/>
      <c r="B60" s="167" t="s">
        <v>156</v>
      </c>
      <c r="C60" s="301"/>
      <c r="D60" s="301"/>
      <c r="E60" s="301"/>
      <c r="F60" s="190"/>
      <c r="G60" s="39"/>
      <c r="H60" s="116"/>
      <c r="I60" s="377"/>
      <c r="J60" s="116"/>
      <c r="K60" s="155"/>
      <c r="L60" s="116"/>
      <c r="M60" s="116"/>
      <c r="N60" s="116"/>
      <c r="O60" s="116"/>
    </row>
    <row r="61" spans="1:15" s="4" customFormat="1" ht="15" customHeight="1" x14ac:dyDescent="0.2">
      <c r="A61" s="71"/>
      <c r="B61" s="126" t="s">
        <v>153</v>
      </c>
      <c r="C61" s="301">
        <v>2009</v>
      </c>
      <c r="D61" s="300">
        <f t="shared" ref="D61:D63" si="29">Ref_Turb_Gross</f>
        <v>115</v>
      </c>
      <c r="E61" s="301">
        <v>0</v>
      </c>
      <c r="F61" s="267">
        <v>6</v>
      </c>
      <c r="G61" s="50">
        <f t="shared" ref="G61:G63" si="30">E61*F61</f>
        <v>0</v>
      </c>
      <c r="H61" s="116"/>
      <c r="I61" s="377">
        <v>1</v>
      </c>
      <c r="J61" s="11">
        <f t="shared" ref="J61:J63" si="31">Proj_Turb_Gross</f>
        <v>115</v>
      </c>
      <c r="K61" s="155">
        <v>30</v>
      </c>
      <c r="L61" s="149">
        <f>(VLOOKUP(Cost_Yr,CI!$A$5:$AD$29,K61)/VLOOKUP($C61,CI!$A$5:$AD$29,K61))</f>
        <v>1</v>
      </c>
      <c r="M61" s="298">
        <v>1</v>
      </c>
      <c r="N61" s="50">
        <f t="shared" ref="N61:N63" si="32">G61*L61*M61*($J61/$D61)^$I61</f>
        <v>0</v>
      </c>
      <c r="O61" s="116"/>
    </row>
    <row r="62" spans="1:15" s="4" customFormat="1" ht="15" customHeight="1" x14ac:dyDescent="0.2">
      <c r="A62" s="71"/>
      <c r="B62" s="126" t="s">
        <v>152</v>
      </c>
      <c r="C62" s="301">
        <v>2009</v>
      </c>
      <c r="D62" s="300">
        <f t="shared" si="29"/>
        <v>115</v>
      </c>
      <c r="E62" s="301">
        <f>IF(Cooling_Method=0,1241*0.1,1241)</f>
        <v>124.10000000000001</v>
      </c>
      <c r="F62" s="293">
        <v>450</v>
      </c>
      <c r="G62" s="50">
        <f t="shared" si="30"/>
        <v>55845.000000000007</v>
      </c>
      <c r="H62" s="116"/>
      <c r="I62" s="377">
        <v>1</v>
      </c>
      <c r="J62" s="11">
        <f t="shared" si="31"/>
        <v>115</v>
      </c>
      <c r="K62" s="155">
        <v>30</v>
      </c>
      <c r="L62" s="149">
        <f>(VLOOKUP(Cost_Yr,CI!$A$5:$AD$29,K62)/VLOOKUP($C62,CI!$A$5:$AD$29,K62))</f>
        <v>1</v>
      </c>
      <c r="M62" s="298">
        <v>1</v>
      </c>
      <c r="N62" s="50">
        <f t="shared" si="32"/>
        <v>55845.000000000007</v>
      </c>
      <c r="O62" s="116"/>
    </row>
    <row r="63" spans="1:15" s="4" customFormat="1" ht="15" customHeight="1" x14ac:dyDescent="0.2">
      <c r="A63" s="71"/>
      <c r="B63" s="126" t="s">
        <v>154</v>
      </c>
      <c r="C63" s="301">
        <v>2009</v>
      </c>
      <c r="D63" s="300">
        <f t="shared" si="29"/>
        <v>115</v>
      </c>
      <c r="E63" s="301">
        <v>3703</v>
      </c>
      <c r="F63" s="293">
        <v>80</v>
      </c>
      <c r="G63" s="50">
        <f t="shared" si="30"/>
        <v>296240</v>
      </c>
      <c r="H63" s="116"/>
      <c r="I63" s="377">
        <v>1</v>
      </c>
      <c r="J63" s="11">
        <f t="shared" si="31"/>
        <v>115</v>
      </c>
      <c r="K63" s="155">
        <v>30</v>
      </c>
      <c r="L63" s="149">
        <f>(VLOOKUP(Cost_Yr,CI!$A$5:$AD$29,K63)/VLOOKUP($C63,CI!$A$5:$AD$29,K63))</f>
        <v>1</v>
      </c>
      <c r="M63" s="298">
        <v>1</v>
      </c>
      <c r="N63" s="50">
        <f t="shared" si="32"/>
        <v>296240</v>
      </c>
      <c r="O63" s="116"/>
    </row>
    <row r="64" spans="1:15" s="4" customFormat="1" ht="15" customHeight="1" thickBot="1" x14ac:dyDescent="0.25">
      <c r="A64" s="71"/>
      <c r="B64" s="126"/>
      <c r="C64" s="169"/>
      <c r="D64" s="169"/>
      <c r="E64" s="169"/>
      <c r="F64" s="190"/>
      <c r="G64" s="83">
        <f>SUM(G61:G63)</f>
        <v>352085</v>
      </c>
      <c r="H64" s="116"/>
      <c r="I64" s="377"/>
      <c r="J64" s="116"/>
      <c r="K64" s="155"/>
      <c r="L64" s="116"/>
      <c r="M64" s="116"/>
      <c r="N64" s="83">
        <f>SUM(N61:N63)</f>
        <v>352085</v>
      </c>
      <c r="O64" s="116"/>
    </row>
    <row r="65" spans="1:15" s="4" customFormat="1" ht="15" customHeight="1" x14ac:dyDescent="0.2">
      <c r="A65" s="71"/>
      <c r="B65" s="126"/>
      <c r="C65" s="169"/>
      <c r="D65" s="80"/>
      <c r="E65" s="169"/>
      <c r="F65" s="190"/>
      <c r="G65" s="39"/>
      <c r="H65" s="116"/>
      <c r="I65" s="377"/>
      <c r="J65" s="116"/>
      <c r="K65" s="155"/>
      <c r="L65" s="116"/>
      <c r="M65" s="116"/>
      <c r="N65" s="116"/>
      <c r="O65" s="116"/>
    </row>
    <row r="66" spans="1:15" s="4" customFormat="1" ht="45" customHeight="1" x14ac:dyDescent="0.2">
      <c r="A66" s="71"/>
      <c r="B66" s="126"/>
      <c r="C66" s="105" t="s">
        <v>97</v>
      </c>
      <c r="D66" s="105" t="s">
        <v>88</v>
      </c>
      <c r="E66" s="105" t="s">
        <v>148</v>
      </c>
      <c r="F66" s="191" t="s">
        <v>149</v>
      </c>
      <c r="G66" s="107" t="s">
        <v>146</v>
      </c>
      <c r="H66" s="116"/>
      <c r="I66" s="377"/>
      <c r="J66" s="217" t="s">
        <v>87</v>
      </c>
      <c r="K66" s="222" t="s">
        <v>165</v>
      </c>
      <c r="L66" s="222" t="s">
        <v>166</v>
      </c>
      <c r="M66" s="222" t="s">
        <v>197</v>
      </c>
      <c r="N66" s="217" t="s">
        <v>146</v>
      </c>
      <c r="O66" s="116"/>
    </row>
    <row r="67" spans="1:15" s="4" customFormat="1" ht="15" customHeight="1" x14ac:dyDescent="0.2">
      <c r="A67" s="71"/>
      <c r="B67" s="167" t="s">
        <v>208</v>
      </c>
      <c r="C67" s="169"/>
      <c r="D67" s="80"/>
      <c r="E67" s="169"/>
      <c r="F67" s="190"/>
      <c r="G67" s="39"/>
      <c r="H67" s="116"/>
      <c r="I67" s="377"/>
      <c r="J67" s="116"/>
      <c r="K67" s="155"/>
      <c r="L67" s="116"/>
      <c r="M67" s="116"/>
      <c r="N67" s="116"/>
      <c r="O67" s="116"/>
    </row>
    <row r="68" spans="1:15" s="4" customFormat="1" ht="15" customHeight="1" x14ac:dyDescent="0.2">
      <c r="A68" s="71"/>
      <c r="B68" s="126" t="s">
        <v>144</v>
      </c>
      <c r="C68" s="301">
        <v>2009</v>
      </c>
      <c r="D68" s="301">
        <f>Ref_SF_area</f>
        <v>1289000</v>
      </c>
      <c r="E68" s="301">
        <v>3.0000000000000001E-3</v>
      </c>
      <c r="F68" s="176">
        <f>'Cap$'!G21</f>
        <v>10994540</v>
      </c>
      <c r="G68" s="50">
        <f>E68*F68</f>
        <v>32983.620000000003</v>
      </c>
      <c r="H68" s="116"/>
      <c r="I68" s="377">
        <v>1</v>
      </c>
      <c r="J68" s="11">
        <f t="shared" ref="J68:J69" si="33">Proj_SF_Area</f>
        <v>1289000</v>
      </c>
      <c r="K68" s="155">
        <v>30</v>
      </c>
      <c r="L68" s="149">
        <f>(VLOOKUP(Cost_Yr,CI!$A$5:$AD$29,K68)/VLOOKUP($C68,CI!$A$5:$AD$29,K68))</f>
        <v>1</v>
      </c>
      <c r="M68" s="298">
        <v>1</v>
      </c>
      <c r="N68" s="50">
        <f t="shared" ref="N68:N73" si="34">G68*L68*M68*($J68/$D68)^$I68</f>
        <v>32983.620000000003</v>
      </c>
      <c r="O68" s="116"/>
    </row>
    <row r="69" spans="1:15" s="4" customFormat="1" ht="15" customHeight="1" x14ac:dyDescent="0.2">
      <c r="A69" s="71"/>
      <c r="B69" s="126" t="s">
        <v>142</v>
      </c>
      <c r="C69" s="301">
        <v>2009</v>
      </c>
      <c r="D69" s="301">
        <f>Ref_SF_area</f>
        <v>1289000</v>
      </c>
      <c r="E69" s="301">
        <v>3.0000000000000001E-3</v>
      </c>
      <c r="F69" s="176">
        <f>'Cap$'!G29</f>
        <v>233500000</v>
      </c>
      <c r="G69" s="50">
        <f t="shared" ref="G69:G73" si="35">E69*F69</f>
        <v>700500</v>
      </c>
      <c r="H69" s="116"/>
      <c r="I69" s="377">
        <v>1</v>
      </c>
      <c r="J69" s="11">
        <f t="shared" si="33"/>
        <v>1289000</v>
      </c>
      <c r="K69" s="155">
        <v>30</v>
      </c>
      <c r="L69" s="149">
        <f>(VLOOKUP(Cost_Yr,CI!$A$5:$AD$29,K69)/VLOOKUP($C69,CI!$A$5:$AD$29,K69))</f>
        <v>1</v>
      </c>
      <c r="M69" s="298">
        <v>1</v>
      </c>
      <c r="N69" s="50">
        <f t="shared" si="34"/>
        <v>700500</v>
      </c>
      <c r="O69" s="116"/>
    </row>
    <row r="70" spans="1:15" s="4" customFormat="1" ht="15" customHeight="1" x14ac:dyDescent="0.2">
      <c r="A70" s="71"/>
      <c r="B70" s="126" t="s">
        <v>349</v>
      </c>
      <c r="C70" s="301">
        <v>2009</v>
      </c>
      <c r="D70" s="301">
        <f>Ref_Rcvr_MWt</f>
        <v>910</v>
      </c>
      <c r="E70" s="301">
        <v>3.0000000000000001E-3</v>
      </c>
      <c r="F70" s="176">
        <f>'Cap$'!G40</f>
        <v>97020000</v>
      </c>
      <c r="G70" s="50">
        <f t="shared" si="35"/>
        <v>291060</v>
      </c>
      <c r="H70" s="116"/>
      <c r="I70" s="377">
        <v>1</v>
      </c>
      <c r="J70" s="11">
        <f>Proj_Rcvr_MWt</f>
        <v>670</v>
      </c>
      <c r="K70" s="155">
        <v>30</v>
      </c>
      <c r="L70" s="149">
        <f>(VLOOKUP(Cost_Yr,CI!$A$5:$AD$29,K70)/VLOOKUP($C70,CI!$A$5:$AD$29,K70))</f>
        <v>1</v>
      </c>
      <c r="M70" s="298">
        <v>1</v>
      </c>
      <c r="N70" s="50">
        <f t="shared" si="34"/>
        <v>214296.92307692309</v>
      </c>
      <c r="O70" s="116"/>
    </row>
    <row r="71" spans="1:15" s="4" customFormat="1" ht="15" customHeight="1" x14ac:dyDescent="0.2">
      <c r="A71" s="71"/>
      <c r="B71" s="126" t="s">
        <v>143</v>
      </c>
      <c r="C71" s="301">
        <v>2009</v>
      </c>
      <c r="D71" s="301">
        <f>Ref_TES_capacity</f>
        <v>2790</v>
      </c>
      <c r="E71" s="301">
        <v>3.0000000000000001E-3</v>
      </c>
      <c r="F71" s="176">
        <f>'Cap$'!G48</f>
        <v>73600000</v>
      </c>
      <c r="G71" s="50">
        <f t="shared" si="35"/>
        <v>220800</v>
      </c>
      <c r="H71" s="116"/>
      <c r="I71" s="377">
        <v>0.7</v>
      </c>
      <c r="J71" s="11">
        <f>Proj_TES_hrs</f>
        <v>10</v>
      </c>
      <c r="K71" s="155">
        <v>30</v>
      </c>
      <c r="L71" s="149">
        <f>(VLOOKUP(Cost_Yr,CI!$A$5:$AD$29,K71)/VLOOKUP($C71,CI!$A$5:$AD$29,K71))</f>
        <v>1</v>
      </c>
      <c r="M71" s="298">
        <v>1</v>
      </c>
      <c r="N71" s="50">
        <f t="shared" si="34"/>
        <v>4286.2364654711546</v>
      </c>
      <c r="O71" s="116"/>
    </row>
    <row r="72" spans="1:15" s="4" customFormat="1" ht="15" customHeight="1" x14ac:dyDescent="0.2">
      <c r="A72" s="71"/>
      <c r="B72" s="126" t="s">
        <v>145</v>
      </c>
      <c r="C72" s="301">
        <v>2009</v>
      </c>
      <c r="D72" s="301">
        <f>Ref_Turb_Gross</f>
        <v>115</v>
      </c>
      <c r="E72" s="301">
        <v>0.01</v>
      </c>
      <c r="F72" s="176">
        <f>'Cap$'!G50</f>
        <v>0</v>
      </c>
      <c r="G72" s="50">
        <f t="shared" si="35"/>
        <v>0</v>
      </c>
      <c r="H72" s="116"/>
      <c r="I72" s="377">
        <v>0.7</v>
      </c>
      <c r="J72" s="11">
        <f>Proj_Turb_Gross</f>
        <v>115</v>
      </c>
      <c r="K72" s="155">
        <v>30</v>
      </c>
      <c r="L72" s="149">
        <f>(VLOOKUP(Cost_Yr,CI!$A$5:$AD$29,K72)/VLOOKUP($C72,CI!$A$5:$AD$29,K72))</f>
        <v>1</v>
      </c>
      <c r="M72" s="298">
        <v>1</v>
      </c>
      <c r="N72" s="50">
        <f t="shared" si="34"/>
        <v>0</v>
      </c>
      <c r="O72" s="116"/>
    </row>
    <row r="73" spans="1:15" s="4" customFormat="1" ht="15" customHeight="1" x14ac:dyDescent="0.2">
      <c r="A73" s="71"/>
      <c r="B73" s="126" t="s">
        <v>141</v>
      </c>
      <c r="C73" s="301">
        <v>2009</v>
      </c>
      <c r="D73" s="301">
        <f>Ref_Turb_Gross</f>
        <v>115</v>
      </c>
      <c r="E73" s="301">
        <v>0.02</v>
      </c>
      <c r="F73" s="176">
        <f>'Cap$'!G77</f>
        <v>138050000</v>
      </c>
      <c r="G73" s="50">
        <f t="shared" si="35"/>
        <v>2761000</v>
      </c>
      <c r="H73" s="116"/>
      <c r="I73" s="377">
        <v>0.7</v>
      </c>
      <c r="J73" s="11">
        <f>Proj_Turb_Gross</f>
        <v>115</v>
      </c>
      <c r="K73" s="214">
        <v>30</v>
      </c>
      <c r="L73" s="215">
        <f>(VLOOKUP(Cost_Yr,CI!$A$5:$AD$29,K73)/VLOOKUP($C73,CI!$A$5:$AD$29,K73))</f>
        <v>1</v>
      </c>
      <c r="M73" s="298">
        <v>1</v>
      </c>
      <c r="N73" s="50">
        <f t="shared" si="34"/>
        <v>2761000</v>
      </c>
      <c r="O73" s="116"/>
    </row>
    <row r="74" spans="1:15" s="4" customFormat="1" ht="15" customHeight="1" thickBot="1" x14ac:dyDescent="0.25">
      <c r="A74" s="71"/>
      <c r="B74" s="126"/>
      <c r="C74" s="169"/>
      <c r="D74" s="80"/>
      <c r="E74" s="80"/>
      <c r="F74" s="175"/>
      <c r="G74" s="83">
        <f>SUM(G68:G73)</f>
        <v>4006343.62</v>
      </c>
      <c r="H74" s="116"/>
      <c r="I74" s="377"/>
      <c r="J74" s="116"/>
      <c r="K74" s="216"/>
      <c r="L74" s="116"/>
      <c r="M74" s="116"/>
      <c r="N74" s="83">
        <f>SUM(N68:N73)</f>
        <v>3713066.779542394</v>
      </c>
      <c r="O74" s="116"/>
    </row>
    <row r="75" spans="1:15" s="4" customFormat="1" ht="15" customHeight="1" x14ac:dyDescent="0.2">
      <c r="A75" s="71"/>
      <c r="B75" s="126"/>
      <c r="C75" s="169"/>
      <c r="D75" s="80"/>
      <c r="E75" s="80"/>
      <c r="F75" s="175"/>
      <c r="G75" s="39"/>
      <c r="H75" s="116"/>
      <c r="I75" s="377"/>
      <c r="J75" s="116"/>
      <c r="K75" s="216"/>
      <c r="L75" s="116"/>
      <c r="M75" s="116"/>
      <c r="N75" s="116"/>
      <c r="O75" s="116"/>
    </row>
    <row r="76" spans="1:15" s="4" customFormat="1" ht="15" customHeight="1" thickBot="1" x14ac:dyDescent="0.25">
      <c r="A76" s="71"/>
      <c r="B76" s="198"/>
      <c r="C76" s="199"/>
      <c r="D76" s="200"/>
      <c r="E76" s="200"/>
      <c r="F76" s="201"/>
      <c r="G76" s="202"/>
      <c r="H76" s="116"/>
      <c r="I76" s="377"/>
      <c r="J76" s="116"/>
      <c r="K76" s="216"/>
      <c r="L76" s="116"/>
      <c r="M76" s="116"/>
      <c r="N76" s="116"/>
      <c r="O76" s="116"/>
    </row>
    <row r="77" spans="1:15" s="4" customFormat="1" ht="15" customHeight="1" x14ac:dyDescent="0.25">
      <c r="A77" s="71"/>
      <c r="B77" s="239" t="s">
        <v>167</v>
      </c>
      <c r="C77" s="240"/>
      <c r="D77" s="241"/>
      <c r="E77" s="241"/>
      <c r="F77" s="242"/>
      <c r="G77" s="243"/>
      <c r="H77" s="116"/>
      <c r="I77" s="377"/>
      <c r="J77" s="218" t="s">
        <v>168</v>
      </c>
      <c r="K77" s="223"/>
      <c r="L77" s="224"/>
      <c r="M77" s="224"/>
      <c r="N77" s="225"/>
      <c r="O77" s="116"/>
    </row>
    <row r="78" spans="1:15" s="4" customFormat="1" ht="15" customHeight="1" x14ac:dyDescent="0.2">
      <c r="A78" s="71"/>
      <c r="B78" s="205" t="s">
        <v>150</v>
      </c>
      <c r="C78" s="180"/>
      <c r="D78" s="194"/>
      <c r="E78" s="194"/>
      <c r="F78" s="195"/>
      <c r="G78" s="248">
        <f>G49</f>
        <v>5485050</v>
      </c>
      <c r="H78" s="116" t="s">
        <v>205</v>
      </c>
      <c r="I78" s="377"/>
      <c r="J78" s="219" t="s">
        <v>150</v>
      </c>
      <c r="K78" s="234"/>
      <c r="L78" s="235"/>
      <c r="M78" s="297"/>
      <c r="N78" s="226">
        <f>N49</f>
        <v>5413253.6003853744</v>
      </c>
      <c r="O78" s="116"/>
    </row>
    <row r="79" spans="1:15" s="4" customFormat="1" ht="15" customHeight="1" x14ac:dyDescent="0.2">
      <c r="A79" s="71"/>
      <c r="B79" s="205" t="s">
        <v>132</v>
      </c>
      <c r="C79" s="180"/>
      <c r="D79" s="194"/>
      <c r="E79" s="194"/>
      <c r="F79" s="195"/>
      <c r="G79" s="248">
        <f>G59</f>
        <v>800000</v>
      </c>
      <c r="H79" s="116" t="s">
        <v>205</v>
      </c>
      <c r="I79" s="377"/>
      <c r="J79" s="219" t="s">
        <v>132</v>
      </c>
      <c r="K79" s="234"/>
      <c r="L79" s="235"/>
      <c r="M79" s="297"/>
      <c r="N79" s="226">
        <f>N59</f>
        <v>795784.91257539904</v>
      </c>
      <c r="O79" s="116"/>
    </row>
    <row r="80" spans="1:15" s="4" customFormat="1" ht="15" customHeight="1" x14ac:dyDescent="0.2">
      <c r="A80" s="71"/>
      <c r="B80" s="205" t="s">
        <v>156</v>
      </c>
      <c r="C80" s="180"/>
      <c r="D80" s="194"/>
      <c r="E80" s="194"/>
      <c r="F80" s="195"/>
      <c r="G80" s="248">
        <f>G64</f>
        <v>352085</v>
      </c>
      <c r="H80" s="116" t="s">
        <v>206</v>
      </c>
      <c r="I80" s="377"/>
      <c r="J80" s="219" t="s">
        <v>156</v>
      </c>
      <c r="K80" s="234"/>
      <c r="L80" s="235"/>
      <c r="M80" s="297"/>
      <c r="N80" s="226">
        <f>N64</f>
        <v>352085</v>
      </c>
      <c r="O80" s="116"/>
    </row>
    <row r="81" spans="1:21" x14ac:dyDescent="0.2">
      <c r="B81" s="205" t="s">
        <v>151</v>
      </c>
      <c r="C81" s="180"/>
      <c r="D81" s="194"/>
      <c r="E81" s="194"/>
      <c r="F81" s="195"/>
      <c r="G81" s="249">
        <f>G74</f>
        <v>4006343.62</v>
      </c>
      <c r="H81" s="116" t="s">
        <v>350</v>
      </c>
      <c r="I81" s="372"/>
      <c r="J81" s="219" t="s">
        <v>151</v>
      </c>
      <c r="K81" s="236"/>
      <c r="L81" s="236"/>
      <c r="M81" s="235"/>
      <c r="N81" s="227">
        <f>N74</f>
        <v>3713066.779542394</v>
      </c>
      <c r="O81" s="116"/>
    </row>
    <row r="82" spans="1:21" s="49" customFormat="1" ht="13.5" thickBot="1" x14ac:dyDescent="0.25">
      <c r="A82" s="71"/>
      <c r="B82" s="244"/>
      <c r="C82" s="237"/>
      <c r="D82" s="208"/>
      <c r="E82" s="208"/>
      <c r="F82" s="238"/>
      <c r="G82" s="247">
        <f>SUM(G78:G81)</f>
        <v>10643478.620000001</v>
      </c>
      <c r="H82" s="203"/>
      <c r="I82" s="372"/>
      <c r="J82" s="219"/>
      <c r="K82" s="236"/>
      <c r="L82" s="236"/>
      <c r="M82" s="235"/>
      <c r="N82" s="228">
        <f>SUM(N78:N81)</f>
        <v>10274190.292503167</v>
      </c>
      <c r="O82" s="203"/>
      <c r="P82" s="7"/>
      <c r="Q82" s="7"/>
      <c r="R82" s="7"/>
      <c r="S82" s="7"/>
      <c r="T82" s="7"/>
      <c r="U82" s="7"/>
    </row>
    <row r="83" spans="1:21" s="49" customFormat="1" x14ac:dyDescent="0.2">
      <c r="A83" s="71"/>
      <c r="B83" s="244"/>
      <c r="C83" s="237"/>
      <c r="D83" s="208"/>
      <c r="E83" s="208"/>
      <c r="F83" s="238"/>
      <c r="G83" s="206"/>
      <c r="H83" s="203"/>
      <c r="I83" s="372"/>
      <c r="J83" s="219"/>
      <c r="K83" s="220"/>
      <c r="L83" s="220"/>
      <c r="M83" s="220"/>
      <c r="N83" s="370"/>
      <c r="O83" s="203"/>
      <c r="P83" s="7"/>
      <c r="Q83" s="7"/>
      <c r="R83" s="7"/>
      <c r="S83" s="7"/>
      <c r="T83" s="7"/>
      <c r="U83" s="7"/>
    </row>
    <row r="84" spans="1:21" s="49" customFormat="1" x14ac:dyDescent="0.2">
      <c r="A84" s="71"/>
      <c r="B84" s="207"/>
      <c r="C84" s="208"/>
      <c r="D84" s="209"/>
      <c r="E84" s="209"/>
      <c r="F84" s="210" t="s">
        <v>163</v>
      </c>
      <c r="G84" s="245">
        <f>(G78+G79+G81*0.5)/Ref_Turb_Gross/1000</f>
        <v>72.071494000000001</v>
      </c>
      <c r="H84" s="204"/>
      <c r="I84" s="373"/>
      <c r="J84" s="229"/>
      <c r="K84" s="220"/>
      <c r="L84" s="221" t="s">
        <v>163</v>
      </c>
      <c r="M84" s="221"/>
      <c r="N84" s="230">
        <f>(N78+N79+N81*0.5)/Proj_Turb_Gross/1000</f>
        <v>70.135407849843219</v>
      </c>
      <c r="O84" s="204"/>
      <c r="P84" s="7"/>
      <c r="Q84" s="7"/>
      <c r="R84" s="7"/>
      <c r="S84" s="7"/>
      <c r="T84" s="7"/>
      <c r="U84" s="7"/>
    </row>
    <row r="85" spans="1:21" s="49" customFormat="1" ht="13.5" thickBot="1" x14ac:dyDescent="0.25">
      <c r="A85" s="71"/>
      <c r="B85" s="211"/>
      <c r="C85" s="212"/>
      <c r="D85" s="213"/>
      <c r="E85" s="213"/>
      <c r="F85" s="246" t="s">
        <v>164</v>
      </c>
      <c r="G85" s="294">
        <f>(G80+G81*0.5)/Ref_Enet_yr</f>
        <v>3.9919606949152544</v>
      </c>
      <c r="H85" s="204"/>
      <c r="I85" s="373"/>
      <c r="J85" s="231"/>
      <c r="K85" s="232"/>
      <c r="L85" s="233" t="s">
        <v>239</v>
      </c>
      <c r="M85" s="233"/>
      <c r="N85" s="410">
        <f>N80+N81*0.5</f>
        <v>2208618.389771197</v>
      </c>
      <c r="O85" s="204"/>
      <c r="P85" s="7"/>
      <c r="Q85" s="7"/>
      <c r="R85" s="7"/>
      <c r="S85" s="7"/>
      <c r="T85" s="7"/>
      <c r="U85" s="7"/>
    </row>
    <row r="86" spans="1:21" s="49" customFormat="1" x14ac:dyDescent="0.2">
      <c r="A86" s="71"/>
      <c r="B86" s="65"/>
      <c r="C86"/>
      <c r="D86"/>
      <c r="E86"/>
      <c r="F86" s="173"/>
      <c r="G86" s="37"/>
      <c r="H86" s="93"/>
      <c r="I86" s="372"/>
      <c r="J86" s="203"/>
      <c r="K86" s="46"/>
      <c r="L86" s="46"/>
      <c r="M86" s="46"/>
      <c r="N86" s="46"/>
      <c r="O86" s="46"/>
      <c r="P86" s="7"/>
      <c r="Q86" s="7"/>
      <c r="R86" s="7"/>
      <c r="S86" s="7"/>
      <c r="T86" s="7"/>
      <c r="U86" s="7"/>
    </row>
    <row r="87" spans="1:21" s="49" customFormat="1" x14ac:dyDescent="0.2">
      <c r="A87" s="71"/>
      <c r="B87" s="65"/>
      <c r="C87"/>
      <c r="D87"/>
      <c r="E87"/>
      <c r="F87" s="173"/>
      <c r="G87" s="37"/>
      <c r="H87" s="93"/>
      <c r="I87" s="372"/>
      <c r="J87" s="203"/>
      <c r="K87" s="46"/>
      <c r="L87" s="46"/>
      <c r="M87" s="46"/>
      <c r="N87" s="46"/>
      <c r="O87" s="46"/>
      <c r="P87" s="7"/>
      <c r="Q87" s="7"/>
      <c r="R87" s="7"/>
      <c r="S87" s="7"/>
      <c r="T87" s="7"/>
      <c r="U87" s="7"/>
    </row>
    <row r="88" spans="1:21" s="49" customFormat="1" x14ac:dyDescent="0.2">
      <c r="A88" s="71"/>
      <c r="B88" s="65"/>
      <c r="C88"/>
      <c r="D88"/>
      <c r="E88"/>
      <c r="F88" s="173"/>
      <c r="G88" s="37"/>
      <c r="H88" s="46"/>
      <c r="I88" s="372"/>
      <c r="J88" s="203"/>
      <c r="K88" s="46"/>
      <c r="L88" s="46"/>
      <c r="M88" s="46"/>
      <c r="N88" s="46"/>
      <c r="O88" s="46"/>
      <c r="P88" s="7"/>
      <c r="Q88" s="7"/>
      <c r="R88" s="7"/>
      <c r="S88" s="7"/>
      <c r="T88" s="7"/>
      <c r="U88" s="7"/>
    </row>
    <row r="89" spans="1:21" s="49" customFormat="1" x14ac:dyDescent="0.2">
      <c r="A89" s="71"/>
      <c r="B89" s="65"/>
      <c r="C89"/>
      <c r="D89"/>
      <c r="E89"/>
      <c r="F89" s="173"/>
      <c r="G89" s="37"/>
      <c r="H89" s="46"/>
      <c r="I89" s="372"/>
      <c r="J89" s="203"/>
      <c r="K89" s="46"/>
      <c r="L89" s="46"/>
      <c r="M89" s="46"/>
      <c r="N89" s="46"/>
      <c r="O89" s="46"/>
      <c r="P89" s="7"/>
      <c r="Q89" s="7"/>
      <c r="R89" s="7"/>
      <c r="S89" s="7"/>
      <c r="T89" s="7"/>
      <c r="U89" s="7"/>
    </row>
    <row r="90" spans="1:21" s="49" customFormat="1" x14ac:dyDescent="0.2">
      <c r="A90" s="71"/>
      <c r="B90" s="65"/>
      <c r="C90"/>
      <c r="D90"/>
      <c r="E90"/>
      <c r="F90" s="173"/>
      <c r="G90" s="37"/>
      <c r="H90" s="46"/>
      <c r="I90" s="372"/>
      <c r="J90" s="203"/>
      <c r="K90" s="46"/>
      <c r="L90" s="46"/>
      <c r="M90" s="46"/>
      <c r="N90" s="46"/>
      <c r="O90" s="46"/>
      <c r="P90" s="7"/>
      <c r="Q90" s="7"/>
      <c r="R90" s="7"/>
      <c r="S90" s="7"/>
      <c r="T90" s="7"/>
      <c r="U90" s="7"/>
    </row>
    <row r="91" spans="1:21" s="49" customFormat="1" x14ac:dyDescent="0.2">
      <c r="A91" s="71"/>
      <c r="B91" s="65"/>
      <c r="C91"/>
      <c r="D91"/>
      <c r="E91"/>
      <c r="F91" s="173"/>
      <c r="G91" s="37"/>
      <c r="H91" s="46"/>
      <c r="I91" s="371"/>
      <c r="J91" s="46"/>
      <c r="K91" s="46"/>
      <c r="L91" s="46"/>
      <c r="M91" s="46"/>
      <c r="N91" s="46"/>
      <c r="O91" s="46"/>
      <c r="P91" s="7"/>
      <c r="Q91" s="7"/>
      <c r="R91" s="7"/>
      <c r="S91" s="7"/>
      <c r="T91" s="7"/>
      <c r="U91" s="7"/>
    </row>
    <row r="92" spans="1:21" s="49" customFormat="1" x14ac:dyDescent="0.2">
      <c r="A92" s="71"/>
      <c r="B92" s="65"/>
      <c r="C92"/>
      <c r="D92"/>
      <c r="E92"/>
      <c r="F92" s="173"/>
      <c r="G92" s="37"/>
      <c r="H92" s="46"/>
      <c r="I92" s="371"/>
      <c r="J92" s="46"/>
      <c r="K92" s="46"/>
      <c r="L92" s="46"/>
      <c r="M92" s="46"/>
      <c r="N92" s="46"/>
      <c r="O92" s="46"/>
      <c r="P92" s="7"/>
      <c r="Q92" s="7"/>
      <c r="R92" s="7"/>
      <c r="S92" s="7"/>
      <c r="T92" s="7"/>
      <c r="U92" s="7"/>
    </row>
    <row r="93" spans="1:21" s="49" customFormat="1" x14ac:dyDescent="0.2">
      <c r="A93" s="71"/>
      <c r="B93" s="65"/>
      <c r="C93"/>
      <c r="D93"/>
      <c r="E93"/>
      <c r="F93" s="173"/>
      <c r="G93" s="37"/>
      <c r="H93" s="46"/>
      <c r="I93" s="371"/>
      <c r="J93" s="46"/>
      <c r="K93" s="46"/>
      <c r="L93" s="46"/>
      <c r="M93" s="46"/>
      <c r="N93" s="46"/>
      <c r="O93" s="46"/>
      <c r="P93" s="7"/>
      <c r="Q93" s="7"/>
      <c r="R93" s="7"/>
      <c r="S93" s="7"/>
      <c r="T93" s="7"/>
      <c r="U93" s="7"/>
    </row>
    <row r="94" spans="1:21" s="49" customFormat="1" x14ac:dyDescent="0.2">
      <c r="A94" s="71"/>
      <c r="B94" s="65"/>
      <c r="C94"/>
      <c r="D94"/>
      <c r="E94"/>
      <c r="F94" s="173"/>
      <c r="G94" s="37"/>
      <c r="H94" s="46"/>
      <c r="I94" s="371"/>
      <c r="J94" s="46"/>
      <c r="K94" s="46"/>
      <c r="L94" s="46"/>
      <c r="M94" s="46"/>
      <c r="N94" s="46"/>
      <c r="O94" s="46"/>
      <c r="P94" s="7"/>
      <c r="Q94" s="7"/>
      <c r="R94" s="7"/>
      <c r="S94" s="7"/>
      <c r="T94" s="7"/>
      <c r="U94" s="7"/>
    </row>
    <row r="95" spans="1:21" s="49" customFormat="1" x14ac:dyDescent="0.2">
      <c r="A95" s="71"/>
      <c r="B95" s="65"/>
      <c r="C95"/>
      <c r="D95"/>
      <c r="E95"/>
      <c r="F95" s="173"/>
      <c r="G95" s="37"/>
      <c r="H95" s="46"/>
      <c r="I95" s="371"/>
      <c r="J95" s="46"/>
      <c r="K95" s="46"/>
      <c r="L95" s="46"/>
      <c r="M95" s="46"/>
      <c r="N95" s="46"/>
      <c r="O95" s="46"/>
      <c r="P95" s="7"/>
      <c r="Q95" s="7"/>
      <c r="R95" s="7"/>
      <c r="S95" s="7"/>
      <c r="T95" s="7"/>
      <c r="U95" s="7"/>
    </row>
    <row r="96" spans="1:21" s="49" customFormat="1" x14ac:dyDescent="0.2">
      <c r="A96" s="71"/>
      <c r="B96" s="65"/>
      <c r="C96"/>
      <c r="D96"/>
      <c r="E96"/>
      <c r="F96" s="173"/>
      <c r="G96" s="37"/>
      <c r="H96" s="46"/>
      <c r="I96" s="371"/>
      <c r="J96" s="46"/>
      <c r="K96" s="46"/>
      <c r="L96" s="46"/>
      <c r="M96" s="46"/>
      <c r="N96" s="46"/>
      <c r="O96" s="46"/>
      <c r="P96" s="7"/>
      <c r="Q96" s="7"/>
      <c r="R96" s="7"/>
      <c r="S96" s="7"/>
      <c r="T96" s="7"/>
      <c r="U96" s="7"/>
    </row>
    <row r="97" spans="1:21" s="49" customFormat="1" x14ac:dyDescent="0.2">
      <c r="A97" s="71"/>
      <c r="B97" s="65"/>
      <c r="C97"/>
      <c r="D97"/>
      <c r="E97"/>
      <c r="F97" s="173"/>
      <c r="G97" s="37"/>
      <c r="H97" s="46"/>
      <c r="I97" s="371"/>
      <c r="J97" s="46"/>
      <c r="K97" s="46"/>
      <c r="L97" s="46"/>
      <c r="M97" s="46"/>
      <c r="N97" s="46"/>
      <c r="O97" s="46"/>
      <c r="P97" s="7"/>
      <c r="Q97" s="7"/>
      <c r="R97" s="7"/>
      <c r="S97" s="7"/>
      <c r="T97" s="7"/>
      <c r="U97" s="7"/>
    </row>
    <row r="98" spans="1:21" s="49" customFormat="1" x14ac:dyDescent="0.2">
      <c r="A98" s="71"/>
      <c r="B98" s="65"/>
      <c r="C98"/>
      <c r="D98"/>
      <c r="E98"/>
      <c r="F98" s="173"/>
      <c r="G98" s="37"/>
      <c r="H98" s="46"/>
      <c r="I98" s="371"/>
      <c r="J98" s="46"/>
      <c r="K98" s="46"/>
      <c r="L98" s="46"/>
      <c r="M98" s="46"/>
      <c r="N98" s="46"/>
      <c r="O98" s="46"/>
      <c r="P98" s="7"/>
      <c r="Q98" s="7"/>
      <c r="R98" s="7"/>
      <c r="S98" s="7"/>
      <c r="T98" s="7"/>
      <c r="U98" s="7"/>
    </row>
    <row r="99" spans="1:21" s="49" customFormat="1" x14ac:dyDescent="0.2">
      <c r="A99" s="71"/>
      <c r="B99" s="65"/>
      <c r="C99"/>
      <c r="D99"/>
      <c r="E99"/>
      <c r="F99" s="173"/>
      <c r="G99" s="37"/>
      <c r="H99" s="46"/>
      <c r="I99" s="371"/>
      <c r="J99" s="46"/>
      <c r="K99" s="46"/>
      <c r="L99" s="46"/>
      <c r="M99" s="46"/>
      <c r="N99" s="46"/>
      <c r="O99" s="46"/>
      <c r="P99" s="7"/>
      <c r="Q99" s="7"/>
      <c r="R99" s="7"/>
      <c r="S99" s="7"/>
      <c r="T99" s="7"/>
      <c r="U99" s="7"/>
    </row>
    <row r="100" spans="1:21" s="49" customFormat="1" x14ac:dyDescent="0.2">
      <c r="A100" s="71"/>
      <c r="B100" s="65"/>
      <c r="C100"/>
      <c r="D100"/>
      <c r="E100"/>
      <c r="F100" s="173"/>
      <c r="G100" s="37"/>
      <c r="H100" s="46"/>
      <c r="I100" s="371"/>
      <c r="J100" s="46"/>
      <c r="K100" s="46"/>
      <c r="L100" s="46"/>
      <c r="M100" s="46"/>
      <c r="N100" s="46"/>
      <c r="O100" s="46"/>
      <c r="P100" s="7"/>
      <c r="Q100" s="7"/>
      <c r="R100" s="7"/>
      <c r="S100" s="7"/>
      <c r="T100" s="7"/>
      <c r="U100" s="7"/>
    </row>
    <row r="101" spans="1:21" s="49" customFormat="1" x14ac:dyDescent="0.2">
      <c r="A101" s="71"/>
      <c r="B101" s="65"/>
      <c r="C101"/>
      <c r="D101"/>
      <c r="E101"/>
      <c r="F101" s="173"/>
      <c r="G101" s="37"/>
      <c r="H101" s="46"/>
      <c r="I101" s="371"/>
      <c r="J101" s="46"/>
      <c r="K101" s="46"/>
      <c r="L101" s="46"/>
      <c r="M101" s="46"/>
      <c r="N101" s="46"/>
      <c r="O101" s="46"/>
      <c r="P101" s="7"/>
      <c r="Q101" s="7"/>
      <c r="R101" s="7"/>
      <c r="S101" s="7"/>
      <c r="T101" s="7"/>
      <c r="U101" s="7"/>
    </row>
    <row r="102" spans="1:21" s="49" customFormat="1" x14ac:dyDescent="0.2">
      <c r="A102" s="71"/>
      <c r="B102" s="65"/>
      <c r="C102"/>
      <c r="D102"/>
      <c r="E102"/>
      <c r="F102" s="173"/>
      <c r="G102" s="37"/>
      <c r="H102" s="46"/>
      <c r="I102" s="371"/>
      <c r="J102" s="46"/>
      <c r="K102" s="46"/>
      <c r="L102" s="46"/>
      <c r="M102" s="46"/>
      <c r="N102" s="46"/>
      <c r="O102" s="46"/>
      <c r="P102" s="7"/>
      <c r="Q102" s="7"/>
      <c r="R102" s="7"/>
      <c r="S102" s="7"/>
      <c r="T102" s="7"/>
      <c r="U102" s="7"/>
    </row>
    <row r="103" spans="1:21" s="49" customFormat="1" x14ac:dyDescent="0.2">
      <c r="A103" s="71"/>
      <c r="B103" s="65"/>
      <c r="C103"/>
      <c r="D103"/>
      <c r="E103"/>
      <c r="F103" s="173"/>
      <c r="G103" s="37"/>
      <c r="H103" s="46"/>
      <c r="I103" s="371"/>
      <c r="J103" s="46"/>
      <c r="K103" s="46"/>
      <c r="L103" s="46"/>
      <c r="M103" s="46"/>
      <c r="N103" s="46"/>
      <c r="O103" s="46"/>
      <c r="P103" s="7"/>
      <c r="Q103" s="7"/>
      <c r="R103" s="7"/>
      <c r="S103" s="7"/>
      <c r="T103" s="7"/>
      <c r="U103" s="7"/>
    </row>
    <row r="104" spans="1:21" s="49" customFormat="1" x14ac:dyDescent="0.2">
      <c r="A104" s="71"/>
      <c r="B104" s="65"/>
      <c r="C104"/>
      <c r="D104"/>
      <c r="E104"/>
      <c r="F104" s="173"/>
      <c r="G104" s="37"/>
      <c r="H104" s="46"/>
      <c r="I104" s="371"/>
      <c r="J104" s="46"/>
      <c r="K104" s="46"/>
      <c r="L104" s="46"/>
      <c r="M104" s="46"/>
      <c r="N104" s="46"/>
      <c r="O104" s="46"/>
      <c r="P104" s="7"/>
      <c r="Q104" s="7"/>
      <c r="R104" s="7"/>
      <c r="S104" s="7"/>
      <c r="T104" s="7"/>
      <c r="U104" s="7"/>
    </row>
    <row r="105" spans="1:21" s="49" customFormat="1" x14ac:dyDescent="0.2">
      <c r="A105" s="71"/>
      <c r="B105" s="65"/>
      <c r="C105"/>
      <c r="D105"/>
      <c r="E105"/>
      <c r="F105" s="173"/>
      <c r="G105" s="37"/>
      <c r="H105" s="46"/>
      <c r="I105" s="371"/>
      <c r="J105" s="46"/>
      <c r="K105" s="46"/>
      <c r="L105" s="46"/>
      <c r="M105" s="46"/>
      <c r="N105" s="46"/>
      <c r="O105" s="46"/>
      <c r="P105" s="7"/>
      <c r="Q105" s="7"/>
      <c r="R105" s="7"/>
      <c r="S105" s="7"/>
      <c r="T105" s="7"/>
      <c r="U105" s="7"/>
    </row>
    <row r="106" spans="1:21" s="49" customFormat="1" x14ac:dyDescent="0.2">
      <c r="A106" s="71"/>
      <c r="B106" s="65"/>
      <c r="C106"/>
      <c r="D106"/>
      <c r="E106"/>
      <c r="F106" s="173"/>
      <c r="G106" s="37"/>
      <c r="H106" s="46"/>
      <c r="I106" s="371"/>
      <c r="J106" s="46"/>
      <c r="K106" s="46"/>
      <c r="L106" s="46"/>
      <c r="M106" s="46"/>
      <c r="N106" s="46"/>
      <c r="O106" s="46"/>
      <c r="P106" s="7"/>
      <c r="Q106" s="7"/>
      <c r="R106" s="7"/>
      <c r="S106" s="7"/>
      <c r="T106" s="7"/>
      <c r="U106" s="7"/>
    </row>
    <row r="107" spans="1:21" s="49" customFormat="1" x14ac:dyDescent="0.2">
      <c r="A107" s="71"/>
      <c r="B107" s="65"/>
      <c r="C107"/>
      <c r="D107"/>
      <c r="E107"/>
      <c r="F107" s="173"/>
      <c r="G107" s="37"/>
      <c r="H107" s="46"/>
      <c r="I107" s="371"/>
      <c r="J107" s="46"/>
      <c r="K107" s="46"/>
      <c r="L107" s="46"/>
      <c r="M107" s="46"/>
      <c r="N107" s="46"/>
      <c r="O107" s="46"/>
      <c r="P107" s="7"/>
      <c r="Q107" s="7"/>
      <c r="R107" s="7"/>
      <c r="S107" s="7"/>
      <c r="T107" s="7"/>
      <c r="U107" s="7"/>
    </row>
    <row r="108" spans="1:21" s="49" customFormat="1" x14ac:dyDescent="0.2">
      <c r="A108" s="71"/>
      <c r="B108" s="65"/>
      <c r="C108"/>
      <c r="D108"/>
      <c r="E108"/>
      <c r="F108" s="173"/>
      <c r="G108" s="37"/>
      <c r="H108" s="46"/>
      <c r="I108" s="371"/>
      <c r="J108" s="46"/>
      <c r="K108" s="46"/>
      <c r="L108" s="46"/>
      <c r="M108" s="46"/>
      <c r="N108" s="46"/>
      <c r="O108" s="46"/>
      <c r="P108" s="7"/>
      <c r="Q108" s="7"/>
      <c r="R108" s="7"/>
      <c r="S108" s="7"/>
      <c r="T108" s="7"/>
      <c r="U108" s="7"/>
    </row>
    <row r="109" spans="1:21" s="49" customFormat="1" x14ac:dyDescent="0.2">
      <c r="A109" s="71"/>
      <c r="B109" s="65"/>
      <c r="C109"/>
      <c r="D109"/>
      <c r="E109"/>
      <c r="F109" s="173"/>
      <c r="G109" s="37"/>
      <c r="H109" s="46"/>
      <c r="I109" s="371"/>
      <c r="J109" s="46"/>
      <c r="K109" s="46"/>
      <c r="L109" s="46"/>
      <c r="M109" s="46"/>
      <c r="N109" s="46"/>
      <c r="O109" s="46"/>
      <c r="P109" s="7"/>
      <c r="Q109" s="7"/>
      <c r="R109" s="7"/>
      <c r="S109" s="7"/>
      <c r="T109" s="7"/>
      <c r="U109" s="7"/>
    </row>
    <row r="110" spans="1:21" s="49" customFormat="1" x14ac:dyDescent="0.2">
      <c r="A110" s="71"/>
      <c r="B110" s="65"/>
      <c r="C110"/>
      <c r="D110"/>
      <c r="E110"/>
      <c r="F110" s="173"/>
      <c r="G110" s="37"/>
      <c r="H110" s="46"/>
      <c r="I110" s="371"/>
      <c r="J110" s="46"/>
      <c r="K110" s="46"/>
      <c r="L110" s="46"/>
      <c r="M110" s="46"/>
      <c r="N110" s="46"/>
      <c r="O110" s="46"/>
      <c r="P110" s="7"/>
      <c r="Q110" s="7"/>
      <c r="R110" s="7"/>
      <c r="S110" s="7"/>
      <c r="T110" s="7"/>
      <c r="U110" s="7"/>
    </row>
    <row r="111" spans="1:21" s="49" customFormat="1" x14ac:dyDescent="0.2">
      <c r="A111" s="71"/>
      <c r="B111" s="65"/>
      <c r="C111"/>
      <c r="D111"/>
      <c r="E111"/>
      <c r="F111" s="173"/>
      <c r="G111" s="37"/>
      <c r="H111" s="46"/>
      <c r="I111" s="371"/>
      <c r="J111" s="46"/>
      <c r="K111" s="46"/>
      <c r="L111" s="46"/>
      <c r="M111" s="46"/>
      <c r="N111" s="46"/>
      <c r="O111" s="46"/>
      <c r="P111" s="7"/>
      <c r="Q111" s="7"/>
      <c r="R111" s="7"/>
      <c r="S111" s="7"/>
      <c r="T111" s="7"/>
      <c r="U111" s="7"/>
    </row>
    <row r="112" spans="1:21" s="49" customFormat="1" x14ac:dyDescent="0.2">
      <c r="A112" s="71"/>
      <c r="B112" s="65"/>
      <c r="C112"/>
      <c r="D112"/>
      <c r="E112"/>
      <c r="F112" s="173"/>
      <c r="G112" s="37"/>
      <c r="H112" s="46"/>
      <c r="I112" s="371"/>
      <c r="J112" s="46"/>
      <c r="K112" s="46"/>
      <c r="L112" s="46"/>
      <c r="M112" s="46"/>
      <c r="N112" s="46"/>
      <c r="O112" s="46"/>
      <c r="P112" s="7"/>
      <c r="Q112" s="7"/>
      <c r="R112" s="7"/>
      <c r="S112" s="7"/>
      <c r="T112" s="7"/>
      <c r="U112" s="7"/>
    </row>
    <row r="113" spans="1:21" s="49" customFormat="1" x14ac:dyDescent="0.2">
      <c r="A113" s="71"/>
      <c r="B113" s="65"/>
      <c r="C113"/>
      <c r="D113"/>
      <c r="E113"/>
      <c r="F113" s="173"/>
      <c r="G113" s="37"/>
      <c r="H113" s="46"/>
      <c r="I113" s="371"/>
      <c r="J113" s="46"/>
      <c r="K113" s="46"/>
      <c r="L113" s="46"/>
      <c r="M113" s="46"/>
      <c r="N113" s="46"/>
      <c r="O113" s="46"/>
      <c r="P113" s="7"/>
      <c r="Q113" s="7"/>
      <c r="R113" s="7"/>
      <c r="S113" s="7"/>
      <c r="T113" s="7"/>
      <c r="U113" s="7"/>
    </row>
    <row r="114" spans="1:21" s="49" customFormat="1" x14ac:dyDescent="0.2">
      <c r="A114" s="71"/>
      <c r="B114" s="65"/>
      <c r="C114"/>
      <c r="D114"/>
      <c r="E114"/>
      <c r="F114" s="173"/>
      <c r="G114" s="37"/>
      <c r="H114" s="46"/>
      <c r="I114" s="371"/>
      <c r="J114" s="46"/>
      <c r="K114" s="46"/>
      <c r="L114" s="46"/>
      <c r="M114" s="46"/>
      <c r="N114" s="46"/>
      <c r="O114" s="46"/>
      <c r="P114" s="7"/>
      <c r="Q114" s="7"/>
      <c r="R114" s="7"/>
      <c r="S114" s="7"/>
      <c r="T114" s="7"/>
      <c r="U114" s="7"/>
    </row>
    <row r="115" spans="1:21" s="49" customFormat="1" x14ac:dyDescent="0.2">
      <c r="A115" s="71"/>
      <c r="B115" s="65"/>
      <c r="C115"/>
      <c r="D115"/>
      <c r="E115"/>
      <c r="F115" s="173"/>
      <c r="G115" s="37"/>
      <c r="H115" s="46"/>
      <c r="I115" s="371"/>
      <c r="J115" s="46"/>
      <c r="K115" s="46"/>
      <c r="L115" s="46"/>
      <c r="M115" s="46"/>
      <c r="N115" s="46"/>
      <c r="O115" s="46"/>
      <c r="P115" s="7"/>
      <c r="Q115" s="7"/>
      <c r="R115" s="7"/>
      <c r="S115" s="7"/>
      <c r="T115" s="7"/>
      <c r="U115" s="7"/>
    </row>
    <row r="116" spans="1:21" s="49" customFormat="1" x14ac:dyDescent="0.2">
      <c r="A116" s="71"/>
      <c r="B116" s="65"/>
      <c r="C116"/>
      <c r="D116"/>
      <c r="E116"/>
      <c r="F116" s="173"/>
      <c r="G116" s="37"/>
      <c r="H116" s="46"/>
      <c r="I116" s="371"/>
      <c r="J116" s="46"/>
      <c r="K116" s="46"/>
      <c r="L116" s="46"/>
      <c r="M116" s="46"/>
      <c r="N116" s="46"/>
      <c r="O116" s="46"/>
      <c r="P116" s="7"/>
      <c r="Q116" s="7"/>
      <c r="R116" s="7"/>
      <c r="S116" s="7"/>
      <c r="T116" s="7"/>
      <c r="U116" s="7"/>
    </row>
    <row r="117" spans="1:21" s="49" customFormat="1" x14ac:dyDescent="0.2">
      <c r="A117" s="71"/>
      <c r="B117" s="65"/>
      <c r="C117"/>
      <c r="D117"/>
      <c r="E117"/>
      <c r="F117" s="173"/>
      <c r="G117" s="37"/>
      <c r="H117" s="46"/>
      <c r="I117" s="371"/>
      <c r="J117" s="46"/>
      <c r="K117" s="46"/>
      <c r="L117" s="46"/>
      <c r="M117" s="46"/>
      <c r="N117" s="46"/>
      <c r="O117" s="46"/>
      <c r="P117" s="7"/>
      <c r="Q117" s="7"/>
      <c r="R117" s="7"/>
      <c r="S117" s="7"/>
      <c r="T117" s="7"/>
      <c r="U117" s="7"/>
    </row>
    <row r="118" spans="1:21" s="49" customFormat="1" x14ac:dyDescent="0.2">
      <c r="A118" s="71"/>
      <c r="B118" s="65"/>
      <c r="C118"/>
      <c r="D118"/>
      <c r="E118"/>
      <c r="F118" s="173"/>
      <c r="G118" s="37"/>
      <c r="H118" s="46"/>
      <c r="I118" s="371"/>
      <c r="J118" s="46"/>
      <c r="K118" s="46"/>
      <c r="L118" s="46"/>
      <c r="M118" s="46"/>
      <c r="N118" s="46"/>
      <c r="O118" s="46"/>
      <c r="P118" s="7"/>
      <c r="Q118" s="7"/>
      <c r="R118" s="7"/>
      <c r="S118" s="7"/>
      <c r="T118" s="7"/>
      <c r="U118" s="7"/>
    </row>
    <row r="119" spans="1:21" s="49" customFormat="1" x14ac:dyDescent="0.2">
      <c r="A119" s="71"/>
      <c r="B119" s="65"/>
      <c r="C119"/>
      <c r="D119"/>
      <c r="E119"/>
      <c r="F119" s="173"/>
      <c r="G119" s="37"/>
      <c r="H119" s="46"/>
      <c r="I119" s="371"/>
      <c r="J119" s="46"/>
      <c r="K119" s="46"/>
      <c r="L119" s="46"/>
      <c r="M119" s="46"/>
      <c r="N119" s="46"/>
      <c r="O119" s="46"/>
      <c r="P119" s="7"/>
      <c r="Q119" s="7"/>
      <c r="R119" s="7"/>
      <c r="S119" s="7"/>
      <c r="T119" s="7"/>
      <c r="U119" s="7"/>
    </row>
    <row r="120" spans="1:21" s="49" customFormat="1" x14ac:dyDescent="0.2">
      <c r="A120" s="71"/>
      <c r="B120" s="65"/>
      <c r="C120"/>
      <c r="D120"/>
      <c r="E120"/>
      <c r="F120" s="173"/>
      <c r="G120" s="37"/>
      <c r="H120" s="46"/>
      <c r="I120" s="371"/>
      <c r="J120" s="46"/>
      <c r="K120" s="46"/>
      <c r="L120" s="46"/>
      <c r="M120" s="46"/>
      <c r="N120" s="46"/>
      <c r="O120" s="46"/>
      <c r="P120" s="7"/>
      <c r="Q120" s="7"/>
      <c r="R120" s="7"/>
      <c r="S120" s="7"/>
      <c r="T120" s="7"/>
      <c r="U120" s="7"/>
    </row>
    <row r="121" spans="1:21" s="49" customFormat="1" x14ac:dyDescent="0.2">
      <c r="A121" s="71"/>
      <c r="B121" s="65"/>
      <c r="C121"/>
      <c r="D121"/>
      <c r="E121"/>
      <c r="F121" s="173"/>
      <c r="G121" s="37"/>
      <c r="H121" s="46"/>
      <c r="I121" s="371"/>
      <c r="J121" s="46"/>
      <c r="K121" s="46"/>
      <c r="L121" s="46"/>
      <c r="M121" s="46"/>
      <c r="N121" s="46"/>
      <c r="O121" s="46"/>
      <c r="P121" s="7"/>
      <c r="Q121" s="7"/>
      <c r="R121" s="7"/>
      <c r="S121" s="7"/>
      <c r="T121" s="7"/>
      <c r="U121" s="7"/>
    </row>
    <row r="122" spans="1:21" s="49" customFormat="1" x14ac:dyDescent="0.2">
      <c r="A122" s="71"/>
      <c r="B122" s="65"/>
      <c r="C122"/>
      <c r="D122"/>
      <c r="E122"/>
      <c r="F122" s="173"/>
      <c r="G122" s="37"/>
      <c r="H122" s="46"/>
      <c r="I122" s="371"/>
      <c r="J122" s="46"/>
      <c r="K122" s="46"/>
      <c r="L122" s="46"/>
      <c r="M122" s="46"/>
      <c r="N122" s="46"/>
      <c r="O122" s="46"/>
      <c r="P122" s="7"/>
      <c r="Q122" s="7"/>
      <c r="R122" s="7"/>
      <c r="S122" s="7"/>
      <c r="T122" s="7"/>
      <c r="U122" s="7"/>
    </row>
    <row r="123" spans="1:21" s="49" customFormat="1" x14ac:dyDescent="0.2">
      <c r="A123" s="71"/>
      <c r="B123" s="65"/>
      <c r="C123"/>
      <c r="D123"/>
      <c r="E123"/>
      <c r="F123" s="173"/>
      <c r="G123" s="37"/>
      <c r="H123" s="46"/>
      <c r="I123" s="371"/>
      <c r="J123" s="46"/>
      <c r="K123" s="46"/>
      <c r="L123" s="46"/>
      <c r="M123" s="46"/>
      <c r="N123" s="46"/>
      <c r="O123" s="46"/>
      <c r="P123" s="7"/>
      <c r="Q123" s="7"/>
      <c r="R123" s="7"/>
      <c r="S123" s="7"/>
      <c r="T123" s="7"/>
      <c r="U123" s="7"/>
    </row>
    <row r="124" spans="1:21" s="49" customFormat="1" x14ac:dyDescent="0.2">
      <c r="A124" s="71"/>
      <c r="B124" s="65"/>
      <c r="C124"/>
      <c r="D124"/>
      <c r="E124"/>
      <c r="F124" s="173"/>
      <c r="G124" s="37"/>
      <c r="H124" s="46"/>
      <c r="I124" s="371"/>
      <c r="J124" s="46"/>
      <c r="K124" s="46"/>
      <c r="L124" s="46"/>
      <c r="M124" s="46"/>
      <c r="N124" s="46"/>
      <c r="O124" s="46"/>
      <c r="P124" s="7"/>
      <c r="Q124" s="7"/>
      <c r="R124" s="7"/>
      <c r="S124" s="7"/>
      <c r="T124" s="7"/>
      <c r="U124" s="7"/>
    </row>
    <row r="125" spans="1:21" s="49" customFormat="1" x14ac:dyDescent="0.2">
      <c r="A125" s="71"/>
      <c r="B125" s="65"/>
      <c r="C125"/>
      <c r="D125"/>
      <c r="E125"/>
      <c r="F125" s="173"/>
      <c r="G125" s="37"/>
      <c r="H125" s="46"/>
      <c r="I125" s="371"/>
      <c r="J125" s="46"/>
      <c r="K125" s="46"/>
      <c r="L125" s="46"/>
      <c r="M125" s="46"/>
      <c r="N125" s="46"/>
      <c r="O125" s="46"/>
      <c r="P125" s="7"/>
      <c r="Q125" s="7"/>
      <c r="R125" s="7"/>
      <c r="S125" s="7"/>
      <c r="T125" s="7"/>
      <c r="U125" s="7"/>
    </row>
    <row r="126" spans="1:21" s="49" customFormat="1" x14ac:dyDescent="0.2">
      <c r="A126" s="71"/>
      <c r="B126" s="65"/>
      <c r="C126"/>
      <c r="D126"/>
      <c r="E126"/>
      <c r="F126" s="173"/>
      <c r="G126" s="37"/>
      <c r="H126" s="46"/>
      <c r="I126" s="371"/>
      <c r="J126" s="46"/>
      <c r="K126" s="46"/>
      <c r="L126" s="46"/>
      <c r="M126" s="46"/>
      <c r="N126" s="46"/>
      <c r="O126" s="46"/>
      <c r="P126" s="7"/>
      <c r="Q126" s="7"/>
      <c r="R126" s="7"/>
      <c r="S126" s="7"/>
      <c r="T126" s="7"/>
      <c r="U126" s="7"/>
    </row>
    <row r="127" spans="1:21" s="49" customFormat="1" x14ac:dyDescent="0.2">
      <c r="A127" s="71"/>
      <c r="B127" s="65"/>
      <c r="C127"/>
      <c r="D127"/>
      <c r="E127"/>
      <c r="F127" s="173"/>
      <c r="G127" s="37"/>
      <c r="H127" s="46"/>
      <c r="I127" s="371"/>
      <c r="J127" s="46"/>
      <c r="K127" s="46"/>
      <c r="L127" s="46"/>
      <c r="M127" s="46"/>
      <c r="N127" s="46"/>
      <c r="O127" s="46"/>
      <c r="P127" s="7"/>
      <c r="Q127" s="7"/>
      <c r="R127" s="7"/>
      <c r="S127" s="7"/>
      <c r="T127" s="7"/>
      <c r="U127" s="7"/>
    </row>
    <row r="128" spans="1:21" s="49" customFormat="1" x14ac:dyDescent="0.2">
      <c r="A128" s="71"/>
      <c r="B128" s="65"/>
      <c r="C128"/>
      <c r="D128"/>
      <c r="E128"/>
      <c r="F128" s="173"/>
      <c r="G128" s="37"/>
      <c r="H128" s="46"/>
      <c r="I128" s="371"/>
      <c r="J128" s="46"/>
      <c r="K128" s="46"/>
      <c r="L128" s="46"/>
      <c r="M128" s="46"/>
      <c r="N128" s="46"/>
      <c r="O128" s="46"/>
      <c r="P128" s="7"/>
      <c r="Q128" s="7"/>
      <c r="R128" s="7"/>
      <c r="S128" s="7"/>
      <c r="T128" s="7"/>
      <c r="U128" s="7"/>
    </row>
    <row r="129" spans="1:21" s="49" customFormat="1" x14ac:dyDescent="0.2">
      <c r="A129" s="71"/>
      <c r="B129" s="65"/>
      <c r="C129"/>
      <c r="D129"/>
      <c r="E129"/>
      <c r="F129" s="173"/>
      <c r="G129" s="37"/>
      <c r="H129" s="46"/>
      <c r="I129" s="371"/>
      <c r="J129" s="46"/>
      <c r="K129" s="46"/>
      <c r="L129" s="46"/>
      <c r="M129" s="46"/>
      <c r="N129" s="46"/>
      <c r="O129" s="46"/>
      <c r="P129" s="7"/>
      <c r="Q129" s="7"/>
      <c r="R129" s="7"/>
      <c r="S129" s="7"/>
      <c r="T129" s="7"/>
      <c r="U129" s="7"/>
    </row>
    <row r="130" spans="1:21" s="49" customFormat="1" x14ac:dyDescent="0.2">
      <c r="A130" s="71"/>
      <c r="B130" s="65"/>
      <c r="C130"/>
      <c r="D130"/>
      <c r="E130"/>
      <c r="F130" s="173"/>
      <c r="G130" s="37"/>
      <c r="H130" s="46"/>
      <c r="I130" s="371"/>
      <c r="J130" s="46"/>
      <c r="K130" s="46"/>
      <c r="L130" s="46"/>
      <c r="M130" s="46"/>
      <c r="N130" s="46"/>
      <c r="O130" s="46"/>
      <c r="P130" s="7"/>
      <c r="Q130" s="7"/>
      <c r="R130" s="7"/>
      <c r="S130" s="7"/>
      <c r="T130" s="7"/>
      <c r="U130" s="7"/>
    </row>
    <row r="131" spans="1:21" s="49" customFormat="1" x14ac:dyDescent="0.2">
      <c r="A131" s="71"/>
      <c r="B131" s="65"/>
      <c r="C131"/>
      <c r="D131"/>
      <c r="E131"/>
      <c r="F131" s="173"/>
      <c r="G131" s="37"/>
      <c r="H131" s="46"/>
      <c r="I131" s="371"/>
      <c r="J131" s="46"/>
      <c r="K131" s="46"/>
      <c r="L131" s="46"/>
      <c r="M131" s="46"/>
      <c r="N131" s="46"/>
      <c r="O131" s="46"/>
      <c r="P131" s="7"/>
      <c r="Q131" s="7"/>
      <c r="R131" s="7"/>
      <c r="S131" s="7"/>
      <c r="T131" s="7"/>
      <c r="U131" s="7"/>
    </row>
    <row r="132" spans="1:21" s="49" customFormat="1" x14ac:dyDescent="0.2">
      <c r="A132" s="71"/>
      <c r="B132" s="65"/>
      <c r="C132"/>
      <c r="D132"/>
      <c r="E132"/>
      <c r="F132" s="173"/>
      <c r="G132" s="37"/>
      <c r="H132" s="46"/>
      <c r="I132" s="371"/>
      <c r="J132" s="46"/>
      <c r="K132" s="46"/>
      <c r="L132" s="46"/>
      <c r="M132" s="46"/>
      <c r="N132" s="46"/>
      <c r="O132" s="46"/>
      <c r="P132" s="7"/>
      <c r="Q132" s="7"/>
      <c r="R132" s="7"/>
      <c r="S132" s="7"/>
      <c r="T132" s="7"/>
      <c r="U132" s="7"/>
    </row>
    <row r="133" spans="1:21" s="49" customFormat="1" x14ac:dyDescent="0.2">
      <c r="A133" s="71"/>
      <c r="B133" s="65"/>
      <c r="C133"/>
      <c r="D133"/>
      <c r="E133"/>
      <c r="F133" s="173"/>
      <c r="G133" s="37"/>
      <c r="H133" s="46"/>
      <c r="I133" s="371"/>
      <c r="J133" s="46"/>
      <c r="K133" s="46"/>
      <c r="L133" s="46"/>
      <c r="M133" s="46"/>
      <c r="N133" s="46"/>
      <c r="O133" s="46"/>
      <c r="P133" s="7"/>
      <c r="Q133" s="7"/>
      <c r="R133" s="7"/>
      <c r="S133" s="7"/>
      <c r="T133" s="7"/>
      <c r="U133" s="7"/>
    </row>
    <row r="134" spans="1:21" s="49" customFormat="1" x14ac:dyDescent="0.2">
      <c r="A134" s="71"/>
      <c r="B134" s="65"/>
      <c r="C134"/>
      <c r="D134"/>
      <c r="E134"/>
      <c r="F134" s="173"/>
      <c r="G134" s="37"/>
      <c r="H134" s="46"/>
      <c r="I134" s="371"/>
      <c r="J134" s="46"/>
      <c r="K134" s="46"/>
      <c r="L134" s="46"/>
      <c r="M134" s="46"/>
      <c r="N134" s="46"/>
      <c r="O134" s="46"/>
      <c r="P134" s="7"/>
      <c r="Q134" s="7"/>
      <c r="R134" s="7"/>
      <c r="S134" s="7"/>
      <c r="T134" s="7"/>
      <c r="U134" s="7"/>
    </row>
    <row r="135" spans="1:21" s="49" customFormat="1" x14ac:dyDescent="0.2">
      <c r="A135" s="71"/>
      <c r="B135" s="65"/>
      <c r="C135"/>
      <c r="D135"/>
      <c r="E135"/>
      <c r="F135" s="173"/>
      <c r="G135" s="37"/>
      <c r="H135" s="46"/>
      <c r="I135" s="371"/>
      <c r="J135" s="46"/>
      <c r="K135" s="46"/>
      <c r="L135" s="46"/>
      <c r="M135" s="46"/>
      <c r="N135" s="46"/>
      <c r="O135" s="46"/>
      <c r="P135" s="7"/>
      <c r="Q135" s="7"/>
      <c r="R135" s="7"/>
      <c r="S135" s="7"/>
      <c r="T135" s="7"/>
      <c r="U135" s="7"/>
    </row>
    <row r="136" spans="1:21" s="49" customFormat="1" x14ac:dyDescent="0.2">
      <c r="A136" s="71"/>
      <c r="B136" s="65"/>
      <c r="C136"/>
      <c r="D136"/>
      <c r="E136"/>
      <c r="F136" s="173"/>
      <c r="G136" s="37"/>
      <c r="H136" s="46"/>
      <c r="I136" s="371"/>
      <c r="J136" s="46"/>
      <c r="K136" s="46"/>
      <c r="L136" s="46"/>
      <c r="M136" s="46"/>
      <c r="N136" s="46"/>
      <c r="O136" s="46"/>
      <c r="P136" s="7"/>
      <c r="Q136" s="7"/>
      <c r="R136" s="7"/>
      <c r="S136" s="7"/>
      <c r="T136" s="7"/>
      <c r="U136" s="7"/>
    </row>
    <row r="137" spans="1:21" s="49" customFormat="1" x14ac:dyDescent="0.2">
      <c r="A137" s="71"/>
      <c r="B137" s="65"/>
      <c r="C137"/>
      <c r="D137"/>
      <c r="E137"/>
      <c r="F137" s="173"/>
      <c r="G137" s="37"/>
      <c r="H137" s="46"/>
      <c r="I137" s="371"/>
      <c r="J137" s="46"/>
      <c r="K137" s="46"/>
      <c r="L137" s="46"/>
      <c r="M137" s="46"/>
      <c r="N137" s="46"/>
      <c r="O137" s="46"/>
      <c r="P137" s="7"/>
      <c r="Q137" s="7"/>
      <c r="R137" s="7"/>
      <c r="S137" s="7"/>
      <c r="T137" s="7"/>
      <c r="U137" s="7"/>
    </row>
    <row r="138" spans="1:21" s="49" customFormat="1" x14ac:dyDescent="0.2">
      <c r="A138" s="71"/>
      <c r="B138" s="65"/>
      <c r="C138"/>
      <c r="D138"/>
      <c r="E138"/>
      <c r="F138" s="173"/>
      <c r="G138" s="37"/>
      <c r="H138" s="46"/>
      <c r="I138" s="371"/>
      <c r="J138" s="46"/>
      <c r="K138" s="46"/>
      <c r="L138" s="46"/>
      <c r="M138" s="46"/>
      <c r="N138" s="46"/>
      <c r="O138" s="46"/>
      <c r="P138" s="7"/>
      <c r="Q138" s="7"/>
      <c r="R138" s="7"/>
      <c r="S138" s="7"/>
      <c r="T138" s="7"/>
      <c r="U138" s="7"/>
    </row>
    <row r="139" spans="1:21" s="49" customFormat="1" x14ac:dyDescent="0.2">
      <c r="A139" s="71"/>
      <c r="B139" s="65"/>
      <c r="C139"/>
      <c r="D139"/>
      <c r="E139"/>
      <c r="F139" s="173"/>
      <c r="G139" s="37"/>
      <c r="H139" s="46"/>
      <c r="I139" s="371"/>
      <c r="J139" s="46"/>
      <c r="K139" s="46"/>
      <c r="L139" s="46"/>
      <c r="M139" s="46"/>
      <c r="N139" s="46"/>
      <c r="O139" s="46"/>
      <c r="P139" s="7"/>
      <c r="Q139" s="7"/>
      <c r="R139" s="7"/>
      <c r="S139" s="7"/>
      <c r="T139" s="7"/>
      <c r="U139" s="7"/>
    </row>
    <row r="140" spans="1:21" s="49" customFormat="1" x14ac:dyDescent="0.2">
      <c r="A140" s="71"/>
      <c r="B140" s="65"/>
      <c r="C140"/>
      <c r="D140"/>
      <c r="E140"/>
      <c r="F140" s="173"/>
      <c r="G140" s="37"/>
      <c r="H140" s="46"/>
      <c r="I140" s="371"/>
      <c r="J140" s="46"/>
      <c r="K140" s="46"/>
      <c r="L140" s="46"/>
      <c r="M140" s="46"/>
      <c r="N140" s="46"/>
      <c r="O140" s="46"/>
      <c r="P140" s="7"/>
      <c r="Q140" s="7"/>
      <c r="R140" s="7"/>
      <c r="S140" s="7"/>
      <c r="T140" s="7"/>
      <c r="U140" s="7"/>
    </row>
    <row r="141" spans="1:21" s="49" customFormat="1" x14ac:dyDescent="0.2">
      <c r="A141" s="71"/>
      <c r="B141" s="65"/>
      <c r="C141"/>
      <c r="D141"/>
      <c r="E141"/>
      <c r="F141" s="173"/>
      <c r="G141" s="37"/>
      <c r="H141" s="46"/>
      <c r="I141" s="371"/>
      <c r="J141" s="46"/>
      <c r="K141" s="46"/>
      <c r="L141" s="46"/>
      <c r="M141" s="46"/>
      <c r="N141" s="46"/>
      <c r="O141" s="46"/>
      <c r="P141" s="7"/>
      <c r="Q141" s="7"/>
      <c r="R141" s="7"/>
      <c r="S141" s="7"/>
      <c r="T141" s="7"/>
      <c r="U141" s="7"/>
    </row>
    <row r="142" spans="1:21" s="49" customFormat="1" x14ac:dyDescent="0.2">
      <c r="A142" s="71"/>
      <c r="B142" s="65"/>
      <c r="C142"/>
      <c r="D142"/>
      <c r="E142"/>
      <c r="F142" s="173"/>
      <c r="G142" s="37"/>
      <c r="H142" s="46"/>
      <c r="I142" s="371"/>
      <c r="J142" s="46"/>
      <c r="K142" s="46"/>
      <c r="L142" s="46"/>
      <c r="M142" s="46"/>
      <c r="N142" s="46"/>
      <c r="O142" s="46"/>
      <c r="P142" s="7"/>
      <c r="Q142" s="7"/>
      <c r="R142" s="7"/>
      <c r="S142" s="7"/>
      <c r="T142" s="7"/>
      <c r="U142" s="7"/>
    </row>
    <row r="143" spans="1:21" s="49" customFormat="1" x14ac:dyDescent="0.2">
      <c r="A143" s="71"/>
      <c r="B143" s="65"/>
      <c r="C143"/>
      <c r="D143"/>
      <c r="E143"/>
      <c r="F143" s="173"/>
      <c r="G143" s="37"/>
      <c r="H143" s="46"/>
      <c r="I143" s="371"/>
      <c r="J143" s="46"/>
      <c r="K143" s="46"/>
      <c r="L143" s="46"/>
      <c r="M143" s="46"/>
      <c r="N143" s="46"/>
      <c r="O143" s="46"/>
      <c r="P143" s="7"/>
      <c r="Q143" s="7"/>
      <c r="R143" s="7"/>
      <c r="S143" s="7"/>
      <c r="T143" s="7"/>
      <c r="U143" s="7"/>
    </row>
    <row r="144" spans="1:21" s="49" customFormat="1" x14ac:dyDescent="0.2">
      <c r="A144" s="71"/>
      <c r="B144" s="65"/>
      <c r="C144"/>
      <c r="D144"/>
      <c r="E144"/>
      <c r="F144" s="173"/>
      <c r="G144" s="37"/>
      <c r="H144" s="46"/>
      <c r="I144" s="371"/>
      <c r="J144" s="46"/>
      <c r="K144" s="46"/>
      <c r="L144" s="46"/>
      <c r="M144" s="46"/>
      <c r="N144" s="46"/>
      <c r="O144" s="46"/>
      <c r="P144" s="7"/>
      <c r="Q144" s="7"/>
      <c r="R144" s="7"/>
      <c r="S144" s="7"/>
      <c r="T144" s="7"/>
      <c r="U144" s="7"/>
    </row>
    <row r="145" spans="1:21" s="49" customFormat="1" x14ac:dyDescent="0.2">
      <c r="A145" s="71"/>
      <c r="B145" s="65"/>
      <c r="C145"/>
      <c r="D145"/>
      <c r="E145"/>
      <c r="F145" s="173"/>
      <c r="G145" s="37"/>
      <c r="H145" s="46"/>
      <c r="I145" s="371"/>
      <c r="J145" s="46"/>
      <c r="K145" s="46"/>
      <c r="L145" s="46"/>
      <c r="M145" s="46"/>
      <c r="N145" s="46"/>
      <c r="O145" s="46"/>
      <c r="P145" s="7"/>
      <c r="Q145" s="7"/>
      <c r="R145" s="7"/>
      <c r="S145" s="7"/>
      <c r="T145" s="7"/>
      <c r="U145" s="7"/>
    </row>
    <row r="146" spans="1:21" s="49" customFormat="1" x14ac:dyDescent="0.2">
      <c r="A146" s="71"/>
      <c r="B146" s="65"/>
      <c r="C146"/>
      <c r="D146"/>
      <c r="E146"/>
      <c r="F146" s="173"/>
      <c r="G146" s="37"/>
      <c r="H146" s="46"/>
      <c r="I146" s="371"/>
      <c r="J146" s="46"/>
      <c r="K146" s="46"/>
      <c r="L146" s="46"/>
      <c r="M146" s="46"/>
      <c r="N146" s="46"/>
      <c r="O146" s="46"/>
      <c r="P146" s="7"/>
      <c r="Q146" s="7"/>
      <c r="R146" s="7"/>
      <c r="S146" s="7"/>
      <c r="T146" s="7"/>
      <c r="U146" s="7"/>
    </row>
    <row r="147" spans="1:21" s="49" customFormat="1" x14ac:dyDescent="0.2">
      <c r="A147" s="71"/>
      <c r="B147" s="65"/>
      <c r="C147"/>
      <c r="D147"/>
      <c r="E147"/>
      <c r="F147" s="173"/>
      <c r="G147" s="37"/>
      <c r="H147" s="46"/>
      <c r="I147" s="371"/>
      <c r="J147" s="46"/>
      <c r="K147" s="46"/>
      <c r="L147" s="46"/>
      <c r="M147" s="46"/>
      <c r="N147" s="46"/>
      <c r="O147" s="46"/>
      <c r="P147" s="7"/>
      <c r="Q147" s="7"/>
      <c r="R147" s="7"/>
      <c r="S147" s="7"/>
      <c r="T147" s="7"/>
      <c r="U147" s="7"/>
    </row>
    <row r="148" spans="1:21" s="49" customFormat="1" x14ac:dyDescent="0.2">
      <c r="A148" s="71"/>
      <c r="B148" s="65"/>
      <c r="C148"/>
      <c r="D148"/>
      <c r="E148"/>
      <c r="F148" s="173"/>
      <c r="G148" s="37"/>
      <c r="H148" s="46"/>
      <c r="I148" s="371"/>
      <c r="J148" s="46"/>
      <c r="K148" s="46"/>
      <c r="L148" s="46"/>
      <c r="M148" s="46"/>
      <c r="N148" s="46"/>
      <c r="O148" s="46"/>
      <c r="P148" s="7"/>
      <c r="Q148" s="7"/>
      <c r="R148" s="7"/>
      <c r="S148" s="7"/>
      <c r="T148" s="7"/>
      <c r="U148" s="7"/>
    </row>
    <row r="149" spans="1:21" s="49" customFormat="1" x14ac:dyDescent="0.2">
      <c r="A149" s="71"/>
      <c r="B149" s="65"/>
      <c r="C149"/>
      <c r="D149"/>
      <c r="E149"/>
      <c r="F149" s="173"/>
      <c r="G149" s="37"/>
      <c r="H149" s="46"/>
      <c r="I149" s="371"/>
      <c r="J149" s="46"/>
      <c r="K149" s="46"/>
      <c r="L149" s="46"/>
      <c r="M149" s="46"/>
      <c r="N149" s="46"/>
      <c r="O149" s="46"/>
      <c r="P149" s="7"/>
      <c r="Q149" s="7"/>
      <c r="R149" s="7"/>
      <c r="S149" s="7"/>
      <c r="T149" s="7"/>
      <c r="U149" s="7"/>
    </row>
    <row r="150" spans="1:21" s="49" customFormat="1" x14ac:dyDescent="0.2">
      <c r="A150" s="71"/>
      <c r="B150" s="65"/>
      <c r="C150"/>
      <c r="D150"/>
      <c r="E150"/>
      <c r="F150" s="173"/>
      <c r="G150" s="37"/>
      <c r="H150" s="46"/>
      <c r="I150" s="371"/>
      <c r="J150" s="46"/>
      <c r="K150" s="46"/>
      <c r="L150" s="46"/>
      <c r="M150" s="46"/>
      <c r="N150" s="46"/>
      <c r="O150" s="46"/>
      <c r="P150" s="7"/>
      <c r="Q150" s="7"/>
      <c r="R150" s="7"/>
      <c r="S150" s="7"/>
      <c r="T150" s="7"/>
      <c r="U150" s="7"/>
    </row>
    <row r="151" spans="1:21" s="49" customFormat="1" x14ac:dyDescent="0.2">
      <c r="A151" s="71"/>
      <c r="B151" s="65"/>
      <c r="C151"/>
      <c r="D151"/>
      <c r="E151"/>
      <c r="F151" s="173"/>
      <c r="G151" s="37"/>
      <c r="H151" s="46"/>
      <c r="I151" s="371"/>
      <c r="J151" s="46"/>
      <c r="K151" s="46"/>
      <c r="L151" s="46"/>
      <c r="M151" s="46"/>
      <c r="N151" s="46"/>
      <c r="O151" s="46"/>
      <c r="P151" s="7"/>
      <c r="Q151" s="7"/>
      <c r="R151" s="7"/>
      <c r="S151" s="7"/>
      <c r="T151" s="7"/>
      <c r="U151" s="7"/>
    </row>
    <row r="152" spans="1:21" s="49" customFormat="1" x14ac:dyDescent="0.2">
      <c r="A152" s="71"/>
      <c r="B152" s="65"/>
      <c r="C152"/>
      <c r="D152"/>
      <c r="E152"/>
      <c r="F152" s="173"/>
      <c r="G152" s="37"/>
      <c r="H152" s="46"/>
      <c r="I152" s="371"/>
      <c r="J152" s="46"/>
      <c r="K152" s="46"/>
      <c r="L152" s="46"/>
      <c r="M152" s="46"/>
      <c r="N152" s="46"/>
      <c r="O152" s="46"/>
      <c r="P152" s="7"/>
      <c r="Q152" s="7"/>
      <c r="R152" s="7"/>
      <c r="S152" s="7"/>
      <c r="T152" s="7"/>
      <c r="U152" s="7"/>
    </row>
    <row r="153" spans="1:21" s="49" customFormat="1" x14ac:dyDescent="0.2">
      <c r="A153" s="71"/>
      <c r="B153" s="65"/>
      <c r="C153"/>
      <c r="D153"/>
      <c r="E153"/>
      <c r="F153" s="173"/>
      <c r="G153" s="37"/>
      <c r="H153" s="46"/>
      <c r="I153" s="371"/>
      <c r="J153" s="46"/>
      <c r="K153" s="46"/>
      <c r="L153" s="46"/>
      <c r="M153" s="46"/>
      <c r="N153" s="46"/>
      <c r="O153" s="46"/>
      <c r="P153" s="7"/>
      <c r="Q153" s="7"/>
      <c r="R153" s="7"/>
      <c r="S153" s="7"/>
      <c r="T153" s="7"/>
      <c r="U153" s="7"/>
    </row>
    <row r="154" spans="1:21" s="49" customFormat="1" x14ac:dyDescent="0.2">
      <c r="A154" s="71"/>
      <c r="B154" s="65"/>
      <c r="C154"/>
      <c r="D154"/>
      <c r="E154"/>
      <c r="F154" s="173"/>
      <c r="G154" s="37"/>
      <c r="H154" s="46"/>
      <c r="I154" s="371"/>
      <c r="J154" s="46"/>
      <c r="K154" s="46"/>
      <c r="L154" s="46"/>
      <c r="M154" s="46"/>
      <c r="N154" s="46"/>
      <c r="O154" s="46"/>
      <c r="P154" s="7"/>
      <c r="Q154" s="7"/>
      <c r="R154" s="7"/>
      <c r="S154" s="7"/>
      <c r="T154" s="7"/>
      <c r="U154" s="7"/>
    </row>
    <row r="155" spans="1:21" s="49" customFormat="1" x14ac:dyDescent="0.2">
      <c r="A155" s="71"/>
      <c r="B155" s="65"/>
      <c r="C155"/>
      <c r="D155"/>
      <c r="E155"/>
      <c r="F155" s="173"/>
      <c r="G155" s="37"/>
      <c r="H155" s="46"/>
      <c r="I155" s="371"/>
      <c r="J155" s="46"/>
      <c r="K155" s="46"/>
      <c r="L155" s="46"/>
      <c r="M155" s="46"/>
      <c r="N155" s="46"/>
      <c r="O155" s="46"/>
      <c r="P155" s="7"/>
      <c r="Q155" s="7"/>
      <c r="R155" s="7"/>
      <c r="S155" s="7"/>
      <c r="T155" s="7"/>
      <c r="U155" s="7"/>
    </row>
    <row r="156" spans="1:21" s="49" customFormat="1" x14ac:dyDescent="0.2">
      <c r="A156" s="71"/>
      <c r="B156" s="65"/>
      <c r="C156"/>
      <c r="D156"/>
      <c r="E156"/>
      <c r="F156" s="173"/>
      <c r="G156" s="37"/>
      <c r="H156" s="46"/>
      <c r="I156" s="371"/>
      <c r="J156" s="46"/>
      <c r="K156" s="46"/>
      <c r="L156" s="46"/>
      <c r="M156" s="46"/>
      <c r="N156" s="46"/>
      <c r="O156" s="46"/>
      <c r="P156" s="7"/>
      <c r="Q156" s="7"/>
      <c r="R156" s="7"/>
      <c r="S156" s="7"/>
      <c r="T156" s="7"/>
      <c r="U156" s="7"/>
    </row>
    <row r="157" spans="1:21" s="49" customFormat="1" x14ac:dyDescent="0.2">
      <c r="A157" s="71"/>
      <c r="B157" s="65"/>
      <c r="C157"/>
      <c r="D157"/>
      <c r="E157"/>
      <c r="F157" s="173"/>
      <c r="G157" s="37"/>
      <c r="H157" s="46"/>
      <c r="I157" s="371"/>
      <c r="J157" s="46"/>
      <c r="K157" s="46"/>
      <c r="L157" s="46"/>
      <c r="M157" s="46"/>
      <c r="N157" s="46"/>
      <c r="O157" s="46"/>
      <c r="P157" s="7"/>
      <c r="Q157" s="7"/>
      <c r="R157" s="7"/>
      <c r="S157" s="7"/>
      <c r="T157" s="7"/>
      <c r="U157" s="7"/>
    </row>
    <row r="158" spans="1:21" s="49" customFormat="1" x14ac:dyDescent="0.2">
      <c r="A158" s="71"/>
      <c r="B158" s="65"/>
      <c r="C158"/>
      <c r="D158"/>
      <c r="E158"/>
      <c r="F158" s="173"/>
      <c r="G158" s="37"/>
      <c r="H158" s="46"/>
      <c r="I158" s="371"/>
      <c r="J158" s="46"/>
      <c r="K158" s="46"/>
      <c r="L158" s="46"/>
      <c r="M158" s="46"/>
      <c r="N158" s="46"/>
      <c r="O158" s="46"/>
      <c r="P158" s="7"/>
      <c r="Q158" s="7"/>
      <c r="R158" s="7"/>
      <c r="S158" s="7"/>
      <c r="T158" s="7"/>
      <c r="U158" s="7"/>
    </row>
    <row r="159" spans="1:21" s="49" customFormat="1" x14ac:dyDescent="0.2">
      <c r="A159" s="71"/>
      <c r="B159" s="65"/>
      <c r="C159"/>
      <c r="D159"/>
      <c r="E159"/>
      <c r="F159" s="173"/>
      <c r="G159" s="37"/>
      <c r="H159" s="46"/>
      <c r="I159" s="371"/>
      <c r="J159" s="46"/>
      <c r="K159" s="46"/>
      <c r="L159" s="46"/>
      <c r="M159" s="46"/>
      <c r="N159" s="46"/>
      <c r="O159" s="46"/>
      <c r="P159" s="7"/>
      <c r="Q159" s="7"/>
      <c r="R159" s="7"/>
      <c r="S159" s="7"/>
      <c r="T159" s="7"/>
      <c r="U159" s="7"/>
    </row>
    <row r="160" spans="1:21" s="49" customFormat="1" x14ac:dyDescent="0.2">
      <c r="A160" s="71"/>
      <c r="B160" s="65"/>
      <c r="C160"/>
      <c r="D160"/>
      <c r="E160"/>
      <c r="F160" s="173"/>
      <c r="G160" s="37"/>
      <c r="H160" s="46"/>
      <c r="I160" s="371"/>
      <c r="J160" s="46"/>
      <c r="K160" s="46"/>
      <c r="L160" s="46"/>
      <c r="M160" s="46"/>
      <c r="N160" s="46"/>
      <c r="O160" s="46"/>
      <c r="P160" s="7"/>
      <c r="Q160" s="7"/>
      <c r="R160" s="7"/>
      <c r="S160" s="7"/>
      <c r="T160" s="7"/>
      <c r="U160" s="7"/>
    </row>
    <row r="161" spans="1:21" s="49" customFormat="1" x14ac:dyDescent="0.2">
      <c r="A161" s="71"/>
      <c r="B161" s="65"/>
      <c r="C161"/>
      <c r="D161"/>
      <c r="E161"/>
      <c r="F161" s="173"/>
      <c r="G161" s="37"/>
      <c r="H161" s="46"/>
      <c r="I161" s="371"/>
      <c r="J161" s="46"/>
      <c r="K161" s="46"/>
      <c r="L161" s="46"/>
      <c r="M161" s="46"/>
      <c r="N161" s="46"/>
      <c r="O161" s="46"/>
      <c r="P161" s="7"/>
      <c r="Q161" s="7"/>
      <c r="R161" s="7"/>
      <c r="S161" s="7"/>
      <c r="T161" s="7"/>
      <c r="U161" s="7"/>
    </row>
    <row r="162" spans="1:21" s="49" customFormat="1" x14ac:dyDescent="0.2">
      <c r="A162" s="71"/>
      <c r="B162" s="65"/>
      <c r="C162"/>
      <c r="D162"/>
      <c r="E162"/>
      <c r="F162" s="173"/>
      <c r="G162" s="37"/>
      <c r="H162" s="46"/>
      <c r="I162" s="371"/>
      <c r="J162" s="46"/>
      <c r="K162" s="46"/>
      <c r="L162" s="46"/>
      <c r="M162" s="46"/>
      <c r="N162" s="46"/>
      <c r="O162" s="46"/>
      <c r="P162" s="7"/>
      <c r="Q162" s="7"/>
      <c r="R162" s="7"/>
      <c r="S162" s="7"/>
      <c r="T162" s="7"/>
      <c r="U162" s="7"/>
    </row>
    <row r="163" spans="1:21" s="49" customFormat="1" x14ac:dyDescent="0.2">
      <c r="A163" s="71"/>
      <c r="B163" s="65"/>
      <c r="C163"/>
      <c r="D163"/>
      <c r="E163"/>
      <c r="F163" s="173"/>
      <c r="G163" s="37"/>
      <c r="H163" s="46"/>
      <c r="I163" s="371"/>
      <c r="J163" s="46"/>
      <c r="K163" s="46"/>
      <c r="L163" s="46"/>
      <c r="M163" s="46"/>
      <c r="N163" s="46"/>
      <c r="O163" s="46"/>
      <c r="P163" s="7"/>
      <c r="Q163" s="7"/>
      <c r="R163" s="7"/>
      <c r="S163" s="7"/>
      <c r="T163" s="7"/>
      <c r="U163" s="7"/>
    </row>
    <row r="164" spans="1:21" s="49" customFormat="1" x14ac:dyDescent="0.2">
      <c r="A164" s="71"/>
      <c r="B164" s="65"/>
      <c r="C164"/>
      <c r="D164"/>
      <c r="E164"/>
      <c r="F164" s="173"/>
      <c r="G164" s="37"/>
      <c r="H164" s="46"/>
      <c r="I164" s="371"/>
      <c r="J164" s="46"/>
      <c r="K164" s="46"/>
      <c r="L164" s="46"/>
      <c r="M164" s="46"/>
      <c r="N164" s="46"/>
      <c r="O164" s="46"/>
      <c r="P164" s="7"/>
      <c r="Q164" s="7"/>
      <c r="R164" s="7"/>
      <c r="S164" s="7"/>
      <c r="T164" s="7"/>
      <c r="U164" s="7"/>
    </row>
    <row r="165" spans="1:21" s="49" customFormat="1" x14ac:dyDescent="0.2">
      <c r="A165" s="71"/>
      <c r="B165" s="65"/>
      <c r="C165"/>
      <c r="D165"/>
      <c r="E165"/>
      <c r="F165" s="173"/>
      <c r="G165" s="37"/>
      <c r="H165" s="46"/>
      <c r="I165" s="371"/>
      <c r="J165" s="46"/>
      <c r="K165" s="46"/>
      <c r="L165" s="46"/>
      <c r="M165" s="46"/>
      <c r="N165" s="46"/>
      <c r="O165" s="46"/>
      <c r="P165" s="7"/>
      <c r="Q165" s="7"/>
      <c r="R165" s="7"/>
      <c r="S165" s="7"/>
      <c r="T165" s="7"/>
      <c r="U165" s="7"/>
    </row>
    <row r="166" spans="1:21" s="49" customFormat="1" x14ac:dyDescent="0.2">
      <c r="A166" s="71"/>
      <c r="B166" s="65"/>
      <c r="C166"/>
      <c r="D166"/>
      <c r="E166"/>
      <c r="F166" s="173"/>
      <c r="G166" s="37"/>
      <c r="H166" s="46"/>
      <c r="I166" s="371"/>
      <c r="J166" s="46"/>
      <c r="K166" s="46"/>
      <c r="L166" s="46"/>
      <c r="M166" s="46"/>
      <c r="N166" s="46"/>
      <c r="O166" s="46"/>
      <c r="P166" s="7"/>
      <c r="Q166" s="7"/>
      <c r="R166" s="7"/>
      <c r="S166" s="7"/>
      <c r="T166" s="7"/>
      <c r="U166" s="7"/>
    </row>
    <row r="167" spans="1:21" s="49" customFormat="1" x14ac:dyDescent="0.2">
      <c r="A167" s="71"/>
      <c r="B167" s="65"/>
      <c r="C167"/>
      <c r="D167"/>
      <c r="E167"/>
      <c r="F167" s="173"/>
      <c r="G167" s="37"/>
      <c r="H167" s="46"/>
      <c r="I167" s="371"/>
      <c r="J167" s="46"/>
      <c r="K167" s="46"/>
      <c r="L167" s="46"/>
      <c r="M167" s="46"/>
      <c r="N167" s="46"/>
      <c r="O167" s="46"/>
      <c r="P167" s="7"/>
      <c r="Q167" s="7"/>
      <c r="R167" s="7"/>
      <c r="S167" s="7"/>
      <c r="T167" s="7"/>
      <c r="U167" s="7"/>
    </row>
    <row r="168" spans="1:21" s="49" customFormat="1" x14ac:dyDescent="0.2">
      <c r="A168" s="71"/>
      <c r="B168" s="65"/>
      <c r="C168"/>
      <c r="D168"/>
      <c r="E168"/>
      <c r="F168" s="173"/>
      <c r="G168" s="37"/>
      <c r="H168" s="46"/>
      <c r="I168" s="371"/>
      <c r="J168" s="46"/>
      <c r="K168" s="46"/>
      <c r="L168" s="46"/>
      <c r="M168" s="46"/>
      <c r="N168" s="46"/>
      <c r="O168" s="46"/>
      <c r="P168" s="7"/>
      <c r="Q168" s="7"/>
      <c r="R168" s="7"/>
      <c r="S168" s="7"/>
      <c r="T168" s="7"/>
      <c r="U168" s="7"/>
    </row>
    <row r="169" spans="1:21" s="49" customFormat="1" x14ac:dyDescent="0.2">
      <c r="A169" s="71"/>
      <c r="B169" s="65"/>
      <c r="C169"/>
      <c r="D169"/>
      <c r="E169"/>
      <c r="F169" s="173"/>
      <c r="G169" s="37"/>
      <c r="H169" s="46"/>
      <c r="I169" s="371"/>
      <c r="J169" s="46"/>
      <c r="K169" s="46"/>
      <c r="L169" s="46"/>
      <c r="M169" s="46"/>
      <c r="N169" s="46"/>
      <c r="O169" s="46"/>
      <c r="P169" s="7"/>
      <c r="Q169" s="7"/>
      <c r="R169" s="7"/>
      <c r="S169" s="7"/>
      <c r="T169" s="7"/>
      <c r="U169" s="7"/>
    </row>
    <row r="170" spans="1:21" s="49" customFormat="1" x14ac:dyDescent="0.2">
      <c r="A170" s="71"/>
      <c r="B170" s="65"/>
      <c r="C170"/>
      <c r="D170"/>
      <c r="E170"/>
      <c r="F170" s="173"/>
      <c r="G170" s="37"/>
      <c r="H170" s="46"/>
      <c r="I170" s="371"/>
      <c r="J170" s="46"/>
      <c r="K170" s="46"/>
      <c r="L170" s="46"/>
      <c r="M170" s="46"/>
      <c r="N170" s="46"/>
      <c r="O170" s="46"/>
      <c r="P170" s="7"/>
      <c r="Q170" s="7"/>
      <c r="R170" s="7"/>
      <c r="S170" s="7"/>
      <c r="T170" s="7"/>
      <c r="U170" s="7"/>
    </row>
    <row r="171" spans="1:21" s="49" customFormat="1" x14ac:dyDescent="0.2">
      <c r="A171" s="71"/>
      <c r="B171" s="65"/>
      <c r="C171"/>
      <c r="D171"/>
      <c r="E171"/>
      <c r="F171" s="173"/>
      <c r="G171" s="37"/>
      <c r="H171" s="46"/>
      <c r="I171" s="371"/>
      <c r="J171" s="46"/>
      <c r="K171" s="46"/>
      <c r="L171" s="46"/>
      <c r="M171" s="46"/>
      <c r="N171" s="46"/>
      <c r="O171" s="46"/>
      <c r="P171" s="7"/>
      <c r="Q171" s="7"/>
      <c r="R171" s="7"/>
      <c r="S171" s="7"/>
      <c r="T171" s="7"/>
      <c r="U171" s="7"/>
    </row>
    <row r="172" spans="1:21" s="49" customFormat="1" x14ac:dyDescent="0.2">
      <c r="A172" s="71"/>
      <c r="B172" s="65"/>
      <c r="C172"/>
      <c r="D172"/>
      <c r="E172"/>
      <c r="F172" s="173"/>
      <c r="G172" s="37"/>
      <c r="H172" s="46"/>
      <c r="I172" s="371"/>
      <c r="J172" s="46"/>
      <c r="K172" s="46"/>
      <c r="L172" s="46"/>
      <c r="M172" s="46"/>
      <c r="N172" s="46"/>
      <c r="O172" s="46"/>
      <c r="P172" s="7"/>
      <c r="Q172" s="7"/>
      <c r="R172" s="7"/>
      <c r="S172" s="7"/>
      <c r="T172" s="7"/>
      <c r="U172" s="7"/>
    </row>
    <row r="173" spans="1:21" s="49" customFormat="1" x14ac:dyDescent="0.2">
      <c r="A173" s="71"/>
      <c r="B173" s="65"/>
      <c r="C173"/>
      <c r="D173"/>
      <c r="E173"/>
      <c r="F173" s="173"/>
      <c r="G173" s="37"/>
      <c r="H173" s="46"/>
      <c r="I173" s="371"/>
      <c r="J173" s="46"/>
      <c r="K173" s="46"/>
      <c r="L173" s="46"/>
      <c r="M173" s="46"/>
      <c r="N173" s="46"/>
      <c r="O173" s="46"/>
      <c r="P173" s="7"/>
      <c r="Q173" s="7"/>
      <c r="R173" s="7"/>
      <c r="S173" s="7"/>
      <c r="T173" s="7"/>
      <c r="U173" s="7"/>
    </row>
    <row r="174" spans="1:21" s="49" customFormat="1" x14ac:dyDescent="0.2">
      <c r="A174" s="71"/>
      <c r="B174" s="65"/>
      <c r="C174"/>
      <c r="D174"/>
      <c r="E174"/>
      <c r="F174" s="173"/>
      <c r="G174" s="37"/>
      <c r="H174" s="46"/>
      <c r="I174" s="371"/>
      <c r="J174" s="46"/>
      <c r="K174" s="46"/>
      <c r="L174" s="46"/>
      <c r="M174" s="46"/>
      <c r="N174" s="46"/>
      <c r="O174" s="46"/>
      <c r="P174" s="7"/>
      <c r="Q174" s="7"/>
      <c r="R174" s="7"/>
      <c r="S174" s="7"/>
      <c r="T174" s="7"/>
      <c r="U174" s="7"/>
    </row>
    <row r="175" spans="1:21" s="49" customFormat="1" x14ac:dyDescent="0.2">
      <c r="A175" s="71"/>
      <c r="B175" s="65"/>
      <c r="C175"/>
      <c r="D175"/>
      <c r="E175"/>
      <c r="F175" s="173"/>
      <c r="G175" s="37"/>
      <c r="H175" s="46"/>
      <c r="I175" s="371"/>
      <c r="J175" s="46"/>
      <c r="K175" s="46"/>
      <c r="L175" s="46"/>
      <c r="M175" s="46"/>
      <c r="N175" s="46"/>
      <c r="O175" s="46"/>
      <c r="P175" s="7"/>
      <c r="Q175" s="7"/>
      <c r="R175" s="7"/>
      <c r="S175" s="7"/>
      <c r="T175" s="7"/>
      <c r="U175" s="7"/>
    </row>
    <row r="176" spans="1:21" s="49" customFormat="1" x14ac:dyDescent="0.2">
      <c r="A176" s="71"/>
      <c r="B176" s="65"/>
      <c r="C176"/>
      <c r="D176"/>
      <c r="E176"/>
      <c r="F176" s="173"/>
      <c r="G176" s="37"/>
      <c r="H176" s="46"/>
      <c r="I176" s="371"/>
      <c r="J176" s="46"/>
      <c r="K176" s="46"/>
      <c r="L176" s="46"/>
      <c r="M176" s="46"/>
      <c r="N176" s="46"/>
      <c r="O176" s="46"/>
      <c r="P176" s="7"/>
      <c r="Q176" s="7"/>
      <c r="R176" s="7"/>
      <c r="S176" s="7"/>
      <c r="T176" s="7"/>
      <c r="U176" s="7"/>
    </row>
    <row r="177" spans="1:21" s="49" customFormat="1" x14ac:dyDescent="0.2">
      <c r="A177" s="71"/>
      <c r="B177" s="65"/>
      <c r="C177"/>
      <c r="D177"/>
      <c r="E177"/>
      <c r="F177" s="173"/>
      <c r="G177" s="37"/>
      <c r="H177" s="46"/>
      <c r="I177" s="371"/>
      <c r="J177" s="46"/>
      <c r="K177" s="46"/>
      <c r="L177" s="46"/>
      <c r="M177" s="46"/>
      <c r="N177" s="46"/>
      <c r="O177" s="46"/>
      <c r="P177" s="7"/>
      <c r="Q177" s="7"/>
      <c r="R177" s="7"/>
      <c r="S177" s="7"/>
      <c r="T177" s="7"/>
      <c r="U177" s="7"/>
    </row>
    <row r="178" spans="1:21" s="49" customFormat="1" x14ac:dyDescent="0.2">
      <c r="A178" s="71"/>
      <c r="B178" s="65"/>
      <c r="C178"/>
      <c r="D178"/>
      <c r="E178"/>
      <c r="F178" s="173"/>
      <c r="G178" s="37"/>
      <c r="H178" s="46"/>
      <c r="I178" s="371"/>
      <c r="J178" s="46"/>
      <c r="K178" s="46"/>
      <c r="L178" s="46"/>
      <c r="M178" s="46"/>
      <c r="N178" s="46"/>
      <c r="O178" s="46"/>
      <c r="P178" s="7"/>
      <c r="Q178" s="7"/>
      <c r="R178" s="7"/>
      <c r="S178" s="7"/>
      <c r="T178" s="7"/>
      <c r="U178" s="7"/>
    </row>
    <row r="179" spans="1:21" s="49" customFormat="1" x14ac:dyDescent="0.2">
      <c r="A179" s="71"/>
      <c r="B179" s="65"/>
      <c r="C179"/>
      <c r="D179"/>
      <c r="E179"/>
      <c r="F179" s="173"/>
      <c r="G179" s="37"/>
      <c r="H179" s="46"/>
      <c r="I179" s="371"/>
      <c r="J179" s="46"/>
      <c r="K179" s="46"/>
      <c r="L179" s="46"/>
      <c r="M179" s="46"/>
      <c r="N179" s="46"/>
      <c r="O179" s="46"/>
      <c r="P179" s="7"/>
      <c r="Q179" s="7"/>
      <c r="R179" s="7"/>
      <c r="S179" s="7"/>
      <c r="T179" s="7"/>
      <c r="U179" s="7"/>
    </row>
    <row r="180" spans="1:21" s="49" customFormat="1" x14ac:dyDescent="0.2">
      <c r="A180" s="71"/>
      <c r="B180" s="65"/>
      <c r="C180"/>
      <c r="D180"/>
      <c r="E180"/>
      <c r="F180" s="173"/>
      <c r="G180" s="37"/>
      <c r="H180" s="46"/>
      <c r="I180" s="371"/>
      <c r="J180" s="46"/>
      <c r="K180" s="46"/>
      <c r="L180" s="46"/>
      <c r="M180" s="46"/>
      <c r="N180" s="46"/>
      <c r="O180" s="46"/>
      <c r="P180" s="7"/>
      <c r="Q180" s="7"/>
      <c r="R180" s="7"/>
      <c r="S180" s="7"/>
      <c r="T180" s="7"/>
      <c r="U180" s="7"/>
    </row>
    <row r="181" spans="1:21" s="49" customFormat="1" x14ac:dyDescent="0.2">
      <c r="A181" s="71"/>
      <c r="B181" s="65"/>
      <c r="C181"/>
      <c r="D181"/>
      <c r="E181"/>
      <c r="F181" s="173"/>
      <c r="G181" s="37"/>
      <c r="H181" s="46"/>
      <c r="I181" s="371"/>
      <c r="J181" s="46"/>
      <c r="K181" s="46"/>
      <c r="L181" s="46"/>
      <c r="M181" s="46"/>
      <c r="N181" s="46"/>
      <c r="O181" s="46"/>
      <c r="P181" s="7"/>
      <c r="Q181" s="7"/>
      <c r="R181" s="7"/>
      <c r="S181" s="7"/>
      <c r="T181" s="7"/>
      <c r="U181" s="7"/>
    </row>
    <row r="182" spans="1:21" s="49" customFormat="1" x14ac:dyDescent="0.2">
      <c r="A182" s="71"/>
      <c r="B182" s="65"/>
      <c r="C182"/>
      <c r="D182"/>
      <c r="E182"/>
      <c r="F182" s="173"/>
      <c r="G182" s="37"/>
      <c r="H182" s="46"/>
      <c r="I182" s="371"/>
      <c r="J182" s="46"/>
      <c r="K182" s="46"/>
      <c r="L182" s="46"/>
      <c r="M182" s="46"/>
      <c r="N182" s="46"/>
      <c r="O182" s="46"/>
      <c r="P182" s="7"/>
      <c r="Q182" s="7"/>
      <c r="R182" s="7"/>
      <c r="S182" s="7"/>
      <c r="T182" s="7"/>
      <c r="U182" s="7"/>
    </row>
    <row r="183" spans="1:21" s="49" customFormat="1" x14ac:dyDescent="0.2">
      <c r="A183" s="71"/>
      <c r="B183" s="65"/>
      <c r="C183"/>
      <c r="D183"/>
      <c r="E183"/>
      <c r="F183" s="173"/>
      <c r="G183" s="37"/>
      <c r="H183" s="46"/>
      <c r="I183" s="371"/>
      <c r="J183" s="46"/>
      <c r="K183" s="46"/>
      <c r="L183" s="46"/>
      <c r="M183" s="46"/>
      <c r="N183" s="46"/>
      <c r="O183" s="46"/>
      <c r="P183" s="7"/>
      <c r="Q183" s="7"/>
      <c r="R183" s="7"/>
      <c r="S183" s="7"/>
      <c r="T183" s="7"/>
      <c r="U183" s="7"/>
    </row>
    <row r="184" spans="1:21" s="49" customFormat="1" x14ac:dyDescent="0.2">
      <c r="A184" s="71"/>
      <c r="B184" s="65"/>
      <c r="C184"/>
      <c r="D184"/>
      <c r="E184"/>
      <c r="F184" s="173"/>
      <c r="G184" s="37"/>
      <c r="H184" s="46"/>
      <c r="I184" s="371"/>
      <c r="J184" s="46"/>
      <c r="K184" s="46"/>
      <c r="L184" s="46"/>
      <c r="M184" s="46"/>
      <c r="N184" s="46"/>
      <c r="O184" s="46"/>
      <c r="P184" s="7"/>
      <c r="Q184" s="7"/>
      <c r="R184" s="7"/>
      <c r="S184" s="7"/>
      <c r="T184" s="7"/>
      <c r="U184" s="7"/>
    </row>
    <row r="185" spans="1:21" s="49" customFormat="1" x14ac:dyDescent="0.2">
      <c r="A185" s="71"/>
      <c r="B185" s="65"/>
      <c r="C185"/>
      <c r="D185"/>
      <c r="E185"/>
      <c r="F185" s="173"/>
      <c r="G185" s="37"/>
      <c r="H185" s="46"/>
      <c r="I185" s="371"/>
      <c r="J185" s="46"/>
      <c r="K185" s="46"/>
      <c r="L185" s="46"/>
      <c r="M185" s="46"/>
      <c r="N185" s="46"/>
      <c r="O185" s="46"/>
      <c r="P185" s="7"/>
      <c r="Q185" s="7"/>
      <c r="R185" s="7"/>
      <c r="S185" s="7"/>
      <c r="T185" s="7"/>
      <c r="U185" s="7"/>
    </row>
    <row r="186" spans="1:21" s="49" customFormat="1" x14ac:dyDescent="0.2">
      <c r="A186" s="71"/>
      <c r="B186" s="65"/>
      <c r="C186"/>
      <c r="D186"/>
      <c r="E186"/>
      <c r="F186" s="173"/>
      <c r="G186" s="37"/>
      <c r="H186" s="46"/>
      <c r="I186" s="371"/>
      <c r="J186" s="46"/>
      <c r="K186" s="46"/>
      <c r="L186" s="46"/>
      <c r="M186" s="46"/>
      <c r="N186" s="46"/>
      <c r="O186" s="46"/>
      <c r="P186" s="7"/>
      <c r="Q186" s="7"/>
      <c r="R186" s="7"/>
      <c r="S186" s="7"/>
      <c r="T186" s="7"/>
      <c r="U186" s="7"/>
    </row>
    <row r="187" spans="1:21" s="49" customFormat="1" x14ac:dyDescent="0.2">
      <c r="A187" s="71"/>
      <c r="B187" s="65"/>
      <c r="C187"/>
      <c r="D187"/>
      <c r="E187"/>
      <c r="F187" s="173"/>
      <c r="G187" s="37"/>
      <c r="H187" s="46"/>
      <c r="I187" s="371"/>
      <c r="J187" s="46"/>
      <c r="K187" s="46"/>
      <c r="L187" s="46"/>
      <c r="M187" s="46"/>
      <c r="N187" s="46"/>
      <c r="O187" s="46"/>
      <c r="P187" s="7"/>
      <c r="Q187" s="7"/>
      <c r="R187" s="7"/>
      <c r="S187" s="7"/>
      <c r="T187" s="7"/>
      <c r="U187" s="7"/>
    </row>
    <row r="188" spans="1:21" s="49" customFormat="1" x14ac:dyDescent="0.2">
      <c r="A188" s="71"/>
      <c r="B188" s="65"/>
      <c r="C188"/>
      <c r="D188"/>
      <c r="E188"/>
      <c r="F188" s="173"/>
      <c r="G188" s="37"/>
      <c r="H188" s="46"/>
      <c r="I188" s="371"/>
      <c r="J188" s="46"/>
      <c r="K188" s="46"/>
      <c r="L188" s="46"/>
      <c r="M188" s="46"/>
      <c r="N188" s="46"/>
      <c r="O188" s="46"/>
      <c r="P188" s="7"/>
      <c r="Q188" s="7"/>
      <c r="R188" s="7"/>
      <c r="S188" s="7"/>
      <c r="T188" s="7"/>
      <c r="U188" s="7"/>
    </row>
    <row r="189" spans="1:21" s="49" customFormat="1" x14ac:dyDescent="0.2">
      <c r="A189" s="71"/>
      <c r="B189" s="65"/>
      <c r="C189"/>
      <c r="D189"/>
      <c r="E189"/>
      <c r="F189" s="173"/>
      <c r="G189" s="37"/>
      <c r="H189" s="46"/>
      <c r="I189" s="371"/>
      <c r="J189" s="46"/>
      <c r="K189" s="46"/>
      <c r="L189" s="46"/>
      <c r="M189" s="46"/>
      <c r="N189" s="46"/>
      <c r="O189" s="46"/>
      <c r="P189" s="7"/>
      <c r="Q189" s="7"/>
      <c r="R189" s="7"/>
      <c r="S189" s="7"/>
      <c r="T189" s="7"/>
      <c r="U189" s="7"/>
    </row>
    <row r="190" spans="1:21" s="49" customFormat="1" x14ac:dyDescent="0.2">
      <c r="A190" s="71"/>
      <c r="B190" s="65"/>
      <c r="C190"/>
      <c r="D190"/>
      <c r="E190"/>
      <c r="F190" s="173"/>
      <c r="G190" s="37"/>
      <c r="H190" s="46"/>
      <c r="I190" s="371"/>
      <c r="J190" s="46"/>
      <c r="K190" s="46"/>
      <c r="L190" s="46"/>
      <c r="M190" s="46"/>
      <c r="N190" s="46"/>
      <c r="O190" s="46"/>
      <c r="P190" s="7"/>
      <c r="Q190" s="7"/>
      <c r="R190" s="7"/>
      <c r="S190" s="7"/>
      <c r="T190" s="7"/>
      <c r="U190" s="7"/>
    </row>
    <row r="191" spans="1:21" s="49" customFormat="1" x14ac:dyDescent="0.2">
      <c r="A191" s="71"/>
      <c r="B191" s="65"/>
      <c r="C191"/>
      <c r="D191"/>
      <c r="E191"/>
      <c r="F191" s="173"/>
      <c r="G191" s="37"/>
      <c r="H191" s="46"/>
      <c r="I191" s="371"/>
      <c r="J191" s="46"/>
      <c r="K191" s="46"/>
      <c r="L191" s="46"/>
      <c r="M191" s="46"/>
      <c r="N191" s="46"/>
      <c r="O191" s="46"/>
      <c r="P191" s="7"/>
      <c r="Q191" s="7"/>
      <c r="R191" s="7"/>
      <c r="S191" s="7"/>
      <c r="T191" s="7"/>
      <c r="U191" s="7"/>
    </row>
    <row r="192" spans="1:21" s="49" customFormat="1" x14ac:dyDescent="0.2">
      <c r="A192" s="71"/>
      <c r="B192" s="65"/>
      <c r="C192"/>
      <c r="D192"/>
      <c r="E192"/>
      <c r="F192" s="173"/>
      <c r="G192" s="37"/>
      <c r="H192" s="46"/>
      <c r="I192" s="371"/>
      <c r="J192" s="46"/>
      <c r="K192" s="46"/>
      <c r="L192" s="46"/>
      <c r="M192" s="46"/>
      <c r="N192" s="46"/>
      <c r="O192" s="46"/>
      <c r="P192" s="7"/>
      <c r="Q192" s="7"/>
      <c r="R192" s="7"/>
      <c r="S192" s="7"/>
      <c r="T192" s="7"/>
      <c r="U192" s="7"/>
    </row>
    <row r="193" spans="1:21" s="49" customFormat="1" x14ac:dyDescent="0.2">
      <c r="A193" s="71"/>
      <c r="B193" s="65"/>
      <c r="C193"/>
      <c r="D193"/>
      <c r="E193"/>
      <c r="F193" s="173"/>
      <c r="G193" s="37"/>
      <c r="H193" s="46"/>
      <c r="I193" s="371"/>
      <c r="J193" s="46"/>
      <c r="K193" s="46"/>
      <c r="L193" s="46"/>
      <c r="M193" s="46"/>
      <c r="N193" s="46"/>
      <c r="O193" s="46"/>
      <c r="P193" s="7"/>
      <c r="Q193" s="7"/>
      <c r="R193" s="7"/>
      <c r="S193" s="7"/>
      <c r="T193" s="7"/>
      <c r="U193" s="7"/>
    </row>
    <row r="194" spans="1:21" s="49" customFormat="1" x14ac:dyDescent="0.2">
      <c r="A194" s="71"/>
      <c r="B194" s="65"/>
      <c r="C194"/>
      <c r="D194"/>
      <c r="E194"/>
      <c r="F194" s="173"/>
      <c r="G194" s="37"/>
      <c r="H194" s="46"/>
      <c r="I194" s="371"/>
      <c r="J194" s="46"/>
      <c r="K194" s="46"/>
      <c r="L194" s="46"/>
      <c r="M194" s="46"/>
      <c r="N194" s="46"/>
      <c r="O194" s="46"/>
      <c r="P194" s="7"/>
      <c r="Q194" s="7"/>
      <c r="R194" s="7"/>
      <c r="S194" s="7"/>
      <c r="T194" s="7"/>
      <c r="U194" s="7"/>
    </row>
    <row r="195" spans="1:21" s="49" customFormat="1" x14ac:dyDescent="0.2">
      <c r="A195" s="71"/>
      <c r="B195" s="65"/>
      <c r="C195"/>
      <c r="D195"/>
      <c r="E195"/>
      <c r="F195" s="173"/>
      <c r="G195" s="37"/>
      <c r="H195" s="46"/>
      <c r="I195" s="371"/>
      <c r="J195" s="46"/>
      <c r="K195" s="46"/>
      <c r="L195" s="46"/>
      <c r="M195" s="46"/>
      <c r="N195" s="46"/>
      <c r="O195" s="46"/>
      <c r="P195" s="7"/>
      <c r="Q195" s="7"/>
      <c r="R195" s="7"/>
      <c r="S195" s="7"/>
      <c r="T195" s="7"/>
      <c r="U195" s="7"/>
    </row>
    <row r="196" spans="1:21" s="49" customFormat="1" x14ac:dyDescent="0.2">
      <c r="A196" s="71"/>
      <c r="B196" s="65"/>
      <c r="C196"/>
      <c r="D196"/>
      <c r="E196"/>
      <c r="F196" s="173"/>
      <c r="G196" s="37"/>
      <c r="H196" s="46"/>
      <c r="I196" s="371"/>
      <c r="J196" s="46"/>
      <c r="K196" s="46"/>
      <c r="L196" s="46"/>
      <c r="M196" s="46"/>
      <c r="N196" s="46"/>
      <c r="O196" s="46"/>
      <c r="P196" s="7"/>
      <c r="Q196" s="7"/>
      <c r="R196" s="7"/>
      <c r="S196" s="7"/>
      <c r="T196" s="7"/>
      <c r="U196" s="7"/>
    </row>
  </sheetData>
  <mergeCells count="2">
    <mergeCell ref="C5:G5"/>
    <mergeCell ref="J5:O5"/>
  </mergeCells>
  <printOptions horizontalCentered="1"/>
  <pageMargins left="0" right="0" top="0.5" bottom="0.5" header="0.25" footer="0.28000000000000003"/>
  <pageSetup paperSize="17" scale="60" orientation="portrait" cellComments="asDisplayed" r:id="rId1"/>
  <headerFooter alignWithMargins="0">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70"/>
  <sheetViews>
    <sheetView topLeftCell="A4" zoomScaleNormal="100" workbookViewId="0">
      <selection activeCell="N20" sqref="N20"/>
    </sheetView>
  </sheetViews>
  <sheetFormatPr defaultRowHeight="12.75" x14ac:dyDescent="0.2"/>
  <cols>
    <col min="1" max="30" width="13.140625" customWidth="1"/>
  </cols>
  <sheetData>
    <row r="1" spans="1:31" x14ac:dyDescent="0.2">
      <c r="A1" s="316" t="s">
        <v>224</v>
      </c>
    </row>
    <row r="2" spans="1:31" x14ac:dyDescent="0.2">
      <c r="A2" s="135" t="s">
        <v>89</v>
      </c>
      <c r="B2" s="135"/>
      <c r="C2" s="135"/>
      <c r="D2" s="135"/>
      <c r="E2" s="135"/>
      <c r="F2" s="135"/>
      <c r="G2" s="135"/>
      <c r="H2" s="135"/>
      <c r="I2" s="135"/>
      <c r="J2" s="135"/>
      <c r="K2" s="135"/>
      <c r="L2" s="135"/>
      <c r="M2" s="135"/>
      <c r="N2" s="510" t="s">
        <v>89</v>
      </c>
      <c r="O2" s="510"/>
      <c r="P2" s="510"/>
      <c r="Q2" s="98"/>
      <c r="R2" s="98"/>
      <c r="S2" s="98"/>
      <c r="T2" s="98"/>
      <c r="U2" s="157" t="s">
        <v>100</v>
      </c>
      <c r="V2" s="157"/>
      <c r="W2" s="157"/>
      <c r="X2" s="157"/>
      <c r="Y2" s="157"/>
      <c r="Z2" s="157"/>
      <c r="AA2" s="157"/>
      <c r="AB2" s="157"/>
      <c r="AC2" s="157"/>
      <c r="AD2" s="98"/>
      <c r="AE2" s="98"/>
    </row>
    <row r="3" spans="1:31" x14ac:dyDescent="0.2">
      <c r="A3" s="136" t="s">
        <v>54</v>
      </c>
      <c r="B3" s="135"/>
      <c r="C3" s="135"/>
      <c r="D3" s="135"/>
      <c r="E3" s="135"/>
      <c r="F3" s="135"/>
      <c r="G3" s="135"/>
      <c r="H3" s="135"/>
      <c r="I3" s="135"/>
      <c r="J3" s="135"/>
      <c r="K3" s="135"/>
      <c r="L3" s="135"/>
      <c r="M3" s="135"/>
      <c r="N3" s="511" t="s">
        <v>55</v>
      </c>
      <c r="O3" s="511"/>
      <c r="P3" s="511"/>
      <c r="Q3" s="98"/>
      <c r="R3" s="98"/>
      <c r="S3" s="98"/>
      <c r="T3" s="98"/>
      <c r="U3" s="157"/>
      <c r="V3" s="157"/>
      <c r="W3" s="157"/>
      <c r="X3" s="157"/>
      <c r="Y3" s="157"/>
      <c r="Z3" s="157"/>
      <c r="AA3" s="157"/>
      <c r="AB3" s="157"/>
      <c r="AC3" s="157"/>
      <c r="AD3" s="98"/>
      <c r="AE3" s="98"/>
    </row>
    <row r="4" spans="1:31" x14ac:dyDescent="0.2">
      <c r="A4" s="135" t="s">
        <v>56</v>
      </c>
      <c r="B4" s="135"/>
      <c r="C4" s="135"/>
      <c r="D4" s="135"/>
      <c r="E4" s="135"/>
      <c r="F4" s="135"/>
      <c r="G4" s="135"/>
      <c r="H4" s="135"/>
      <c r="I4" s="135"/>
      <c r="J4" s="135"/>
      <c r="K4" s="135"/>
      <c r="L4" s="135"/>
      <c r="M4" s="135"/>
      <c r="N4" s="512" t="s">
        <v>57</v>
      </c>
      <c r="O4" s="512"/>
      <c r="P4" s="512"/>
      <c r="Q4" s="98"/>
      <c r="R4" s="98"/>
      <c r="S4" s="98"/>
      <c r="T4" s="98"/>
      <c r="U4" s="157"/>
      <c r="V4" s="157"/>
      <c r="W4" s="157"/>
      <c r="X4" s="157"/>
      <c r="Y4" s="157"/>
      <c r="Z4" s="157"/>
      <c r="AA4" s="157"/>
      <c r="AB4" s="157"/>
      <c r="AC4" s="157"/>
      <c r="AD4" s="98"/>
      <c r="AE4" s="98"/>
    </row>
    <row r="5" spans="1:31" x14ac:dyDescent="0.2">
      <c r="A5" s="137" t="s">
        <v>99</v>
      </c>
      <c r="B5" s="137">
        <v>2</v>
      </c>
      <c r="C5" s="137">
        <v>3</v>
      </c>
      <c r="D5" s="137">
        <v>4</v>
      </c>
      <c r="E5" s="137">
        <v>5</v>
      </c>
      <c r="F5" s="137">
        <v>6</v>
      </c>
      <c r="G5" s="137">
        <v>7</v>
      </c>
      <c r="H5" s="137">
        <v>8</v>
      </c>
      <c r="I5" s="137">
        <v>9</v>
      </c>
      <c r="J5" s="137">
        <v>10</v>
      </c>
      <c r="K5" s="137">
        <v>11</v>
      </c>
      <c r="L5" s="137">
        <v>12</v>
      </c>
      <c r="M5" s="137">
        <v>13</v>
      </c>
      <c r="N5" s="140">
        <v>14</v>
      </c>
      <c r="O5" s="141">
        <v>15</v>
      </c>
      <c r="P5" s="141">
        <v>16</v>
      </c>
      <c r="Q5" s="141">
        <v>17</v>
      </c>
      <c r="R5" s="141">
        <v>18</v>
      </c>
      <c r="S5" s="141">
        <v>19</v>
      </c>
      <c r="T5" s="141">
        <v>20</v>
      </c>
      <c r="U5" s="158">
        <v>21</v>
      </c>
      <c r="V5" s="158">
        <v>22</v>
      </c>
      <c r="W5" s="158">
        <v>23</v>
      </c>
      <c r="X5" s="158">
        <v>24</v>
      </c>
      <c r="Y5" s="158">
        <v>25</v>
      </c>
      <c r="Z5" s="158">
        <v>26</v>
      </c>
      <c r="AA5" s="158">
        <v>27</v>
      </c>
      <c r="AB5" s="158">
        <v>28</v>
      </c>
      <c r="AC5" s="158">
        <v>29</v>
      </c>
      <c r="AD5" s="160">
        <v>30</v>
      </c>
      <c r="AE5" s="98"/>
    </row>
    <row r="6" spans="1:31" ht="51.75" thickBot="1" x14ac:dyDescent="0.25">
      <c r="A6" s="138" t="s">
        <v>58</v>
      </c>
      <c r="B6" s="139" t="s">
        <v>59</v>
      </c>
      <c r="C6" s="139" t="s">
        <v>60</v>
      </c>
      <c r="D6" s="139" t="s">
        <v>61</v>
      </c>
      <c r="E6" s="139" t="s">
        <v>62</v>
      </c>
      <c r="F6" s="139" t="s">
        <v>63</v>
      </c>
      <c r="G6" s="139" t="s">
        <v>64</v>
      </c>
      <c r="H6" s="139" t="s">
        <v>65</v>
      </c>
      <c r="I6" s="139" t="s">
        <v>66</v>
      </c>
      <c r="J6" s="139" t="s">
        <v>67</v>
      </c>
      <c r="K6" s="139" t="s">
        <v>68</v>
      </c>
      <c r="L6" s="139" t="s">
        <v>69</v>
      </c>
      <c r="M6" s="139" t="s">
        <v>70</v>
      </c>
      <c r="N6" s="142" t="s">
        <v>71</v>
      </c>
      <c r="O6" s="142" t="s">
        <v>92</v>
      </c>
      <c r="P6" s="142" t="s">
        <v>250</v>
      </c>
      <c r="Q6" s="142"/>
      <c r="R6" s="142"/>
      <c r="S6" s="142"/>
      <c r="T6" s="142"/>
      <c r="U6" s="159" t="s">
        <v>246</v>
      </c>
      <c r="V6" s="159"/>
      <c r="W6" s="159"/>
      <c r="X6" s="159"/>
      <c r="Y6" s="159"/>
      <c r="Z6" s="159"/>
      <c r="AA6" s="159"/>
      <c r="AB6" s="159"/>
      <c r="AC6" s="159"/>
      <c r="AD6" s="161" t="s">
        <v>98</v>
      </c>
      <c r="AE6" s="99"/>
    </row>
    <row r="7" spans="1:31" x14ac:dyDescent="0.2">
      <c r="A7" s="143">
        <v>1998</v>
      </c>
      <c r="B7" s="100">
        <v>389.5</v>
      </c>
      <c r="C7" s="100">
        <v>436</v>
      </c>
      <c r="D7" s="100">
        <v>382.8</v>
      </c>
      <c r="E7" s="100">
        <v>430.8</v>
      </c>
      <c r="F7" s="100">
        <v>534.79999999999995</v>
      </c>
      <c r="G7" s="100">
        <v>365.3</v>
      </c>
      <c r="H7" s="100">
        <v>648.5</v>
      </c>
      <c r="I7" s="100">
        <v>333.6</v>
      </c>
      <c r="J7" s="100">
        <v>394.3</v>
      </c>
      <c r="K7" s="100">
        <v>287.39999999999998</v>
      </c>
      <c r="L7" s="100">
        <v>374.2</v>
      </c>
      <c r="M7" s="100">
        <v>341.2</v>
      </c>
      <c r="N7" s="102">
        <v>107.1</v>
      </c>
      <c r="O7" s="100"/>
      <c r="P7" s="100"/>
      <c r="Q7" s="406"/>
      <c r="R7" s="100"/>
      <c r="S7" s="100"/>
      <c r="T7" s="100"/>
      <c r="U7" s="100"/>
      <c r="V7" s="100"/>
      <c r="W7" s="100"/>
      <c r="X7" s="100"/>
      <c r="Y7" s="100"/>
      <c r="Z7" s="100"/>
      <c r="AA7" s="100"/>
      <c r="AB7" s="100"/>
      <c r="AC7" s="100"/>
      <c r="AD7" s="100">
        <v>1</v>
      </c>
      <c r="AE7" s="98"/>
    </row>
    <row r="8" spans="1:31" x14ac:dyDescent="0.2">
      <c r="A8" s="131">
        <v>1999</v>
      </c>
      <c r="B8" s="130">
        <v>390.6</v>
      </c>
      <c r="C8" s="130">
        <v>435.5</v>
      </c>
      <c r="D8" s="130">
        <v>371.2</v>
      </c>
      <c r="E8" s="130">
        <v>433.6</v>
      </c>
      <c r="F8" s="130">
        <v>531.6</v>
      </c>
      <c r="G8" s="130">
        <v>363.5</v>
      </c>
      <c r="H8" s="130">
        <v>658.4</v>
      </c>
      <c r="I8" s="130">
        <v>335.8</v>
      </c>
      <c r="J8" s="130">
        <v>413.1</v>
      </c>
      <c r="K8" s="130">
        <v>292.5</v>
      </c>
      <c r="L8" s="130">
        <v>380.2</v>
      </c>
      <c r="M8" s="130">
        <v>339.9</v>
      </c>
      <c r="N8" s="132">
        <v>106.4</v>
      </c>
      <c r="O8" s="130"/>
      <c r="P8" s="133"/>
      <c r="Q8" s="407"/>
      <c r="R8" s="130"/>
      <c r="S8" s="130"/>
      <c r="T8" s="130"/>
      <c r="U8" s="130"/>
      <c r="V8" s="130"/>
      <c r="W8" s="130"/>
      <c r="X8" s="130"/>
      <c r="Y8" s="130"/>
      <c r="Z8" s="130"/>
      <c r="AA8" s="130"/>
      <c r="AB8" s="130"/>
      <c r="AC8" s="130"/>
      <c r="AD8" s="130">
        <v>1</v>
      </c>
      <c r="AE8" s="98"/>
    </row>
    <row r="9" spans="1:31" x14ac:dyDescent="0.2">
      <c r="A9" s="143">
        <v>2000</v>
      </c>
      <c r="B9" s="100">
        <v>394.1</v>
      </c>
      <c r="C9" s="100">
        <v>438</v>
      </c>
      <c r="D9" s="100">
        <v>370.6</v>
      </c>
      <c r="E9" s="100">
        <v>439.4</v>
      </c>
      <c r="F9" s="100">
        <v>545.9</v>
      </c>
      <c r="G9" s="100">
        <v>368.5</v>
      </c>
      <c r="H9" s="100">
        <v>665.3</v>
      </c>
      <c r="I9" s="100">
        <v>339.4</v>
      </c>
      <c r="J9" s="100">
        <v>408.7</v>
      </c>
      <c r="K9" s="100">
        <v>299.2</v>
      </c>
      <c r="L9" s="100">
        <v>385.6</v>
      </c>
      <c r="M9" s="100">
        <v>340.6</v>
      </c>
      <c r="N9" s="102">
        <v>109.7</v>
      </c>
      <c r="O9" s="100"/>
      <c r="P9" s="100"/>
      <c r="Q9" s="406"/>
      <c r="R9" s="100"/>
      <c r="S9" s="100"/>
      <c r="T9" s="100"/>
      <c r="U9" s="100"/>
      <c r="V9" s="100"/>
      <c r="W9" s="100"/>
      <c r="X9" s="100"/>
      <c r="Y9" s="100"/>
      <c r="Z9" s="100"/>
      <c r="AA9" s="100"/>
      <c r="AB9" s="100"/>
      <c r="AC9" s="100"/>
      <c r="AD9" s="100">
        <v>1</v>
      </c>
      <c r="AE9" s="98"/>
    </row>
    <row r="10" spans="1:31" x14ac:dyDescent="0.2">
      <c r="A10" s="131">
        <v>2001</v>
      </c>
      <c r="B10" s="130">
        <v>394.3</v>
      </c>
      <c r="C10" s="130">
        <v>437.3</v>
      </c>
      <c r="D10" s="130">
        <v>363.9</v>
      </c>
      <c r="E10" s="130">
        <v>439.5</v>
      </c>
      <c r="F10" s="130">
        <v>548.1</v>
      </c>
      <c r="G10" s="130">
        <v>362.9</v>
      </c>
      <c r="H10" s="130">
        <v>683.2</v>
      </c>
      <c r="I10" s="130">
        <v>341.2</v>
      </c>
      <c r="J10" s="130">
        <v>413.9</v>
      </c>
      <c r="K10" s="130">
        <v>302.3</v>
      </c>
      <c r="L10" s="130">
        <v>385.6</v>
      </c>
      <c r="M10" s="130">
        <v>341.5</v>
      </c>
      <c r="N10" s="132">
        <v>112</v>
      </c>
      <c r="O10" s="130"/>
      <c r="P10" s="134"/>
      <c r="Q10" s="439"/>
      <c r="R10" s="130"/>
      <c r="S10" s="130"/>
      <c r="T10" s="130"/>
      <c r="U10" s="449">
        <v>400</v>
      </c>
      <c r="V10" s="130"/>
      <c r="W10" s="130"/>
      <c r="X10" s="130"/>
      <c r="Y10" s="130"/>
      <c r="Z10" s="130"/>
      <c r="AA10" s="130"/>
      <c r="AB10" s="130"/>
      <c r="AC10" s="130"/>
      <c r="AD10" s="130">
        <v>1</v>
      </c>
      <c r="AE10" s="98"/>
    </row>
    <row r="11" spans="1:31" x14ac:dyDescent="0.2">
      <c r="A11" s="143">
        <v>2002</v>
      </c>
      <c r="B11" s="100">
        <v>395.6</v>
      </c>
      <c r="C11" s="100">
        <v>437.51666666666665</v>
      </c>
      <c r="D11" s="100">
        <v>356.92500000000001</v>
      </c>
      <c r="E11" s="100">
        <v>444.15</v>
      </c>
      <c r="F11" s="100">
        <v>555.84166666666681</v>
      </c>
      <c r="G11" s="100">
        <v>363.50833333333327</v>
      </c>
      <c r="H11" s="100">
        <v>699.19166666666661</v>
      </c>
      <c r="I11" s="100">
        <v>341.35833333333329</v>
      </c>
      <c r="J11" s="100">
        <v>415.45</v>
      </c>
      <c r="K11" s="100">
        <v>305.79166666666669</v>
      </c>
      <c r="L11" s="100">
        <v>390.41666666666669</v>
      </c>
      <c r="M11" s="100">
        <v>345.33333333333331</v>
      </c>
      <c r="N11" s="102">
        <v>111.24166666666666</v>
      </c>
      <c r="O11" s="100"/>
      <c r="P11" s="100">
        <v>100.3</v>
      </c>
      <c r="Q11" s="440"/>
      <c r="R11" s="100"/>
      <c r="S11" s="100"/>
      <c r="T11" s="100"/>
      <c r="U11" s="441">
        <v>520</v>
      </c>
      <c r="V11" s="100"/>
      <c r="W11" s="100"/>
      <c r="X11" s="100"/>
      <c r="Y11" s="100"/>
      <c r="Z11" s="100"/>
      <c r="AA11" s="100"/>
      <c r="AB11" s="100"/>
      <c r="AC11" s="100"/>
      <c r="AD11" s="100">
        <v>1</v>
      </c>
      <c r="AE11" s="98"/>
    </row>
    <row r="12" spans="1:31" x14ac:dyDescent="0.2">
      <c r="A12" s="131">
        <v>2003</v>
      </c>
      <c r="B12" s="130">
        <v>402.08333333333331</v>
      </c>
      <c r="C12" s="130">
        <v>445.47500000000002</v>
      </c>
      <c r="D12" s="130">
        <v>363.53333333333336</v>
      </c>
      <c r="E12" s="130">
        <v>451.54166666666669</v>
      </c>
      <c r="F12" s="130">
        <v>570.79999999999995</v>
      </c>
      <c r="G12" s="130">
        <v>365.38333333333327</v>
      </c>
      <c r="H12" s="130">
        <v>705.30833333333339</v>
      </c>
      <c r="I12" s="130">
        <v>341.58333333333331</v>
      </c>
      <c r="J12" s="130">
        <v>428.48333333333335</v>
      </c>
      <c r="K12" s="130">
        <v>308.81666666666666</v>
      </c>
      <c r="L12" s="130">
        <v>400.16666666666674</v>
      </c>
      <c r="M12" s="130">
        <v>347.41666666666669</v>
      </c>
      <c r="N12" s="132">
        <v>110.97499999999999</v>
      </c>
      <c r="O12" s="130">
        <v>101.04285714285716</v>
      </c>
      <c r="P12" s="134">
        <v>126</v>
      </c>
      <c r="Q12" s="439"/>
      <c r="R12" s="130"/>
      <c r="S12" s="130"/>
      <c r="T12" s="130"/>
      <c r="U12" s="449">
        <v>650</v>
      </c>
      <c r="V12" s="130"/>
      <c r="W12" s="130"/>
      <c r="X12" s="130"/>
      <c r="Y12" s="130"/>
      <c r="Z12" s="130"/>
      <c r="AA12" s="130"/>
      <c r="AB12" s="130"/>
      <c r="AC12" s="130"/>
      <c r="AD12" s="130">
        <v>1</v>
      </c>
      <c r="AE12" s="98"/>
    </row>
    <row r="13" spans="1:31" x14ac:dyDescent="0.2">
      <c r="A13" s="143">
        <v>2004</v>
      </c>
      <c r="B13" s="100">
        <v>444.22500000000002</v>
      </c>
      <c r="C13" s="100">
        <v>508.125</v>
      </c>
      <c r="D13" s="100">
        <v>464.82499999999999</v>
      </c>
      <c r="E13" s="100">
        <v>490.98333333333329</v>
      </c>
      <c r="F13" s="100">
        <v>600.625</v>
      </c>
      <c r="G13" s="100">
        <v>374.33333333333331</v>
      </c>
      <c r="H13" s="100">
        <v>719.43333333333328</v>
      </c>
      <c r="I13" s="100">
        <v>351.01666666666665</v>
      </c>
      <c r="J13" s="100">
        <v>537.48333333333335</v>
      </c>
      <c r="K13" s="100">
        <v>307.73333333333329</v>
      </c>
      <c r="L13" s="100">
        <v>428.56666666666678</v>
      </c>
      <c r="M13" s="100">
        <v>345.18333333333334</v>
      </c>
      <c r="N13" s="102">
        <v>108.58333333333331</v>
      </c>
      <c r="O13" s="100">
        <v>115.05</v>
      </c>
      <c r="P13" s="100">
        <v>181.4</v>
      </c>
      <c r="Q13" s="440"/>
      <c r="R13" s="100"/>
      <c r="S13" s="100"/>
      <c r="T13" s="100"/>
      <c r="U13" s="441">
        <v>780</v>
      </c>
      <c r="V13" s="100"/>
      <c r="W13" s="100"/>
      <c r="X13" s="100"/>
      <c r="Y13" s="100"/>
      <c r="Z13" s="100"/>
      <c r="AA13" s="100"/>
      <c r="AB13" s="100"/>
      <c r="AC13" s="100"/>
      <c r="AD13" s="100">
        <v>1</v>
      </c>
      <c r="AE13" s="98"/>
    </row>
    <row r="14" spans="1:31" x14ac:dyDescent="0.2">
      <c r="A14" s="131">
        <v>2005</v>
      </c>
      <c r="B14" s="130">
        <v>468.16666666666669</v>
      </c>
      <c r="C14" s="130">
        <v>543.67499999999995</v>
      </c>
      <c r="D14" s="130">
        <v>513.93333333333328</v>
      </c>
      <c r="E14" s="130">
        <v>519.65</v>
      </c>
      <c r="F14" s="130">
        <v>623.70000000000005</v>
      </c>
      <c r="G14" s="130">
        <v>381.82499999999999</v>
      </c>
      <c r="H14" s="130">
        <v>752.5</v>
      </c>
      <c r="I14" s="130">
        <v>372.14166666666665</v>
      </c>
      <c r="J14" s="130">
        <v>584.76666666666665</v>
      </c>
      <c r="K14" s="130">
        <v>305.55</v>
      </c>
      <c r="L14" s="130">
        <v>445.1</v>
      </c>
      <c r="M14" s="130">
        <v>346.79166666666669</v>
      </c>
      <c r="N14" s="132">
        <v>110.98333333333335</v>
      </c>
      <c r="O14" s="130">
        <v>132.21666666666667</v>
      </c>
      <c r="P14" s="134">
        <v>224.2</v>
      </c>
      <c r="Q14" s="439"/>
      <c r="R14" s="130"/>
      <c r="S14" s="130"/>
      <c r="T14" s="130"/>
      <c r="U14" s="449">
        <v>900</v>
      </c>
      <c r="V14" s="130"/>
      <c r="W14" s="130"/>
      <c r="X14" s="130"/>
      <c r="Y14" s="130"/>
      <c r="Z14" s="130"/>
      <c r="AA14" s="130"/>
      <c r="AB14" s="130"/>
      <c r="AC14" s="130"/>
      <c r="AD14" s="130">
        <v>1</v>
      </c>
      <c r="AE14" s="98"/>
    </row>
    <row r="15" spans="1:31" x14ac:dyDescent="0.2">
      <c r="A15" s="143">
        <v>2006</v>
      </c>
      <c r="B15" s="100">
        <v>499.55</v>
      </c>
      <c r="C15" s="100">
        <v>588.04166666666663</v>
      </c>
      <c r="D15" s="100">
        <v>547.95000000000005</v>
      </c>
      <c r="E15" s="100">
        <v>549.70833333333337</v>
      </c>
      <c r="F15" s="100">
        <v>708.00833333333333</v>
      </c>
      <c r="G15" s="100">
        <v>420.125</v>
      </c>
      <c r="H15" s="100">
        <v>785.73333333333323</v>
      </c>
      <c r="I15" s="100">
        <v>403.06666666666661</v>
      </c>
      <c r="J15" s="100">
        <v>625.29999999999995</v>
      </c>
      <c r="K15" s="100">
        <v>309.31666666666666</v>
      </c>
      <c r="L15" s="100">
        <v>468.56666666666666</v>
      </c>
      <c r="M15" s="100">
        <v>350.92500000000001</v>
      </c>
      <c r="N15" s="102">
        <v>113.45833333333331</v>
      </c>
      <c r="O15" s="100">
        <v>139.55833333333334</v>
      </c>
      <c r="P15" s="100">
        <v>272.5</v>
      </c>
      <c r="Q15" s="440"/>
      <c r="R15" s="100"/>
      <c r="S15" s="100"/>
      <c r="T15" s="100"/>
      <c r="U15" s="441">
        <v>1020</v>
      </c>
      <c r="V15" s="100"/>
      <c r="W15" s="100"/>
      <c r="X15" s="100"/>
      <c r="Y15" s="100"/>
      <c r="Z15" s="100"/>
      <c r="AA15" s="100"/>
      <c r="AB15" s="100"/>
      <c r="AC15" s="100"/>
      <c r="AD15" s="100">
        <v>1</v>
      </c>
      <c r="AE15" s="98"/>
    </row>
    <row r="16" spans="1:31" x14ac:dyDescent="0.2">
      <c r="A16" s="131">
        <v>2007</v>
      </c>
      <c r="B16" s="130">
        <v>525.41666666666663</v>
      </c>
      <c r="C16" s="130">
        <v>624.35833333333323</v>
      </c>
      <c r="D16" s="130">
        <v>592.10833333333335</v>
      </c>
      <c r="E16" s="130">
        <v>598.26666666666654</v>
      </c>
      <c r="F16" s="130">
        <v>733.6</v>
      </c>
      <c r="G16" s="130">
        <v>425.25</v>
      </c>
      <c r="H16" s="130">
        <v>831.17499999999995</v>
      </c>
      <c r="I16" s="130">
        <v>430.4666666666667</v>
      </c>
      <c r="J16" s="130">
        <v>662.61666666666667</v>
      </c>
      <c r="K16" s="130">
        <v>315.125</v>
      </c>
      <c r="L16" s="130">
        <v>476.77499999999998</v>
      </c>
      <c r="M16" s="130">
        <v>357.00833333333338</v>
      </c>
      <c r="N16" s="132">
        <v>114.16666666666664</v>
      </c>
      <c r="O16" s="130">
        <v>156</v>
      </c>
      <c r="P16" s="134">
        <v>287.3</v>
      </c>
      <c r="Q16" s="439"/>
      <c r="R16" s="130"/>
      <c r="S16" s="130"/>
      <c r="T16" s="130"/>
      <c r="U16" s="449">
        <v>1150</v>
      </c>
      <c r="V16" s="130"/>
      <c r="W16" s="130"/>
      <c r="X16" s="130"/>
      <c r="Y16" s="130"/>
      <c r="Z16" s="130"/>
      <c r="AA16" s="130"/>
      <c r="AB16" s="130"/>
      <c r="AC16" s="130"/>
      <c r="AD16" s="130">
        <v>1</v>
      </c>
      <c r="AE16" s="98"/>
    </row>
    <row r="17" spans="1:31" x14ac:dyDescent="0.2">
      <c r="A17" s="143">
        <v>2008</v>
      </c>
      <c r="B17" s="100">
        <v>575.4</v>
      </c>
      <c r="C17" s="100">
        <v>696.8</v>
      </c>
      <c r="D17" s="100">
        <v>687.6</v>
      </c>
      <c r="E17" s="100">
        <v>643.4</v>
      </c>
      <c r="F17" s="100">
        <v>827.6</v>
      </c>
      <c r="G17" s="100">
        <v>434.6</v>
      </c>
      <c r="H17" s="100">
        <v>871.7</v>
      </c>
      <c r="I17" s="100">
        <v>458.5</v>
      </c>
      <c r="J17" s="100">
        <v>748.6</v>
      </c>
      <c r="K17" s="100">
        <v>321.7</v>
      </c>
      <c r="L17" s="100">
        <v>506.9</v>
      </c>
      <c r="M17" s="100">
        <v>352.9</v>
      </c>
      <c r="N17" s="102">
        <v>115.9</v>
      </c>
      <c r="O17" s="100">
        <v>240.3</v>
      </c>
      <c r="P17" s="100">
        <v>323.7</v>
      </c>
      <c r="Q17" s="440"/>
      <c r="R17" s="100"/>
      <c r="S17" s="100"/>
      <c r="T17" s="100"/>
      <c r="U17" s="441">
        <v>1300</v>
      </c>
      <c r="V17" s="100"/>
      <c r="W17" s="100"/>
      <c r="X17" s="100"/>
      <c r="Y17" s="100"/>
      <c r="Z17" s="100"/>
      <c r="AA17" s="100"/>
      <c r="AB17" s="100"/>
      <c r="AC17" s="100"/>
      <c r="AD17" s="100">
        <v>1</v>
      </c>
      <c r="AE17" s="98"/>
    </row>
    <row r="18" spans="1:31" x14ac:dyDescent="0.2">
      <c r="A18" s="131">
        <v>2009</v>
      </c>
      <c r="B18" s="134">
        <v>521.92499999999984</v>
      </c>
      <c r="C18" s="134">
        <v>615.67500000000007</v>
      </c>
      <c r="D18" s="134">
        <v>558.32499999999993</v>
      </c>
      <c r="E18" s="134">
        <v>598.55000000000007</v>
      </c>
      <c r="F18" s="134">
        <v>760.73333333333323</v>
      </c>
      <c r="G18" s="134">
        <v>397.4666666666667</v>
      </c>
      <c r="H18" s="134">
        <v>897.26666666666677</v>
      </c>
      <c r="I18" s="134">
        <v>461.52499999999992</v>
      </c>
      <c r="J18" s="134">
        <v>629.15</v>
      </c>
      <c r="K18" s="134">
        <v>327.42499999999995</v>
      </c>
      <c r="L18" s="134">
        <v>492.0333333333333</v>
      </c>
      <c r="M18" s="134">
        <v>346.84999999999997</v>
      </c>
      <c r="N18" s="450">
        <v>115</v>
      </c>
      <c r="O18" s="134">
        <v>169</v>
      </c>
      <c r="P18" s="451">
        <v>251.9</v>
      </c>
      <c r="Q18" s="439"/>
      <c r="R18" s="130"/>
      <c r="S18" s="130"/>
      <c r="T18" s="130"/>
      <c r="U18" s="449">
        <v>1080</v>
      </c>
      <c r="V18" s="130"/>
      <c r="W18" s="130"/>
      <c r="X18" s="130"/>
      <c r="Y18" s="130"/>
      <c r="Z18" s="130"/>
      <c r="AA18" s="130"/>
      <c r="AB18" s="130"/>
      <c r="AC18" s="130"/>
      <c r="AD18" s="130">
        <v>1</v>
      </c>
      <c r="AE18" s="148"/>
    </row>
    <row r="19" spans="1:31" x14ac:dyDescent="0.2">
      <c r="A19" s="143">
        <v>2010</v>
      </c>
      <c r="B19" s="100">
        <v>550.80833333333339</v>
      </c>
      <c r="C19" s="100">
        <v>659.38333333333344</v>
      </c>
      <c r="D19" s="100">
        <v>610.40000000000009</v>
      </c>
      <c r="E19" s="100">
        <v>622.49166666666667</v>
      </c>
      <c r="F19" s="100">
        <v>824.41666666666663</v>
      </c>
      <c r="G19" s="100">
        <v>422.18333333333339</v>
      </c>
      <c r="H19" s="100">
        <v>902.63333333333333</v>
      </c>
      <c r="I19" s="100">
        <v>478.71666666666664</v>
      </c>
      <c r="J19" s="100">
        <v>679.98333333333335</v>
      </c>
      <c r="K19" s="100">
        <v>328.89166666666671</v>
      </c>
      <c r="L19" s="100">
        <v>504.32499999999999</v>
      </c>
      <c r="M19" s="100">
        <v>339.05833333333334</v>
      </c>
      <c r="N19" s="102">
        <v>111.2</v>
      </c>
      <c r="O19" s="100">
        <v>171.4</v>
      </c>
      <c r="P19" s="100">
        <v>331.3</v>
      </c>
      <c r="Q19" s="441"/>
      <c r="R19" s="100"/>
      <c r="S19" s="100"/>
      <c r="T19" s="100"/>
      <c r="U19" s="441">
        <v>1200</v>
      </c>
      <c r="V19" s="100"/>
      <c r="W19" s="100"/>
      <c r="X19" s="100"/>
      <c r="Y19" s="100"/>
      <c r="Z19" s="100"/>
      <c r="AA19" s="100"/>
      <c r="AB19" s="100"/>
      <c r="AC19" s="100"/>
      <c r="AD19" s="100">
        <v>1</v>
      </c>
      <c r="AE19" s="98"/>
    </row>
    <row r="20" spans="1:31" x14ac:dyDescent="0.2">
      <c r="A20" s="131">
        <v>2011</v>
      </c>
      <c r="B20" s="130">
        <v>585.98333333333346</v>
      </c>
      <c r="C20" s="130">
        <v>713.29166666666663</v>
      </c>
      <c r="D20" s="130">
        <v>675.86666666666667</v>
      </c>
      <c r="E20" s="130">
        <v>666.69166666666661</v>
      </c>
      <c r="F20" s="130">
        <v>889.16666666666663</v>
      </c>
      <c r="G20" s="130">
        <v>437.80833333333339</v>
      </c>
      <c r="H20" s="130">
        <v>903.64166666666654</v>
      </c>
      <c r="I20" s="130">
        <v>506.25833333333338</v>
      </c>
      <c r="J20" s="130">
        <v>754.99166666666667</v>
      </c>
      <c r="K20" s="130">
        <v>327.39166666666665</v>
      </c>
      <c r="L20" s="130">
        <v>517.13333333333333</v>
      </c>
      <c r="M20" s="130">
        <v>332.36666666666667</v>
      </c>
      <c r="N20" s="132">
        <v>112.8</v>
      </c>
      <c r="O20" s="132">
        <v>237.1</v>
      </c>
      <c r="P20" s="450">
        <v>432.3</v>
      </c>
      <c r="Q20" s="442"/>
      <c r="R20" s="130"/>
      <c r="S20" s="130"/>
      <c r="T20" s="130"/>
      <c r="U20" s="487">
        <v>1200</v>
      </c>
      <c r="V20" s="130"/>
      <c r="W20" s="130"/>
      <c r="X20" s="130"/>
      <c r="Y20" s="130"/>
      <c r="Z20" s="130"/>
      <c r="AA20" s="130"/>
      <c r="AB20" s="130"/>
      <c r="AC20" s="130"/>
      <c r="AD20" s="130">
        <v>1</v>
      </c>
      <c r="AE20" s="98"/>
    </row>
    <row r="21" spans="1:31" x14ac:dyDescent="0.2">
      <c r="A21" s="143">
        <v>2012</v>
      </c>
      <c r="B21" s="490">
        <v>593.79999999999995</v>
      </c>
      <c r="C21" s="490">
        <v>726.2</v>
      </c>
      <c r="D21" s="490">
        <v>683.6</v>
      </c>
      <c r="E21" s="490">
        <v>680.1</v>
      </c>
      <c r="F21" s="490">
        <v>926.7</v>
      </c>
      <c r="G21" s="490">
        <v>428.9</v>
      </c>
      <c r="H21" s="490">
        <v>928.1</v>
      </c>
      <c r="I21" s="490">
        <v>515.20000000000005</v>
      </c>
      <c r="J21" s="490">
        <v>763.8</v>
      </c>
      <c r="K21" s="490">
        <v>322.89999999999998</v>
      </c>
      <c r="L21" s="490">
        <v>527.70000000000005</v>
      </c>
      <c r="M21" s="490">
        <v>328.3</v>
      </c>
      <c r="N21" s="489">
        <v>113.9</v>
      </c>
      <c r="O21" s="489">
        <v>254.2</v>
      </c>
      <c r="P21" s="489">
        <v>415.6</v>
      </c>
      <c r="Q21" s="441"/>
      <c r="R21" s="100"/>
      <c r="S21" s="100"/>
      <c r="T21" s="100"/>
      <c r="U21" s="488">
        <v>1200</v>
      </c>
      <c r="V21" s="100"/>
      <c r="W21" s="100"/>
      <c r="X21" s="100"/>
      <c r="Y21" s="100"/>
      <c r="Z21" s="100"/>
      <c r="AA21" s="100"/>
      <c r="AB21" s="100"/>
      <c r="AC21" s="100"/>
      <c r="AD21" s="100">
        <v>1</v>
      </c>
      <c r="AE21" s="98"/>
    </row>
    <row r="22" spans="1:31" x14ac:dyDescent="0.2">
      <c r="A22" s="131">
        <v>2013</v>
      </c>
      <c r="B22" s="132" t="s">
        <v>320</v>
      </c>
      <c r="C22" s="132" t="s">
        <v>320</v>
      </c>
      <c r="D22" s="132" t="s">
        <v>320</v>
      </c>
      <c r="E22" s="132" t="s">
        <v>320</v>
      </c>
      <c r="F22" s="132" t="s">
        <v>320</v>
      </c>
      <c r="G22" s="132" t="s">
        <v>320</v>
      </c>
      <c r="H22" s="132" t="s">
        <v>320</v>
      </c>
      <c r="I22" s="132" t="s">
        <v>320</v>
      </c>
      <c r="J22" s="132" t="s">
        <v>320</v>
      </c>
      <c r="K22" s="132" t="s">
        <v>320</v>
      </c>
      <c r="L22" s="132" t="s">
        <v>320</v>
      </c>
      <c r="M22" s="132" t="s">
        <v>320</v>
      </c>
      <c r="N22" s="132" t="s">
        <v>320</v>
      </c>
      <c r="O22" s="132" t="s">
        <v>320</v>
      </c>
      <c r="P22" s="450" t="s">
        <v>320</v>
      </c>
      <c r="Q22" s="442"/>
      <c r="R22" s="130"/>
      <c r="S22" s="130"/>
      <c r="T22" s="130"/>
      <c r="U22" s="487" t="s">
        <v>320</v>
      </c>
      <c r="V22" s="130"/>
      <c r="W22" s="130"/>
      <c r="X22" s="130"/>
      <c r="Y22" s="130"/>
      <c r="Z22" s="130"/>
      <c r="AA22" s="130"/>
      <c r="AB22" s="130"/>
      <c r="AC22" s="130"/>
      <c r="AD22" s="130">
        <v>1</v>
      </c>
      <c r="AE22" s="98"/>
    </row>
    <row r="23" spans="1:31" x14ac:dyDescent="0.2">
      <c r="A23" s="143">
        <v>2014</v>
      </c>
      <c r="B23" s="102" t="s">
        <v>320</v>
      </c>
      <c r="C23" s="102" t="s">
        <v>320</v>
      </c>
      <c r="D23" s="102" t="s">
        <v>320</v>
      </c>
      <c r="E23" s="102" t="s">
        <v>320</v>
      </c>
      <c r="F23" s="102" t="s">
        <v>320</v>
      </c>
      <c r="G23" s="102" t="s">
        <v>320</v>
      </c>
      <c r="H23" s="102" t="s">
        <v>320</v>
      </c>
      <c r="I23" s="102" t="s">
        <v>320</v>
      </c>
      <c r="J23" s="102" t="s">
        <v>320</v>
      </c>
      <c r="K23" s="102" t="s">
        <v>320</v>
      </c>
      <c r="L23" s="102" t="s">
        <v>320</v>
      </c>
      <c r="M23" s="102" t="s">
        <v>320</v>
      </c>
      <c r="N23" s="102" t="s">
        <v>320</v>
      </c>
      <c r="O23" s="102" t="s">
        <v>320</v>
      </c>
      <c r="P23" s="102" t="s">
        <v>320</v>
      </c>
      <c r="Q23" s="441"/>
      <c r="R23" s="100"/>
      <c r="S23" s="100"/>
      <c r="T23" s="100"/>
      <c r="U23" s="488" t="s">
        <v>320</v>
      </c>
      <c r="V23" s="100"/>
      <c r="W23" s="100"/>
      <c r="X23" s="100"/>
      <c r="Y23" s="100"/>
      <c r="Z23" s="100"/>
      <c r="AA23" s="100"/>
      <c r="AB23" s="100"/>
      <c r="AC23" s="100"/>
      <c r="AD23" s="100">
        <v>1</v>
      </c>
      <c r="AE23" s="98"/>
    </row>
    <row r="24" spans="1:31" x14ac:dyDescent="0.2">
      <c r="A24" s="131">
        <v>2015</v>
      </c>
      <c r="B24" s="132" t="s">
        <v>320</v>
      </c>
      <c r="C24" s="132" t="s">
        <v>320</v>
      </c>
      <c r="D24" s="132" t="s">
        <v>320</v>
      </c>
      <c r="E24" s="132" t="s">
        <v>320</v>
      </c>
      <c r="F24" s="132" t="s">
        <v>320</v>
      </c>
      <c r="G24" s="132" t="s">
        <v>320</v>
      </c>
      <c r="H24" s="132" t="s">
        <v>320</v>
      </c>
      <c r="I24" s="132" t="s">
        <v>320</v>
      </c>
      <c r="J24" s="132" t="s">
        <v>320</v>
      </c>
      <c r="K24" s="132" t="s">
        <v>320</v>
      </c>
      <c r="L24" s="132" t="s">
        <v>320</v>
      </c>
      <c r="M24" s="132" t="s">
        <v>320</v>
      </c>
      <c r="N24" s="132" t="s">
        <v>320</v>
      </c>
      <c r="O24" s="132" t="s">
        <v>320</v>
      </c>
      <c r="P24" s="450" t="s">
        <v>320</v>
      </c>
      <c r="Q24" s="442"/>
      <c r="R24" s="130"/>
      <c r="S24" s="130"/>
      <c r="T24" s="130"/>
      <c r="U24" s="487" t="s">
        <v>320</v>
      </c>
      <c r="V24" s="130"/>
      <c r="W24" s="130"/>
      <c r="X24" s="130"/>
      <c r="Y24" s="130"/>
      <c r="Z24" s="130"/>
      <c r="AA24" s="130"/>
      <c r="AB24" s="130"/>
      <c r="AC24" s="130"/>
      <c r="AD24" s="130">
        <v>1</v>
      </c>
      <c r="AE24" s="98"/>
    </row>
    <row r="25" spans="1:31" x14ac:dyDescent="0.2">
      <c r="A25" s="143">
        <v>2016</v>
      </c>
      <c r="B25" s="102" t="s">
        <v>320</v>
      </c>
      <c r="C25" s="102" t="s">
        <v>320</v>
      </c>
      <c r="D25" s="102" t="s">
        <v>320</v>
      </c>
      <c r="E25" s="102" t="s">
        <v>320</v>
      </c>
      <c r="F25" s="102" t="s">
        <v>320</v>
      </c>
      <c r="G25" s="102" t="s">
        <v>320</v>
      </c>
      <c r="H25" s="102" t="s">
        <v>320</v>
      </c>
      <c r="I25" s="102" t="s">
        <v>320</v>
      </c>
      <c r="J25" s="102" t="s">
        <v>320</v>
      </c>
      <c r="K25" s="102" t="s">
        <v>320</v>
      </c>
      <c r="L25" s="102" t="s">
        <v>320</v>
      </c>
      <c r="M25" s="102" t="s">
        <v>320</v>
      </c>
      <c r="N25" s="102" t="s">
        <v>320</v>
      </c>
      <c r="O25" s="102" t="s">
        <v>320</v>
      </c>
      <c r="P25" s="102" t="s">
        <v>320</v>
      </c>
      <c r="Q25" s="441"/>
      <c r="R25" s="100"/>
      <c r="S25" s="100"/>
      <c r="T25" s="100"/>
      <c r="U25" s="488" t="s">
        <v>320</v>
      </c>
      <c r="V25" s="100"/>
      <c r="W25" s="100"/>
      <c r="X25" s="100"/>
      <c r="Y25" s="100"/>
      <c r="Z25" s="100"/>
      <c r="AA25" s="100"/>
      <c r="AB25" s="100"/>
      <c r="AC25" s="100"/>
      <c r="AD25" s="100">
        <v>1</v>
      </c>
      <c r="AE25" s="98"/>
    </row>
    <row r="26" spans="1:31" x14ac:dyDescent="0.2">
      <c r="A26" s="131">
        <v>2017</v>
      </c>
      <c r="B26" s="132" t="s">
        <v>320</v>
      </c>
      <c r="C26" s="132" t="s">
        <v>320</v>
      </c>
      <c r="D26" s="132" t="s">
        <v>320</v>
      </c>
      <c r="E26" s="132" t="s">
        <v>320</v>
      </c>
      <c r="F26" s="132" t="s">
        <v>320</v>
      </c>
      <c r="G26" s="132" t="s">
        <v>320</v>
      </c>
      <c r="H26" s="132" t="s">
        <v>320</v>
      </c>
      <c r="I26" s="132" t="s">
        <v>320</v>
      </c>
      <c r="J26" s="132" t="s">
        <v>320</v>
      </c>
      <c r="K26" s="132" t="s">
        <v>320</v>
      </c>
      <c r="L26" s="132" t="s">
        <v>320</v>
      </c>
      <c r="M26" s="132" t="s">
        <v>320</v>
      </c>
      <c r="N26" s="132" t="s">
        <v>320</v>
      </c>
      <c r="O26" s="132" t="s">
        <v>320</v>
      </c>
      <c r="P26" s="450" t="s">
        <v>320</v>
      </c>
      <c r="Q26" s="442"/>
      <c r="R26" s="130"/>
      <c r="S26" s="130"/>
      <c r="T26" s="130"/>
      <c r="U26" s="487" t="s">
        <v>320</v>
      </c>
      <c r="V26" s="130"/>
      <c r="W26" s="130"/>
      <c r="X26" s="130"/>
      <c r="Y26" s="130"/>
      <c r="Z26" s="130"/>
      <c r="AA26" s="130"/>
      <c r="AB26" s="130"/>
      <c r="AC26" s="130"/>
      <c r="AD26" s="130">
        <v>1</v>
      </c>
      <c r="AE26" s="98"/>
    </row>
    <row r="27" spans="1:31" x14ac:dyDescent="0.2">
      <c r="A27" s="143">
        <v>2018</v>
      </c>
      <c r="B27" s="102" t="s">
        <v>320</v>
      </c>
      <c r="C27" s="102" t="s">
        <v>320</v>
      </c>
      <c r="D27" s="102" t="s">
        <v>320</v>
      </c>
      <c r="E27" s="102" t="s">
        <v>320</v>
      </c>
      <c r="F27" s="102" t="s">
        <v>320</v>
      </c>
      <c r="G27" s="102" t="s">
        <v>320</v>
      </c>
      <c r="H27" s="102" t="s">
        <v>320</v>
      </c>
      <c r="I27" s="102" t="s">
        <v>320</v>
      </c>
      <c r="J27" s="102" t="s">
        <v>320</v>
      </c>
      <c r="K27" s="102" t="s">
        <v>320</v>
      </c>
      <c r="L27" s="102" t="s">
        <v>320</v>
      </c>
      <c r="M27" s="102" t="s">
        <v>320</v>
      </c>
      <c r="N27" s="102" t="s">
        <v>320</v>
      </c>
      <c r="O27" s="102" t="s">
        <v>320</v>
      </c>
      <c r="P27" s="102" t="s">
        <v>320</v>
      </c>
      <c r="Q27" s="441"/>
      <c r="R27" s="100"/>
      <c r="S27" s="100"/>
      <c r="T27" s="100"/>
      <c r="U27" s="488" t="s">
        <v>320</v>
      </c>
      <c r="V27" s="100"/>
      <c r="W27" s="100"/>
      <c r="X27" s="100"/>
      <c r="Y27" s="100"/>
      <c r="Z27" s="100"/>
      <c r="AA27" s="100"/>
      <c r="AB27" s="100"/>
      <c r="AC27" s="100"/>
      <c r="AD27" s="100">
        <v>1</v>
      </c>
      <c r="AE27" s="98"/>
    </row>
    <row r="28" spans="1:31" x14ac:dyDescent="0.2">
      <c r="A28" s="131">
        <v>2019</v>
      </c>
      <c r="B28" s="132" t="s">
        <v>320</v>
      </c>
      <c r="C28" s="132" t="s">
        <v>320</v>
      </c>
      <c r="D28" s="132" t="s">
        <v>320</v>
      </c>
      <c r="E28" s="132" t="s">
        <v>320</v>
      </c>
      <c r="F28" s="132" t="s">
        <v>320</v>
      </c>
      <c r="G28" s="132" t="s">
        <v>320</v>
      </c>
      <c r="H28" s="132" t="s">
        <v>320</v>
      </c>
      <c r="I28" s="132" t="s">
        <v>320</v>
      </c>
      <c r="J28" s="132" t="s">
        <v>320</v>
      </c>
      <c r="K28" s="132" t="s">
        <v>320</v>
      </c>
      <c r="L28" s="132" t="s">
        <v>320</v>
      </c>
      <c r="M28" s="132" t="s">
        <v>320</v>
      </c>
      <c r="N28" s="132" t="s">
        <v>320</v>
      </c>
      <c r="O28" s="132" t="s">
        <v>320</v>
      </c>
      <c r="P28" s="450" t="s">
        <v>320</v>
      </c>
      <c r="Q28" s="442"/>
      <c r="R28" s="130"/>
      <c r="S28" s="130"/>
      <c r="T28" s="130"/>
      <c r="U28" s="487" t="s">
        <v>320</v>
      </c>
      <c r="V28" s="130"/>
      <c r="W28" s="130"/>
      <c r="X28" s="130"/>
      <c r="Y28" s="130"/>
      <c r="Z28" s="130"/>
      <c r="AA28" s="130"/>
      <c r="AB28" s="130"/>
      <c r="AC28" s="130"/>
      <c r="AD28" s="130">
        <v>1</v>
      </c>
      <c r="AE28" s="98"/>
    </row>
    <row r="29" spans="1:31" x14ac:dyDescent="0.2">
      <c r="A29" s="143">
        <v>2020</v>
      </c>
      <c r="B29" s="102" t="s">
        <v>320</v>
      </c>
      <c r="C29" s="102" t="s">
        <v>320</v>
      </c>
      <c r="D29" s="102" t="s">
        <v>320</v>
      </c>
      <c r="E29" s="102" t="s">
        <v>320</v>
      </c>
      <c r="F29" s="102" t="s">
        <v>320</v>
      </c>
      <c r="G29" s="102" t="s">
        <v>320</v>
      </c>
      <c r="H29" s="102" t="s">
        <v>320</v>
      </c>
      <c r="I29" s="102" t="s">
        <v>320</v>
      </c>
      <c r="J29" s="102" t="s">
        <v>320</v>
      </c>
      <c r="K29" s="102" t="s">
        <v>320</v>
      </c>
      <c r="L29" s="102" t="s">
        <v>320</v>
      </c>
      <c r="M29" s="102" t="s">
        <v>320</v>
      </c>
      <c r="N29" s="102" t="s">
        <v>320</v>
      </c>
      <c r="O29" s="102" t="s">
        <v>320</v>
      </c>
      <c r="P29" s="102" t="s">
        <v>320</v>
      </c>
      <c r="Q29" s="143"/>
      <c r="R29" s="100"/>
      <c r="S29" s="100"/>
      <c r="T29" s="100"/>
      <c r="U29" s="100"/>
      <c r="V29" s="100"/>
      <c r="W29" s="100"/>
      <c r="X29" s="100"/>
      <c r="Y29" s="100"/>
      <c r="Z29" s="100"/>
      <c r="AA29" s="100"/>
      <c r="AB29" s="100"/>
      <c r="AC29" s="100"/>
      <c r="AD29" s="100">
        <v>1</v>
      </c>
      <c r="AE29" s="98"/>
    </row>
    <row r="30" spans="1:31" x14ac:dyDescent="0.2">
      <c r="A30" s="103"/>
      <c r="B30" s="98"/>
      <c r="C30" s="98"/>
      <c r="D30" s="98"/>
      <c r="E30" s="98"/>
      <c r="F30" s="98"/>
      <c r="G30" s="98"/>
      <c r="H30" s="98"/>
      <c r="I30" s="98"/>
      <c r="J30" s="98"/>
      <c r="K30" s="98"/>
      <c r="L30" s="98"/>
      <c r="M30" s="98"/>
      <c r="N30" s="101"/>
      <c r="O30" s="98"/>
      <c r="P30" s="98"/>
      <c r="Q30" s="98"/>
      <c r="R30" s="98"/>
      <c r="S30" s="98"/>
      <c r="T30" s="98"/>
      <c r="U30" s="98"/>
      <c r="V30" s="98"/>
      <c r="W30" s="98"/>
      <c r="X30" s="98"/>
      <c r="Y30" s="98"/>
      <c r="Z30" s="98"/>
      <c r="AA30" s="98"/>
      <c r="AB30" s="98"/>
      <c r="AC30" s="98"/>
      <c r="AD30" s="98"/>
      <c r="AE30" s="98"/>
    </row>
    <row r="31" spans="1:31" x14ac:dyDescent="0.2">
      <c r="A31" s="103"/>
      <c r="B31" s="98"/>
      <c r="C31" s="98"/>
      <c r="D31" s="98"/>
      <c r="E31" s="98"/>
      <c r="F31" s="98"/>
      <c r="G31" s="98"/>
      <c r="H31" s="98"/>
      <c r="I31" s="98"/>
      <c r="J31" s="98"/>
      <c r="K31" s="98"/>
      <c r="L31" s="98"/>
      <c r="M31" s="98"/>
      <c r="N31" s="101"/>
      <c r="O31" s="98"/>
      <c r="P31" s="98"/>
      <c r="Q31" s="98"/>
      <c r="R31" s="98"/>
      <c r="S31" s="98"/>
      <c r="T31" s="98"/>
      <c r="U31" s="98"/>
      <c r="V31" s="98"/>
      <c r="W31" s="98"/>
      <c r="X31" s="98"/>
      <c r="Y31" s="98"/>
      <c r="Z31" s="98"/>
      <c r="AA31" s="98"/>
      <c r="AB31" s="98"/>
      <c r="AC31" s="98"/>
      <c r="AD31" s="98"/>
      <c r="AE31" s="98"/>
    </row>
    <row r="32" spans="1:31" x14ac:dyDescent="0.2">
      <c r="A32" s="103"/>
      <c r="B32" s="98"/>
      <c r="C32" s="98"/>
      <c r="D32" s="98"/>
      <c r="E32" s="98"/>
      <c r="F32" s="98"/>
      <c r="G32" s="98"/>
      <c r="H32" s="98"/>
      <c r="I32" s="98"/>
      <c r="J32" s="98"/>
      <c r="K32" s="98"/>
      <c r="L32" s="98"/>
      <c r="M32" s="98"/>
      <c r="N32" s="101"/>
      <c r="O32" s="98"/>
      <c r="P32" s="98"/>
      <c r="Q32" s="98"/>
      <c r="R32" s="98"/>
      <c r="S32" s="98"/>
      <c r="T32" s="98"/>
      <c r="U32" s="98"/>
      <c r="V32" s="98"/>
      <c r="W32" s="98"/>
      <c r="X32" s="98"/>
      <c r="Y32" s="98"/>
      <c r="Z32" s="98"/>
      <c r="AA32" s="98"/>
      <c r="AB32" s="98"/>
      <c r="AC32" s="98"/>
      <c r="AD32" s="98"/>
      <c r="AE32" s="98"/>
    </row>
    <row r="33" spans="1:31" x14ac:dyDescent="0.2">
      <c r="A33" s="103"/>
      <c r="B33" s="98"/>
      <c r="C33" s="98"/>
      <c r="D33" s="98"/>
      <c r="E33" s="98"/>
      <c r="F33" s="98"/>
      <c r="G33" s="98"/>
      <c r="H33" s="98"/>
      <c r="I33" s="98"/>
      <c r="J33" s="98"/>
      <c r="K33" s="98"/>
      <c r="L33" s="98"/>
      <c r="M33" s="98"/>
      <c r="N33" s="101"/>
      <c r="O33" s="98"/>
      <c r="P33" s="98"/>
      <c r="Q33" s="98"/>
      <c r="R33" s="98"/>
      <c r="S33" s="98"/>
      <c r="T33" s="98"/>
      <c r="U33" s="98"/>
      <c r="V33" s="98"/>
      <c r="W33" s="98"/>
      <c r="X33" s="98"/>
      <c r="Y33" s="98"/>
      <c r="Z33" s="98"/>
      <c r="AA33" s="98"/>
      <c r="AB33" s="98"/>
      <c r="AC33" s="98"/>
      <c r="AD33" s="98"/>
      <c r="AE33" s="98"/>
    </row>
    <row r="34" spans="1:31" x14ac:dyDescent="0.2">
      <c r="A34" s="103"/>
      <c r="B34" s="98"/>
      <c r="C34" s="98"/>
      <c r="D34" s="98"/>
      <c r="E34" s="98"/>
      <c r="F34" s="98"/>
      <c r="G34" s="98"/>
      <c r="H34" s="98"/>
      <c r="I34" s="98"/>
      <c r="J34" s="98"/>
      <c r="K34" s="98"/>
      <c r="L34" s="98"/>
      <c r="M34" s="98"/>
      <c r="N34" s="101"/>
      <c r="O34" s="98"/>
      <c r="P34" s="98"/>
      <c r="Q34" s="98"/>
      <c r="R34" s="98"/>
      <c r="S34" s="98"/>
      <c r="T34" s="98"/>
      <c r="U34" s="98"/>
      <c r="V34" s="98"/>
      <c r="W34" s="98"/>
      <c r="X34" s="98"/>
      <c r="Y34" s="98"/>
      <c r="Z34" s="98"/>
      <c r="AA34" s="98"/>
      <c r="AB34" s="98"/>
      <c r="AC34" s="98"/>
      <c r="AD34" s="98"/>
      <c r="AE34" s="98"/>
    </row>
    <row r="35" spans="1:31" x14ac:dyDescent="0.2">
      <c r="A35" s="103"/>
      <c r="B35" s="98"/>
      <c r="C35" s="98"/>
      <c r="D35" s="98"/>
      <c r="E35" s="98"/>
      <c r="F35" s="98"/>
      <c r="G35" s="98"/>
      <c r="H35" s="98"/>
      <c r="I35" s="98"/>
      <c r="J35" s="98"/>
      <c r="K35" s="98"/>
      <c r="L35" s="98"/>
      <c r="M35" s="98"/>
      <c r="N35" s="101"/>
      <c r="O35" s="98"/>
      <c r="P35" s="98"/>
      <c r="Q35" s="98"/>
      <c r="R35" s="98"/>
      <c r="S35" s="98"/>
      <c r="T35" s="98"/>
      <c r="U35" s="98"/>
      <c r="V35" s="98"/>
      <c r="W35" s="98"/>
      <c r="X35" s="98"/>
      <c r="Y35" s="98"/>
      <c r="Z35" s="98"/>
      <c r="AA35" s="98"/>
      <c r="AB35" s="98"/>
      <c r="AC35" s="98"/>
      <c r="AD35" s="98"/>
      <c r="AE35" s="98"/>
    </row>
    <row r="36" spans="1:31" x14ac:dyDescent="0.2">
      <c r="A36" s="103"/>
      <c r="B36" s="98"/>
      <c r="C36" s="98"/>
      <c r="D36" s="98"/>
      <c r="E36" s="98"/>
      <c r="F36" s="98"/>
      <c r="G36" s="98"/>
      <c r="H36" s="98"/>
      <c r="I36" s="98"/>
      <c r="J36" s="98"/>
      <c r="K36" s="98"/>
      <c r="L36" s="98"/>
      <c r="M36" s="98"/>
      <c r="N36" s="101"/>
      <c r="O36" s="98"/>
      <c r="P36" s="98"/>
      <c r="Q36" s="98"/>
      <c r="R36" s="98"/>
      <c r="S36" s="98"/>
      <c r="T36" s="98"/>
      <c r="U36" s="98"/>
      <c r="V36" s="98"/>
      <c r="W36" s="98"/>
      <c r="X36" s="98"/>
      <c r="Y36" s="98"/>
      <c r="Z36" s="98"/>
      <c r="AA36" s="98"/>
      <c r="AB36" s="98"/>
      <c r="AC36" s="98"/>
      <c r="AD36" s="98"/>
      <c r="AE36" s="98"/>
    </row>
    <row r="37" spans="1:31" x14ac:dyDescent="0.2">
      <c r="A37" s="103"/>
      <c r="B37" s="98"/>
      <c r="C37" s="98"/>
      <c r="D37" s="98"/>
      <c r="E37" s="98"/>
      <c r="F37" s="98"/>
      <c r="G37" s="98"/>
      <c r="H37" s="98"/>
      <c r="I37" s="98"/>
      <c r="J37" s="98"/>
      <c r="K37" s="98"/>
      <c r="L37" s="98"/>
      <c r="M37" s="98"/>
      <c r="N37" s="101"/>
      <c r="O37" s="98"/>
      <c r="P37" s="98"/>
      <c r="Q37" s="98"/>
      <c r="R37" s="98"/>
      <c r="S37" s="98"/>
      <c r="T37" s="98"/>
      <c r="U37" s="98"/>
      <c r="V37" s="98"/>
      <c r="W37" s="98"/>
      <c r="X37" s="98"/>
      <c r="Y37" s="98"/>
      <c r="Z37" s="98"/>
      <c r="AA37" s="98"/>
      <c r="AB37" s="98"/>
      <c r="AC37" s="98"/>
      <c r="AD37" s="98"/>
      <c r="AE37" s="98"/>
    </row>
    <row r="38" spans="1:31" x14ac:dyDescent="0.2">
      <c r="A38" s="103"/>
      <c r="B38" s="98"/>
      <c r="C38" s="98"/>
      <c r="D38" s="98"/>
      <c r="E38" s="98"/>
      <c r="F38" s="98"/>
      <c r="G38" s="98"/>
      <c r="H38" s="98"/>
      <c r="I38" s="98"/>
      <c r="J38" s="98"/>
      <c r="K38" s="98"/>
      <c r="L38" s="98"/>
      <c r="M38" s="98"/>
      <c r="N38" s="101"/>
      <c r="O38" s="98"/>
      <c r="P38" s="98"/>
      <c r="Q38" s="98"/>
      <c r="R38" s="98"/>
      <c r="S38" s="98"/>
      <c r="T38" s="98"/>
      <c r="U38" s="98"/>
      <c r="V38" s="98"/>
      <c r="W38" s="98"/>
      <c r="X38" s="98"/>
      <c r="Y38" s="98"/>
      <c r="Z38" s="98"/>
      <c r="AA38" s="98"/>
      <c r="AB38" s="98"/>
      <c r="AC38" s="98"/>
      <c r="AD38" s="98"/>
      <c r="AE38" s="98"/>
    </row>
    <row r="39" spans="1:31" x14ac:dyDescent="0.2">
      <c r="A39" s="103"/>
      <c r="B39" s="98"/>
      <c r="C39" s="98"/>
      <c r="D39" s="98"/>
      <c r="E39" s="98"/>
      <c r="F39" s="98"/>
      <c r="G39" s="98"/>
      <c r="H39" s="98"/>
      <c r="I39" s="98"/>
      <c r="J39" s="98"/>
      <c r="K39" s="98"/>
      <c r="L39" s="98"/>
      <c r="M39" s="98"/>
      <c r="N39" s="101"/>
      <c r="O39" s="98"/>
      <c r="P39" s="98"/>
      <c r="Q39" s="98"/>
      <c r="R39" s="98"/>
      <c r="S39" s="98"/>
      <c r="T39" s="98"/>
      <c r="U39" s="98"/>
      <c r="V39" s="98"/>
      <c r="W39" s="98"/>
      <c r="X39" s="98"/>
      <c r="Y39" s="98"/>
      <c r="Z39" s="98"/>
      <c r="AA39" s="98"/>
      <c r="AB39" s="98"/>
      <c r="AC39" s="98"/>
      <c r="AD39" s="98"/>
      <c r="AE39" s="98"/>
    </row>
    <row r="40" spans="1:31" x14ac:dyDescent="0.2">
      <c r="A40" s="103"/>
      <c r="B40" s="98"/>
      <c r="C40" s="98"/>
      <c r="D40" s="98"/>
      <c r="E40" s="98"/>
      <c r="F40" s="98"/>
      <c r="G40" s="98"/>
      <c r="H40" s="98"/>
      <c r="I40" s="98"/>
      <c r="J40" s="98"/>
      <c r="K40" s="98"/>
      <c r="L40" s="98"/>
      <c r="M40" s="98"/>
      <c r="N40" s="101"/>
      <c r="O40" s="98"/>
      <c r="P40" s="98"/>
      <c r="Q40" s="98"/>
      <c r="R40" s="98"/>
      <c r="S40" s="98"/>
      <c r="T40" s="98"/>
      <c r="U40" s="98"/>
      <c r="V40" s="98"/>
      <c r="W40" s="98"/>
      <c r="X40" s="98"/>
      <c r="Y40" s="98"/>
      <c r="Z40" s="98"/>
      <c r="AA40" s="98"/>
      <c r="AB40" s="98"/>
      <c r="AC40" s="98"/>
      <c r="AD40" s="98"/>
      <c r="AE40" s="98"/>
    </row>
    <row r="41" spans="1:31" x14ac:dyDescent="0.2">
      <c r="A41" s="103"/>
      <c r="B41" s="98"/>
      <c r="C41" s="98"/>
      <c r="D41" s="98"/>
      <c r="E41" s="98"/>
      <c r="F41" s="98"/>
      <c r="G41" s="98"/>
      <c r="H41" s="98"/>
      <c r="I41" s="98"/>
      <c r="J41" s="98"/>
      <c r="K41" s="98"/>
      <c r="L41" s="98"/>
      <c r="M41" s="98"/>
      <c r="N41" s="101"/>
      <c r="O41" s="98"/>
      <c r="P41" s="98"/>
      <c r="Q41" s="98"/>
      <c r="R41" s="98"/>
      <c r="S41" s="98"/>
      <c r="T41" s="98"/>
      <c r="U41" s="98"/>
      <c r="V41" s="98"/>
      <c r="W41" s="98"/>
      <c r="X41" s="98"/>
      <c r="Y41" s="98"/>
      <c r="Z41" s="98"/>
      <c r="AA41" s="98"/>
      <c r="AB41" s="98"/>
      <c r="AC41" s="98"/>
      <c r="AD41" s="98"/>
      <c r="AE41" s="98"/>
    </row>
    <row r="42" spans="1:31" x14ac:dyDescent="0.2">
      <c r="A42" s="103"/>
      <c r="B42" s="98"/>
      <c r="C42" s="98"/>
      <c r="D42" s="98"/>
      <c r="E42" s="98"/>
      <c r="F42" s="98"/>
      <c r="G42" s="98"/>
      <c r="H42" s="98"/>
      <c r="I42" s="98"/>
      <c r="J42" s="98"/>
      <c r="K42" s="98"/>
      <c r="L42" s="98"/>
      <c r="M42" s="98"/>
      <c r="N42" s="101"/>
      <c r="O42" s="98"/>
      <c r="P42" s="98"/>
      <c r="Q42" s="98"/>
      <c r="R42" s="98"/>
      <c r="S42" s="98"/>
      <c r="T42" s="98"/>
      <c r="U42" s="98"/>
      <c r="V42" s="98"/>
      <c r="W42" s="98"/>
      <c r="X42" s="98"/>
      <c r="Y42" s="98"/>
      <c r="Z42" s="98"/>
      <c r="AA42" s="98"/>
      <c r="AB42" s="98"/>
      <c r="AC42" s="98"/>
      <c r="AD42" s="98"/>
      <c r="AE42" s="98"/>
    </row>
    <row r="43" spans="1:31" x14ac:dyDescent="0.2">
      <c r="A43" s="103"/>
      <c r="B43" s="98"/>
      <c r="C43" s="98"/>
      <c r="D43" s="98"/>
      <c r="E43" s="98"/>
      <c r="F43" s="98"/>
      <c r="G43" s="98"/>
      <c r="H43" s="98"/>
      <c r="I43" s="98"/>
      <c r="J43" s="98"/>
      <c r="K43" s="98"/>
      <c r="L43" s="98"/>
      <c r="M43" s="98"/>
      <c r="N43" s="101"/>
      <c r="O43" s="98"/>
      <c r="P43" s="98"/>
      <c r="Q43" s="98"/>
      <c r="R43" s="98"/>
      <c r="S43" s="98"/>
      <c r="T43" s="98"/>
      <c r="U43" s="98"/>
      <c r="V43" s="98"/>
      <c r="W43" s="98"/>
      <c r="X43" s="98"/>
      <c r="Y43" s="98"/>
      <c r="Z43" s="98"/>
      <c r="AA43" s="98"/>
      <c r="AB43" s="98"/>
      <c r="AC43" s="98"/>
      <c r="AD43" s="98"/>
      <c r="AE43" s="98"/>
    </row>
    <row r="44" spans="1:31" x14ac:dyDescent="0.2">
      <c r="A44" s="103"/>
      <c r="B44" s="98"/>
      <c r="C44" s="98"/>
      <c r="D44" s="98"/>
      <c r="E44" s="98"/>
      <c r="F44" s="98"/>
      <c r="G44" s="98"/>
      <c r="H44" s="98"/>
      <c r="I44" s="98"/>
      <c r="J44" s="98"/>
      <c r="K44" s="98"/>
      <c r="L44" s="98"/>
      <c r="M44" s="98"/>
      <c r="N44" s="101"/>
      <c r="O44" s="98"/>
      <c r="P44" s="98"/>
      <c r="Q44" s="98"/>
      <c r="R44" s="98"/>
      <c r="S44" s="98"/>
      <c r="T44" s="98"/>
      <c r="U44" s="98"/>
      <c r="V44" s="98"/>
      <c r="W44" s="98"/>
      <c r="X44" s="98"/>
      <c r="Y44" s="98"/>
      <c r="Z44" s="98"/>
      <c r="AA44" s="98"/>
      <c r="AB44" s="98"/>
      <c r="AC44" s="98"/>
      <c r="AD44" s="98"/>
      <c r="AE44" s="98"/>
    </row>
    <row r="45" spans="1:31" x14ac:dyDescent="0.2">
      <c r="A45" s="103"/>
      <c r="B45" s="98"/>
      <c r="C45" s="98"/>
      <c r="D45" s="98"/>
      <c r="E45" s="98"/>
      <c r="F45" s="98"/>
      <c r="G45" s="98"/>
      <c r="H45" s="98"/>
      <c r="I45" s="98"/>
      <c r="J45" s="98"/>
      <c r="K45" s="98"/>
      <c r="L45" s="98"/>
      <c r="M45" s="98"/>
      <c r="N45" s="101"/>
      <c r="O45" s="98"/>
      <c r="P45" s="98"/>
      <c r="Q45" s="98"/>
      <c r="R45" s="98"/>
      <c r="S45" s="98"/>
      <c r="T45" s="98"/>
      <c r="U45" s="98"/>
      <c r="V45" s="98"/>
      <c r="W45" s="98"/>
      <c r="X45" s="98"/>
      <c r="Y45" s="98"/>
      <c r="Z45" s="98"/>
      <c r="AA45" s="98"/>
      <c r="AB45" s="98"/>
      <c r="AC45" s="98"/>
      <c r="AD45" s="98"/>
      <c r="AE45" s="98"/>
    </row>
    <row r="46" spans="1:31" x14ac:dyDescent="0.2">
      <c r="A46" s="103"/>
      <c r="B46" s="98"/>
      <c r="C46" s="98"/>
      <c r="D46" s="98"/>
      <c r="E46" s="98"/>
      <c r="F46" s="98"/>
      <c r="G46" s="98"/>
      <c r="H46" s="98"/>
      <c r="I46" s="98"/>
      <c r="J46" s="98"/>
      <c r="K46" s="98"/>
      <c r="L46" s="98"/>
      <c r="M46" s="98"/>
      <c r="N46" s="101"/>
      <c r="O46" s="98"/>
      <c r="P46" s="98"/>
      <c r="Q46" s="98"/>
      <c r="R46" s="98"/>
      <c r="S46" s="98"/>
      <c r="T46" s="98"/>
      <c r="U46" s="98"/>
      <c r="V46" s="98"/>
      <c r="W46" s="98"/>
      <c r="X46" s="98"/>
      <c r="Y46" s="98"/>
      <c r="Z46" s="98"/>
      <c r="AA46" s="98"/>
      <c r="AB46" s="98"/>
      <c r="AC46" s="98"/>
      <c r="AD46" s="98"/>
      <c r="AE46" s="98"/>
    </row>
    <row r="47" spans="1:31" x14ac:dyDescent="0.2">
      <c r="A47" s="103"/>
      <c r="B47" s="98"/>
      <c r="C47" s="98"/>
      <c r="D47" s="98"/>
      <c r="E47" s="98"/>
      <c r="F47" s="98"/>
      <c r="G47" s="98"/>
      <c r="H47" s="98"/>
      <c r="I47" s="98"/>
      <c r="J47" s="98"/>
      <c r="K47" s="98"/>
      <c r="L47" s="98"/>
      <c r="M47" s="98"/>
      <c r="N47" s="101"/>
      <c r="O47" s="98"/>
      <c r="P47" s="98"/>
      <c r="Q47" s="98"/>
      <c r="R47" s="98"/>
      <c r="S47" s="98"/>
      <c r="T47" s="98"/>
      <c r="U47" s="98"/>
      <c r="V47" s="98"/>
      <c r="W47" s="98"/>
      <c r="X47" s="98"/>
      <c r="Y47" s="98"/>
      <c r="Z47" s="98"/>
      <c r="AA47" s="98"/>
      <c r="AB47" s="98"/>
      <c r="AC47" s="98"/>
      <c r="AD47" s="98"/>
      <c r="AE47" s="98"/>
    </row>
    <row r="48" spans="1:31" x14ac:dyDescent="0.2">
      <c r="A48" s="98"/>
      <c r="B48" s="98"/>
      <c r="C48" s="98"/>
      <c r="D48" s="98"/>
      <c r="E48" s="98"/>
      <c r="F48" s="98"/>
      <c r="G48" s="98"/>
      <c r="H48" s="98"/>
      <c r="I48" s="98"/>
      <c r="J48" s="98"/>
      <c r="K48" s="98"/>
      <c r="L48" s="98"/>
      <c r="M48" s="98"/>
      <c r="N48" s="101"/>
      <c r="O48" s="98"/>
      <c r="P48" s="98"/>
      <c r="Q48" s="98"/>
      <c r="R48" s="98"/>
      <c r="S48" s="98"/>
      <c r="T48" s="98"/>
      <c r="U48" s="98"/>
      <c r="V48" s="98"/>
      <c r="W48" s="98"/>
      <c r="X48" s="98"/>
      <c r="Y48" s="98"/>
      <c r="Z48" s="98"/>
      <c r="AA48" s="98"/>
      <c r="AB48" s="98"/>
      <c r="AC48" s="98"/>
      <c r="AD48" s="98"/>
      <c r="AE48" s="98"/>
    </row>
    <row r="49" spans="1:31" x14ac:dyDescent="0.2">
      <c r="A49" s="98"/>
      <c r="B49" s="98"/>
      <c r="C49" s="98"/>
      <c r="D49" s="98"/>
      <c r="E49" s="98"/>
      <c r="F49" s="98"/>
      <c r="G49" s="98"/>
      <c r="H49" s="98"/>
      <c r="I49" s="98"/>
      <c r="J49" s="98"/>
      <c r="K49" s="98"/>
      <c r="L49" s="98"/>
      <c r="M49" s="98"/>
      <c r="N49" s="101"/>
      <c r="O49" s="98"/>
      <c r="P49" s="98"/>
      <c r="Q49" s="98"/>
      <c r="R49" s="98"/>
      <c r="S49" s="98"/>
      <c r="T49" s="98"/>
      <c r="U49" s="98"/>
      <c r="V49" s="98"/>
      <c r="W49" s="98"/>
      <c r="X49" s="98"/>
      <c r="Y49" s="98"/>
      <c r="Z49" s="98"/>
      <c r="AA49" s="98"/>
      <c r="AB49" s="98"/>
      <c r="AC49" s="98"/>
      <c r="AD49" s="98"/>
      <c r="AE49" s="98"/>
    </row>
    <row r="50" spans="1:31" x14ac:dyDescent="0.2">
      <c r="A50" s="98"/>
      <c r="B50" s="98"/>
      <c r="C50" s="98"/>
      <c r="D50" s="98"/>
      <c r="E50" s="98"/>
      <c r="F50" s="98"/>
      <c r="G50" s="98"/>
      <c r="H50" s="98"/>
      <c r="I50" s="98"/>
      <c r="J50" s="98"/>
      <c r="K50" s="98"/>
      <c r="L50" s="98"/>
      <c r="M50" s="98"/>
      <c r="N50" s="101"/>
      <c r="O50" s="98"/>
      <c r="P50" s="98"/>
      <c r="Q50" s="98"/>
      <c r="R50" s="98"/>
      <c r="S50" s="98"/>
      <c r="T50" s="98"/>
      <c r="U50" s="98"/>
      <c r="V50" s="98"/>
      <c r="W50" s="98"/>
      <c r="X50" s="98"/>
      <c r="Y50" s="98"/>
      <c r="Z50" s="98"/>
      <c r="AA50" s="98"/>
      <c r="AB50" s="98"/>
      <c r="AC50" s="98"/>
      <c r="AD50" s="98"/>
      <c r="AE50" s="98"/>
    </row>
    <row r="51" spans="1:31" x14ac:dyDescent="0.2">
      <c r="A51" s="98"/>
      <c r="B51" s="98"/>
      <c r="C51" s="98"/>
      <c r="D51" s="98"/>
      <c r="E51" s="98"/>
      <c r="F51" s="98"/>
      <c r="G51" s="98"/>
      <c r="H51" s="98"/>
      <c r="I51" s="98"/>
      <c r="J51" s="98"/>
      <c r="K51" s="98"/>
      <c r="L51" s="98"/>
      <c r="M51" s="98"/>
      <c r="N51" s="101"/>
      <c r="O51" s="98"/>
      <c r="P51" s="98"/>
      <c r="Q51" s="98"/>
      <c r="R51" s="98"/>
      <c r="S51" s="98"/>
      <c r="T51" s="98"/>
      <c r="U51" s="98"/>
      <c r="V51" s="98"/>
      <c r="W51" s="98"/>
      <c r="X51" s="98"/>
      <c r="Y51" s="98"/>
      <c r="Z51" s="98"/>
      <c r="AA51" s="98"/>
      <c r="AB51" s="98"/>
      <c r="AC51" s="98"/>
      <c r="AD51" s="98"/>
      <c r="AE51" s="98"/>
    </row>
    <row r="52" spans="1:31" x14ac:dyDescent="0.2">
      <c r="A52" s="98"/>
      <c r="B52" s="98"/>
      <c r="C52" s="98"/>
      <c r="D52" s="98"/>
      <c r="E52" s="98"/>
      <c r="F52" s="98"/>
      <c r="G52" s="98"/>
      <c r="H52" s="98"/>
      <c r="I52" s="98"/>
      <c r="J52" s="98"/>
      <c r="K52" s="98"/>
      <c r="L52" s="98"/>
      <c r="M52" s="98"/>
      <c r="N52" s="101"/>
      <c r="O52" s="98"/>
      <c r="P52" s="98"/>
      <c r="Q52" s="98"/>
      <c r="R52" s="98"/>
      <c r="S52" s="98"/>
      <c r="T52" s="98"/>
      <c r="U52" s="98"/>
      <c r="V52" s="98"/>
      <c r="W52" s="98"/>
      <c r="X52" s="98"/>
      <c r="Y52" s="98"/>
      <c r="Z52" s="98"/>
      <c r="AA52" s="98"/>
      <c r="AB52" s="98"/>
      <c r="AC52" s="98"/>
      <c r="AD52" s="98"/>
      <c r="AE52" s="98"/>
    </row>
    <row r="53" spans="1:31" x14ac:dyDescent="0.2">
      <c r="A53" s="98"/>
      <c r="B53" s="98"/>
      <c r="C53" s="98"/>
      <c r="D53" s="98"/>
      <c r="E53" s="98"/>
      <c r="F53" s="98"/>
      <c r="G53" s="98"/>
      <c r="H53" s="98"/>
      <c r="I53" s="98"/>
      <c r="J53" s="98"/>
      <c r="K53" s="98"/>
      <c r="L53" s="98"/>
      <c r="M53" s="98"/>
      <c r="N53" s="101"/>
      <c r="O53" s="98"/>
      <c r="P53" s="98"/>
      <c r="Q53" s="98"/>
      <c r="R53" s="98"/>
      <c r="S53" s="98"/>
      <c r="T53" s="98"/>
      <c r="U53" s="98"/>
      <c r="V53" s="98"/>
      <c r="W53" s="98"/>
      <c r="X53" s="98"/>
      <c r="Y53" s="98"/>
      <c r="Z53" s="98"/>
      <c r="AA53" s="98"/>
      <c r="AB53" s="98"/>
      <c r="AC53" s="98"/>
      <c r="AD53" s="98"/>
      <c r="AE53" s="98"/>
    </row>
    <row r="54" spans="1:31" x14ac:dyDescent="0.2">
      <c r="A54" s="98"/>
      <c r="B54" s="98"/>
      <c r="C54" s="98"/>
      <c r="D54" s="98"/>
      <c r="E54" s="98"/>
      <c r="F54" s="98"/>
      <c r="G54" s="98"/>
      <c r="H54" s="98"/>
      <c r="I54" s="98"/>
      <c r="J54" s="98"/>
      <c r="K54" s="98"/>
      <c r="L54" s="98"/>
      <c r="M54" s="98"/>
      <c r="N54" s="101"/>
      <c r="O54" s="98"/>
      <c r="P54" s="98"/>
      <c r="Q54" s="98"/>
      <c r="R54" s="98"/>
      <c r="S54" s="98"/>
      <c r="T54" s="98"/>
      <c r="U54" s="98"/>
      <c r="V54" s="98"/>
      <c r="W54" s="98"/>
      <c r="X54" s="98"/>
      <c r="Y54" s="98"/>
      <c r="Z54" s="98"/>
      <c r="AA54" s="98"/>
      <c r="AB54" s="98"/>
      <c r="AC54" s="98"/>
      <c r="AD54" s="98"/>
      <c r="AE54" s="98"/>
    </row>
    <row r="55" spans="1:31" x14ac:dyDescent="0.2">
      <c r="A55" s="98"/>
      <c r="B55" s="98"/>
      <c r="C55" s="98"/>
      <c r="D55" s="98"/>
      <c r="E55" s="98"/>
      <c r="F55" s="98"/>
      <c r="G55" s="98"/>
      <c r="H55" s="98"/>
      <c r="I55" s="98"/>
      <c r="J55" s="98"/>
      <c r="K55" s="98"/>
      <c r="L55" s="98"/>
      <c r="M55" s="98"/>
      <c r="N55" s="101"/>
      <c r="O55" s="98"/>
      <c r="P55" s="98"/>
      <c r="Q55" s="98"/>
      <c r="R55" s="98"/>
      <c r="S55" s="98"/>
      <c r="T55" s="98"/>
      <c r="U55" s="98"/>
      <c r="V55" s="98"/>
      <c r="W55" s="98"/>
      <c r="X55" s="98"/>
      <c r="Y55" s="98"/>
      <c r="Z55" s="98"/>
      <c r="AA55" s="98"/>
      <c r="AB55" s="98"/>
      <c r="AC55" s="98"/>
      <c r="AD55" s="98"/>
      <c r="AE55" s="98"/>
    </row>
    <row r="56" spans="1:31" x14ac:dyDescent="0.2">
      <c r="A56" s="98"/>
      <c r="B56" s="98"/>
      <c r="C56" s="98"/>
      <c r="D56" s="98"/>
      <c r="E56" s="98"/>
      <c r="F56" s="98"/>
      <c r="G56" s="98"/>
      <c r="H56" s="98"/>
      <c r="I56" s="98"/>
      <c r="J56" s="98"/>
      <c r="K56" s="98"/>
      <c r="L56" s="98"/>
      <c r="M56" s="98"/>
      <c r="N56" s="101"/>
      <c r="O56" s="98"/>
      <c r="P56" s="98"/>
      <c r="Q56" s="98"/>
      <c r="R56" s="98"/>
      <c r="S56" s="98"/>
      <c r="T56" s="98"/>
      <c r="U56" s="98"/>
      <c r="V56" s="98"/>
      <c r="W56" s="98"/>
      <c r="X56" s="98"/>
      <c r="Y56" s="98"/>
      <c r="Z56" s="98"/>
      <c r="AA56" s="98"/>
      <c r="AB56" s="98"/>
      <c r="AC56" s="98"/>
      <c r="AD56" s="98"/>
      <c r="AE56" s="98"/>
    </row>
    <row r="57" spans="1:31" x14ac:dyDescent="0.2">
      <c r="A57" s="98"/>
      <c r="B57" s="98"/>
      <c r="C57" s="98"/>
      <c r="D57" s="98"/>
      <c r="E57" s="98"/>
      <c r="F57" s="98"/>
      <c r="G57" s="98"/>
      <c r="H57" s="98"/>
      <c r="I57" s="98"/>
      <c r="J57" s="98"/>
      <c r="K57" s="98"/>
      <c r="L57" s="98"/>
      <c r="M57" s="98"/>
      <c r="N57" s="101"/>
      <c r="O57" s="98"/>
      <c r="P57" s="98"/>
      <c r="Q57" s="98"/>
      <c r="R57" s="98"/>
      <c r="S57" s="98"/>
      <c r="T57" s="98"/>
      <c r="U57" s="98"/>
      <c r="V57" s="98"/>
      <c r="W57" s="98"/>
      <c r="X57" s="98"/>
      <c r="Y57" s="98"/>
      <c r="Z57" s="98"/>
      <c r="AA57" s="98"/>
      <c r="AB57" s="98"/>
      <c r="AC57" s="98"/>
      <c r="AD57" s="98"/>
      <c r="AE57" s="98"/>
    </row>
    <row r="58" spans="1:31" x14ac:dyDescent="0.2">
      <c r="A58" s="98"/>
      <c r="B58" s="98"/>
      <c r="C58" s="98"/>
      <c r="D58" s="98"/>
      <c r="E58" s="98"/>
      <c r="F58" s="98"/>
      <c r="G58" s="98"/>
      <c r="H58" s="98"/>
      <c r="I58" s="98"/>
      <c r="J58" s="98"/>
      <c r="K58" s="98"/>
      <c r="L58" s="98"/>
      <c r="M58" s="98"/>
      <c r="N58" s="101"/>
      <c r="O58" s="98"/>
      <c r="P58" s="98"/>
      <c r="Q58" s="98"/>
      <c r="R58" s="98"/>
      <c r="S58" s="98"/>
      <c r="T58" s="98"/>
      <c r="U58" s="98"/>
      <c r="V58" s="98"/>
      <c r="W58" s="98"/>
      <c r="X58" s="98"/>
      <c r="Y58" s="98"/>
      <c r="Z58" s="98"/>
      <c r="AA58" s="98"/>
      <c r="AB58" s="98"/>
      <c r="AC58" s="98"/>
      <c r="AD58" s="98"/>
      <c r="AE58" s="98"/>
    </row>
    <row r="59" spans="1:31" x14ac:dyDescent="0.2">
      <c r="A59" s="98"/>
      <c r="B59" s="98"/>
      <c r="C59" s="98"/>
      <c r="D59" s="98"/>
      <c r="E59" s="98"/>
      <c r="F59" s="98"/>
      <c r="G59" s="98"/>
      <c r="H59" s="98"/>
      <c r="I59" s="98"/>
      <c r="J59" s="98"/>
      <c r="K59" s="98"/>
      <c r="L59" s="98"/>
      <c r="M59" s="98"/>
      <c r="N59" s="101"/>
      <c r="O59" s="98"/>
      <c r="P59" s="98"/>
      <c r="Q59" s="98"/>
      <c r="R59" s="98"/>
      <c r="S59" s="98"/>
      <c r="T59" s="98"/>
      <c r="U59" s="98"/>
      <c r="V59" s="98"/>
      <c r="W59" s="98"/>
      <c r="X59" s="98"/>
      <c r="Y59" s="98"/>
      <c r="Z59" s="98"/>
      <c r="AA59" s="98"/>
      <c r="AB59" s="98"/>
      <c r="AC59" s="98"/>
      <c r="AD59" s="98"/>
      <c r="AE59" s="98"/>
    </row>
    <row r="60" spans="1:31" x14ac:dyDescent="0.2">
      <c r="A60" s="98"/>
      <c r="B60" s="98"/>
      <c r="C60" s="98"/>
      <c r="D60" s="98"/>
      <c r="E60" s="98"/>
      <c r="F60" s="98"/>
      <c r="G60" s="98"/>
      <c r="H60" s="98"/>
      <c r="I60" s="98"/>
      <c r="J60" s="98"/>
      <c r="K60" s="98"/>
      <c r="L60" s="98"/>
      <c r="M60" s="98"/>
      <c r="N60" s="101"/>
      <c r="O60" s="98"/>
      <c r="P60" s="98"/>
      <c r="Q60" s="98"/>
      <c r="R60" s="98"/>
      <c r="S60" s="98"/>
      <c r="T60" s="98"/>
      <c r="U60" s="98"/>
      <c r="V60" s="98"/>
      <c r="W60" s="98"/>
      <c r="X60" s="98"/>
      <c r="Y60" s="98"/>
      <c r="Z60" s="98"/>
      <c r="AA60" s="98"/>
      <c r="AB60" s="98"/>
      <c r="AC60" s="98"/>
      <c r="AD60" s="98"/>
      <c r="AE60" s="98"/>
    </row>
    <row r="61" spans="1:31" x14ac:dyDescent="0.2">
      <c r="A61" s="98"/>
      <c r="B61" s="98"/>
      <c r="C61" s="98"/>
      <c r="D61" s="98"/>
      <c r="E61" s="98"/>
      <c r="F61" s="98"/>
      <c r="G61" s="98"/>
      <c r="H61" s="98"/>
      <c r="I61" s="98"/>
      <c r="J61" s="98"/>
      <c r="K61" s="98"/>
      <c r="L61" s="98"/>
      <c r="M61" s="98"/>
      <c r="N61" s="101"/>
      <c r="O61" s="98"/>
      <c r="P61" s="98"/>
      <c r="Q61" s="98"/>
      <c r="R61" s="98"/>
      <c r="S61" s="98"/>
      <c r="T61" s="98"/>
      <c r="U61" s="98"/>
      <c r="V61" s="98"/>
      <c r="W61" s="98"/>
      <c r="X61" s="98"/>
      <c r="Y61" s="98"/>
      <c r="Z61" s="98"/>
      <c r="AA61" s="98"/>
      <c r="AB61" s="98"/>
      <c r="AC61" s="98"/>
      <c r="AD61" s="98"/>
      <c r="AE61" s="98"/>
    </row>
    <row r="62" spans="1:31" x14ac:dyDescent="0.2">
      <c r="A62" s="98"/>
      <c r="B62" s="98"/>
      <c r="C62" s="98"/>
      <c r="D62" s="98"/>
      <c r="E62" s="98"/>
      <c r="F62" s="98"/>
      <c r="G62" s="98"/>
      <c r="H62" s="98"/>
      <c r="I62" s="98"/>
      <c r="J62" s="98"/>
      <c r="K62" s="98"/>
      <c r="L62" s="98"/>
      <c r="M62" s="98"/>
      <c r="N62" s="101"/>
      <c r="O62" s="98"/>
      <c r="P62" s="98"/>
      <c r="Q62" s="98"/>
      <c r="R62" s="98"/>
      <c r="S62" s="98"/>
      <c r="T62" s="98"/>
      <c r="U62" s="98"/>
      <c r="V62" s="98"/>
      <c r="W62" s="98"/>
      <c r="X62" s="98"/>
      <c r="Y62" s="98"/>
      <c r="Z62" s="98"/>
      <c r="AA62" s="98"/>
      <c r="AB62" s="98"/>
      <c r="AC62" s="98"/>
      <c r="AD62" s="98"/>
      <c r="AE62" s="98"/>
    </row>
    <row r="63" spans="1:31" x14ac:dyDescent="0.2">
      <c r="A63" s="98"/>
      <c r="B63" s="98"/>
      <c r="C63" s="98"/>
      <c r="D63" s="98"/>
      <c r="E63" s="98"/>
      <c r="F63" s="98"/>
      <c r="G63" s="98"/>
      <c r="H63" s="98"/>
      <c r="I63" s="98"/>
      <c r="J63" s="98"/>
      <c r="K63" s="98"/>
      <c r="L63" s="98"/>
      <c r="M63" s="98"/>
      <c r="N63" s="101"/>
      <c r="O63" s="98"/>
      <c r="P63" s="98"/>
      <c r="Q63" s="98"/>
      <c r="R63" s="98"/>
      <c r="S63" s="98"/>
      <c r="T63" s="98"/>
      <c r="U63" s="98"/>
      <c r="V63" s="98"/>
      <c r="W63" s="98"/>
      <c r="X63" s="98"/>
      <c r="Y63" s="98"/>
      <c r="Z63" s="98"/>
      <c r="AA63" s="98"/>
      <c r="AB63" s="98"/>
      <c r="AC63" s="98"/>
      <c r="AD63" s="98"/>
      <c r="AE63" s="98"/>
    </row>
    <row r="64" spans="1:31" x14ac:dyDescent="0.2">
      <c r="A64" s="98"/>
      <c r="B64" s="98"/>
      <c r="C64" s="98"/>
      <c r="D64" s="98"/>
      <c r="E64" s="98"/>
      <c r="F64" s="98"/>
      <c r="G64" s="98"/>
      <c r="H64" s="98"/>
      <c r="I64" s="98"/>
      <c r="J64" s="98"/>
      <c r="K64" s="98"/>
      <c r="L64" s="98"/>
      <c r="M64" s="98"/>
      <c r="N64" s="101"/>
      <c r="O64" s="98"/>
      <c r="P64" s="98"/>
      <c r="Q64" s="98"/>
      <c r="R64" s="98"/>
      <c r="S64" s="98"/>
      <c r="T64" s="98"/>
      <c r="U64" s="98"/>
      <c r="V64" s="98"/>
      <c r="W64" s="98"/>
      <c r="X64" s="98"/>
      <c r="Y64" s="98"/>
      <c r="Z64" s="98"/>
      <c r="AA64" s="98"/>
      <c r="AB64" s="98"/>
      <c r="AC64" s="98"/>
      <c r="AD64" s="98"/>
      <c r="AE64" s="98"/>
    </row>
    <row r="65" spans="1:31" x14ac:dyDescent="0.2">
      <c r="A65" s="98"/>
      <c r="B65" s="98"/>
      <c r="C65" s="98"/>
      <c r="D65" s="98"/>
      <c r="E65" s="98"/>
      <c r="F65" s="98"/>
      <c r="G65" s="98"/>
      <c r="H65" s="98"/>
      <c r="I65" s="98"/>
      <c r="J65" s="98"/>
      <c r="K65" s="98"/>
      <c r="L65" s="98"/>
      <c r="M65" s="98"/>
      <c r="N65" s="101"/>
      <c r="O65" s="98"/>
      <c r="P65" s="98"/>
      <c r="Q65" s="98"/>
      <c r="R65" s="98"/>
      <c r="S65" s="98"/>
      <c r="T65" s="98"/>
      <c r="U65" s="98"/>
      <c r="V65" s="98"/>
      <c r="W65" s="98"/>
      <c r="X65" s="98"/>
      <c r="Y65" s="98"/>
      <c r="Z65" s="98"/>
      <c r="AA65" s="98"/>
      <c r="AB65" s="98"/>
      <c r="AC65" s="98"/>
      <c r="AD65" s="98"/>
      <c r="AE65" s="98"/>
    </row>
    <row r="66" spans="1:31" x14ac:dyDescent="0.2">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row>
    <row r="67" spans="1:3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row>
    <row r="68" spans="1:3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row>
    <row r="69" spans="1:3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row>
    <row r="70" spans="1:3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row>
  </sheetData>
  <mergeCells count="3">
    <mergeCell ref="N2:P2"/>
    <mergeCell ref="N3:P3"/>
    <mergeCell ref="N4:P4"/>
  </mergeCells>
  <hyperlinks>
    <hyperlink ref="N4" r:id="rId1"/>
  </hyperlinks>
  <pageMargins left="0.7" right="0.7" top="0.75" bottom="0.75" header="0.3" footer="0.3"/>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25</vt:i4>
      </vt:variant>
    </vt:vector>
  </HeadingPairs>
  <TitlesOfParts>
    <vt:vector size="29" baseType="lpstr">
      <vt:lpstr>SAM Exchange</vt:lpstr>
      <vt:lpstr>Cap$</vt:lpstr>
      <vt:lpstr>O&amp;M$</vt:lpstr>
      <vt:lpstr>CI</vt:lpstr>
      <vt:lpstr>CA_union_labor</vt:lpstr>
      <vt:lpstr>Cooling_Method</vt:lpstr>
      <vt:lpstr>Cost_Yr</vt:lpstr>
      <vt:lpstr>DL_burden</vt:lpstr>
      <vt:lpstr>Labor_Cost_Factor</vt:lpstr>
      <vt:lpstr>PB_Thermal_Design_Capacity</vt:lpstr>
      <vt:lpstr>Proj_land_area</vt:lpstr>
      <vt:lpstr>Proj_land_cost</vt:lpstr>
      <vt:lpstr>Proj_Rcvr_Area</vt:lpstr>
      <vt:lpstr>Proj_Rcvr_MWt</vt:lpstr>
      <vt:lpstr>Proj_SF_Area</vt:lpstr>
      <vt:lpstr>Proj_TES_hrs</vt:lpstr>
      <vt:lpstr>Proj_Tower_Height</vt:lpstr>
      <vt:lpstr>Proj_Turb_Gross</vt:lpstr>
      <vt:lpstr>Ref_Enet_yr</vt:lpstr>
      <vt:lpstr>Ref_Land_Area</vt:lpstr>
      <vt:lpstr>Ref_Rcvr_MWt</vt:lpstr>
      <vt:lpstr>Ref_Receiver_Area</vt:lpstr>
      <vt:lpstr>Ref_SF_area</vt:lpstr>
      <vt:lpstr>Ref_TES_capacity</vt:lpstr>
      <vt:lpstr>Ref_Tower_Height</vt:lpstr>
      <vt:lpstr>Ref_Turb_Gross</vt:lpstr>
      <vt:lpstr>Sales_Tax_percent_of_DC</vt:lpstr>
      <vt:lpstr>Sales_Tax_Rate</vt:lpstr>
      <vt:lpstr>US_avg_labor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Turchi</dc:creator>
  <cp:lastModifiedBy>CST</cp:lastModifiedBy>
  <cp:lastPrinted>2009-12-02T20:07:48Z</cp:lastPrinted>
  <dcterms:created xsi:type="dcterms:W3CDTF">1999-12-15T23:04:32Z</dcterms:created>
  <dcterms:modified xsi:type="dcterms:W3CDTF">2013-01-29T17:00:02Z</dcterms:modified>
</cp:coreProperties>
</file>