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showInkAnnotation="0" codeName="ThisWorkbook" defaultThemeVersion="124226"/>
  <xr:revisionPtr revIDLastSave="0" documentId="13_ncr:1_{BD3707C6-C78B-4276-AF52-2AE6851829BC}" xr6:coauthVersionLast="47" xr6:coauthVersionMax="47" xr10:uidLastSave="{00000000-0000-0000-0000-000000000000}"/>
  <bookViews>
    <workbookView xWindow="8160" yWindow="1050" windowWidth="15255" windowHeight="12195" tabRatio="734" xr2:uid="{00000000-000D-0000-FFFF-FFFF00000000}"/>
  </bookViews>
  <sheets>
    <sheet name="Inputs" sheetId="1" r:id="rId1"/>
    <sheet name="Cash Flow" sheetId="7" r:id="rId2"/>
    <sheet name="Depreciation Schedules" sheetId="4" r:id="rId3"/>
  </sheets>
  <definedNames>
    <definedName name="analysis_period">Inputs!$C$38</definedName>
    <definedName name="annual_fuel_usage">Inputs!$C$24</definedName>
    <definedName name="AnnualLandLease">Inputs!$D$212</definedName>
    <definedName name="AnnualOMCapacity">Inputs!$D$163</definedName>
    <definedName name="AnnualOMFixed">Inputs!$D$162</definedName>
    <definedName name="AnnualOMProduction">Inputs!$D$164</definedName>
    <definedName name="AnnualPBIFederal">Inputs!$D$176</definedName>
    <definedName name="AnnualPBIOther">Inputs!$D$179</definedName>
    <definedName name="AnnualPBIState">Inputs!$D$177</definedName>
    <definedName name="AnnualPBIUtility">Inputs!$D$178</definedName>
    <definedName name="AnnualPTCFederal">Inputs!$D$181</definedName>
    <definedName name="AnnualPTCState">Inputs!$D$182</definedName>
    <definedName name="AnnualTaxFederal">Inputs!$C$167</definedName>
    <definedName name="AnnualTaxState">Inputs!$C$166</definedName>
    <definedName name="batt_annual_discharge_energy">Inputs!$C$153</definedName>
    <definedName name="cbi_fed_amount">Inputs!$C$125</definedName>
    <definedName name="cbi_fed_deprbas_fed">Inputs!$G$125</definedName>
    <definedName name="cbi_fed_deprbas_sta">Inputs!$H$125</definedName>
    <definedName name="cbi_fed_maxvalue">Inputs!$D$125</definedName>
    <definedName name="cbi_fed_tax_fed">Inputs!$E$125</definedName>
    <definedName name="cbi_fed_tax_sta">Inputs!$F$125</definedName>
    <definedName name="cbi_oth_amount">Inputs!$C$128</definedName>
    <definedName name="cbi_oth_deprbas_fed">Inputs!$G$128</definedName>
    <definedName name="cbi_oth_deprbas_sta">Inputs!$H$128</definedName>
    <definedName name="cbi_oth_maxvalue">Inputs!$D$128</definedName>
    <definedName name="cbi_oth_tax_fed">Inputs!$E$128</definedName>
    <definedName name="cbi_oth_tax_sta">Inputs!$F$128</definedName>
    <definedName name="cbi_sta_amount">Inputs!$C$126</definedName>
    <definedName name="cbi_sta_deprbas_fed">Inputs!$G$126</definedName>
    <definedName name="cbi_sta_deprbas_sta">Inputs!$H$126</definedName>
    <definedName name="cbi_sta_maxvalue">Inputs!$D$126</definedName>
    <definedName name="cbi_sta_tax_fed">Inputs!$E$126</definedName>
    <definedName name="cbi_sta_tax_sta">Inputs!$F$126</definedName>
    <definedName name="cbi_uti_amount">Inputs!$C$127</definedName>
    <definedName name="cbi_uti_deprbas_fed">Inputs!$G$127</definedName>
    <definedName name="cbi_uti_deprbas_sta">Inputs!$H$127</definedName>
    <definedName name="cbi_uti_maxvalue">Inputs!$D$127</definedName>
    <definedName name="cbi_uti_tax_fed">Inputs!$E$127</definedName>
    <definedName name="cbi_uti_tax_sta">Inputs!$F$127</definedName>
    <definedName name="cf_annual_cost_lcos">Inputs!$C$209</definedName>
    <definedName name="cf_annual_discharge_lcos">Inputs!$C$210</definedName>
    <definedName name="cf_battery_replacement_cost">Inputs!$C$189</definedName>
    <definedName name="cf_capacity_payment">Inputs!$C$158</definedName>
    <definedName name="cf_curtailment_value">Inputs!$C$159</definedName>
    <definedName name="cf_disbursement_debtservice">Inputs!$C$204</definedName>
    <definedName name="cf_energy_net">Inputs!$C$151</definedName>
    <definedName name="cf_energy_purchases">Inputs!$C$150</definedName>
    <definedName name="cf_energy_sales">Inputs!$C$149</definedName>
    <definedName name="cf_energy_value">Inputs!$C$157</definedName>
    <definedName name="cf_energy_without_battery">Inputs!$C$152</definedName>
    <definedName name="cf_fuelcell_replacement_cost">Inputs!$C$194</definedName>
    <definedName name="cf_funding_debtservice">Inputs!$C$203</definedName>
    <definedName name="cf_om_capacity1_expense">Inputs!$C$187</definedName>
    <definedName name="cf_om_capacity2_expense">Inputs!$C$192</definedName>
    <definedName name="cf_om_fixed1_expense">Inputs!$C$186</definedName>
    <definedName name="cf_om_fixed2_expense">Inputs!$C$191</definedName>
    <definedName name="cf_om_fuel_expense">Inputs!$C$197</definedName>
    <definedName name="cf_om_opt_fuel_1_expense">Inputs!$C$198</definedName>
    <definedName name="cf_om_opt_fuel_2_expense">Inputs!$C$199</definedName>
    <definedName name="cf_om_production1_expense">Inputs!$C$188</definedName>
    <definedName name="cf_om_production2_expense">Inputs!$C$193</definedName>
    <definedName name="cf_ppa_price">Inputs!$C$156</definedName>
    <definedName name="cf_recapitalization">Inputs!$C$201</definedName>
    <definedName name="cf_reserve_debtservice">Inputs!$C$205</definedName>
    <definedName name="cf_thermal_value">Inputs!$C$160</definedName>
    <definedName name="cf_utility_bill">Inputs!$C$184</definedName>
    <definedName name="const_per_interest_rate1">Inputs!$F$80</definedName>
    <definedName name="const_per_interest_rate2">Inputs!$F$81</definedName>
    <definedName name="const_per_interest_rate3">Inputs!$F$82</definedName>
    <definedName name="const_per_interest_rate4">Inputs!$F$83</definedName>
    <definedName name="const_per_interest_rate5">Inputs!$F$84</definedName>
    <definedName name="const_per_months1">Inputs!$E$80</definedName>
    <definedName name="const_per_months2">Inputs!$E$81</definedName>
    <definedName name="const_per_months3">Inputs!$E$82</definedName>
    <definedName name="const_per_months4">Inputs!$E$83</definedName>
    <definedName name="const_per_months5">Inputs!$E$84</definedName>
    <definedName name="const_per_percent1">Inputs!$C$80</definedName>
    <definedName name="const_per_percent2">Inputs!$C$81</definedName>
    <definedName name="const_per_percent3">Inputs!$C$82</definedName>
    <definedName name="const_per_percent4">Inputs!$C$83</definedName>
    <definedName name="const_per_percent5">Inputs!$C$84</definedName>
    <definedName name="const_per_upfront_rate1">Inputs!$D$80</definedName>
    <definedName name="const_per_upfront_rate2">Inputs!$D$81</definedName>
    <definedName name="const_per_upfront_rate3">Inputs!$D$82</definedName>
    <definedName name="const_per_upfront_rate4">Inputs!$D$83</definedName>
    <definedName name="const_per_upfront_rate5">Inputs!$D$84</definedName>
    <definedName name="construction_financing_cost">Inputs!$C$76</definedName>
    <definedName name="cost_debt_closing">Inputs!$C$68</definedName>
    <definedName name="cost_debt_fee">Inputs!$C$69</definedName>
    <definedName name="cost_other_financing">Inputs!$C$73</definedName>
    <definedName name="CostDebtUpfront">Inputs!$C$70</definedName>
    <definedName name="DebtPayment">Inputs!$C$63</definedName>
    <definedName name="DebtPercent">Inputs!$C$58</definedName>
    <definedName name="DebtServiceCoverageRatio">Inputs!$C$60</definedName>
    <definedName name="depr_alloc_custom_percent">Inputs!$C$143</definedName>
    <definedName name="depr_alloc_macrs_15_percent">Inputs!$C$138</definedName>
    <definedName name="depr_alloc_macrs_5_percent">Inputs!$C$137</definedName>
    <definedName name="depr_alloc_sl_15_percent">Inputs!$C$140</definedName>
    <definedName name="depr_alloc_sl_20_percent">Inputs!$C$141</definedName>
    <definedName name="depr_alloc_sl_39_percent">Inputs!$C$142</definedName>
    <definedName name="depr_alloc_sl_5_percent">Inputs!$C$139</definedName>
    <definedName name="depr_bonus_fed">Inputs!$D$144</definedName>
    <definedName name="depr_bonus_fed_custom">Inputs!$D$143</definedName>
    <definedName name="depr_bonus_fed_macrs_15">Inputs!$D$138</definedName>
    <definedName name="depr_bonus_fed_macrs_5">Inputs!$D$137</definedName>
    <definedName name="depr_bonus_fed_sl_15">Inputs!$D$140</definedName>
    <definedName name="depr_bonus_fed_sl_20">Inputs!$D$141</definedName>
    <definedName name="depr_bonus_fed_sl_39">Inputs!$D$142</definedName>
    <definedName name="depr_bonus_fed_sl_5">Inputs!$D$139</definedName>
    <definedName name="depr_bonus_sta">Inputs!$E$144</definedName>
    <definedName name="depr_bonus_sta_custom">Inputs!$E$143</definedName>
    <definedName name="depr_bonus_sta_macrs_15">Inputs!$E$138</definedName>
    <definedName name="depr_bonus_sta_macrs_5">Inputs!$E$137</definedName>
    <definedName name="depr_bonus_sta_sl_15">Inputs!$E$140</definedName>
    <definedName name="depr_bonus_sta_sl_20">Inputs!$E$141</definedName>
    <definedName name="depr_bonus_sta_sl_39">Inputs!$E$142</definedName>
    <definedName name="depr_bonus_sta_sl_5">Inputs!$E$139</definedName>
    <definedName name="depr_custom_schedule">Inputs!$D$207</definedName>
    <definedName name="depr_itc_fed_custom">Inputs!$F$143</definedName>
    <definedName name="depr_itc_fed_macrs_15">Inputs!$F$138</definedName>
    <definedName name="depr_itc_fed_macrs_5">Inputs!$F$137</definedName>
    <definedName name="depr_itc_fed_sl_15">Inputs!$F$140</definedName>
    <definedName name="depr_itc_fed_sl_20">Inputs!$F$141</definedName>
    <definedName name="depr_itc_fed_sl_39">Inputs!$F$142</definedName>
    <definedName name="depr_itc_fed_sl_5">Inputs!$F$139</definedName>
    <definedName name="depr_itc_sta_custom">Inputs!$G$143</definedName>
    <definedName name="depr_itc_sta_macrs_15">Inputs!$G$138</definedName>
    <definedName name="depr_itc_sta_macrs_5">Inputs!$G$137</definedName>
    <definedName name="depr_itc_sta_sl_15">Inputs!$G$140</definedName>
    <definedName name="depr_itc_sta_sl_20">Inputs!$G$141</definedName>
    <definedName name="depr_itc_sta_sl_39">Inputs!$G$142</definedName>
    <definedName name="depr_itc_sta_sl_5">Inputs!$G$139</definedName>
    <definedName name="dscr_limit_debt_fraction">Inputs!$C$61</definedName>
    <definedName name="dscr_maximum_debt_fraction">Inputs!$C$62</definedName>
    <definedName name="dscr_reserve_months">Inputs!$C$90</definedName>
    <definedName name="equip_reserve_depr_fed">Inputs!$C$97</definedName>
    <definedName name="equip_reserve_depr_sta">Inputs!$C$98</definedName>
    <definedName name="equip1_reserve_cost">Inputs!$C$93</definedName>
    <definedName name="equip1_reserve_freq">Inputs!$E$93</definedName>
    <definedName name="equip2_reserve_cost">Inputs!$C$94</definedName>
    <definedName name="equip2_reserve_freq">Inputs!$E$94</definedName>
    <definedName name="equip3_reserve_cost">Inputs!$C$95</definedName>
    <definedName name="equip3_reserve_freq">Inputs!$E$95</definedName>
    <definedName name="federal_tax_rate">Inputs!$C$43</definedName>
    <definedName name="flip_target_year">Inputs!$C$31</definedName>
    <definedName name="fuelcell_annual_energy_discharged">Inputs!$C$154</definedName>
    <definedName name="FuelCellFuel">Inputs!$C$195</definedName>
    <definedName name="ibi_fed_amount">Inputs!$C$115</definedName>
    <definedName name="ibi_fed_amount_deprbas_fed">Inputs!$G$115</definedName>
    <definedName name="ibi_fed_amount_deprbas_sta">Inputs!$H$115</definedName>
    <definedName name="ibi_fed_amount_tax_fed">Inputs!$E$115</definedName>
    <definedName name="ibi_fed_amount_tax_sta">Inputs!$F$115</definedName>
    <definedName name="ibi_fed_percent">Inputs!$C$120</definedName>
    <definedName name="ibi_fed_percent_deprbas_fed">Inputs!$G$120</definedName>
    <definedName name="ibi_fed_percent_deprbas_sta">Inputs!$H$120</definedName>
    <definedName name="ibi_fed_percent_maxvalue">Inputs!$D$120</definedName>
    <definedName name="ibi_fed_percent_tax_fed">Inputs!$E$120</definedName>
    <definedName name="ibi_fed_percent_tax_sta">Inputs!$F$120</definedName>
    <definedName name="ibi_oth_amount">Inputs!$C$118</definedName>
    <definedName name="ibi_oth_amount_deprbas_fed">Inputs!$G$118</definedName>
    <definedName name="ibi_oth_amount_deprbas_sta">Inputs!$H$118</definedName>
    <definedName name="ibi_oth_amount_tax_fed">Inputs!$E$118</definedName>
    <definedName name="ibi_oth_amount_tax_sta">Inputs!$F$118</definedName>
    <definedName name="ibi_oth_percent">Inputs!$C$123</definedName>
    <definedName name="ibi_oth_percent_deprbas_fed">Inputs!$G$123</definedName>
    <definedName name="ibi_oth_percent_deprbas_sta">Inputs!$H$123</definedName>
    <definedName name="ibi_oth_percent_maxvalue">Inputs!$D$123</definedName>
    <definedName name="ibi_oth_percent_tax_fed">Inputs!$E$123</definedName>
    <definedName name="ibi_oth_percent_tax_sta">Inputs!$F$123</definedName>
    <definedName name="ibi_sta_amount">Inputs!$C$116</definedName>
    <definedName name="ibi_sta_amount_deprbas_fed">Inputs!$G$116</definedName>
    <definedName name="ibi_sta_amount_deprbas_sta">Inputs!$H$116</definedName>
    <definedName name="ibi_sta_amount_tax_fed">Inputs!$E$116</definedName>
    <definedName name="ibi_sta_amount_tax_sta">Inputs!$F$116</definedName>
    <definedName name="ibi_sta_percent">Inputs!$C$121</definedName>
    <definedName name="ibi_sta_percent_deprbas_fed">Inputs!$G$121</definedName>
    <definedName name="ibi_sta_percent_deprbas_sta">Inputs!$H$121</definedName>
    <definedName name="ibi_sta_percent_maxvalue">Inputs!$D$121</definedName>
    <definedName name="ibi_sta_percent_tax_fed">Inputs!$E$121</definedName>
    <definedName name="ibi_sta_percent_tax_sta">Inputs!$F$121</definedName>
    <definedName name="ibi_uti_amount">Inputs!$C$117</definedName>
    <definedName name="ibi_uti_amount_deprbas_fed">Inputs!$G$117</definedName>
    <definedName name="ibi_uti_amount_deprbas_sta">Inputs!$H$117</definedName>
    <definedName name="ibi_uti_amount_tax_fed">Inputs!$E$117</definedName>
    <definedName name="ibi_uti_amount_tax_sta">Inputs!$F$117</definedName>
    <definedName name="ibi_uti_percent">Inputs!$C$122</definedName>
    <definedName name="ibi_uti_percent_deprbas_fed">Inputs!$G$122</definedName>
    <definedName name="ibi_uti_percent_deprbas_sta">Inputs!$H$122</definedName>
    <definedName name="ibi_uti_percent_maxvalue">Inputs!$D$122</definedName>
    <definedName name="ibi_uti_percent_tax_fed">Inputs!$E$122</definedName>
    <definedName name="ibi_uti_percent_tax_sta">Inputs!$F$122</definedName>
    <definedName name="inflation_rate">Inputs!$C$39</definedName>
    <definedName name="insurance_rate">Inputs!$C$46</definedName>
    <definedName name="IRRTarget">Inputs!$C$30</definedName>
    <definedName name="itc_fed_amount">Inputs!$D$169</definedName>
    <definedName name="itc_fed_amount_deprbas_fed">Inputs!$E$103</definedName>
    <definedName name="itc_fed_amount_deprbas_sta">Inputs!$F$103</definedName>
    <definedName name="itc_fed_percent">Inputs!$D$171</definedName>
    <definedName name="itc_fed_percent_deprbas_fed">Inputs!$E$106</definedName>
    <definedName name="itc_fed_percent_deprbas_sta">Inputs!$F$106</definedName>
    <definedName name="itc_fed_percent_maxvalue">Inputs!$D$172</definedName>
    <definedName name="itc_sta_amount">Inputs!$D$170</definedName>
    <definedName name="itc_sta_amount_deprbas_fed">Inputs!$E$104</definedName>
    <definedName name="itc_sta_amount_deprbas_sta">Inputs!$F$104</definedName>
    <definedName name="itc_sta_percent">Inputs!$D$173</definedName>
    <definedName name="itc_sta_percent_deprbas_fed">Inputs!$E$107</definedName>
    <definedName name="itc_sta_percent_deprbas_sta">Inputs!$F$107</definedName>
    <definedName name="itc_sta_percent_maxvalue">Inputs!$D$174</definedName>
    <definedName name="loan_moratorium">Inputs!$C$66</definedName>
    <definedName name="months_receivables_reserve">Inputs!$C$91</definedName>
    <definedName name="months_working_reserve">Inputs!$C$89</definedName>
    <definedName name="MortgageSizeOfDebt">Inputs!$C$59</definedName>
    <definedName name="NominalDiscountRate">Inputs!$C$41</definedName>
    <definedName name="om_capacity">Inputs!$C$11</definedName>
    <definedName name="om_capacity_escal">Inputs!$C$12</definedName>
    <definedName name="om_fixed">Inputs!$C$9</definedName>
    <definedName name="om_fixed_escal">Inputs!$C$10</definedName>
    <definedName name="om_fuel_cost">Inputs!$C$26</definedName>
    <definedName name="om_fuel_cost_escal">Inputs!$C$27</definedName>
    <definedName name="om_land_lease">Inputs!$C$20</definedName>
    <definedName name="om_land_lease_escal">Inputs!$C$21</definedName>
    <definedName name="om_opt_fuel_1_cost">Inputs!#REF!</definedName>
    <definedName name="om_opt_fuel_1_cost_escal">Inputs!#REF!</definedName>
    <definedName name="om_opt_fuel_1_usage">Inputs!#REF!</definedName>
    <definedName name="om_opt_fuel_2_cost">Inputs!#REF!</definedName>
    <definedName name="om_opt_fuel_2_cost_escal">Inputs!#REF!</definedName>
    <definedName name="om_opt_fuel_2_usage">Inputs!#REF!</definedName>
    <definedName name="om_production">Inputs!$C$13</definedName>
    <definedName name="om_production_escal">Inputs!$C$14</definedName>
    <definedName name="pbi_fed_amount">Inputs!$C$130</definedName>
    <definedName name="pbi_fed_escal">Inputs!$E$130</definedName>
    <definedName name="pbi_fed_for_ds">Inputs!$H$130</definedName>
    <definedName name="pbi_fed_tax_fed">Inputs!$F$130</definedName>
    <definedName name="pbi_fed_tax_sta">Inputs!$G$130</definedName>
    <definedName name="pbi_fed_term">Inputs!$D$130</definedName>
    <definedName name="pbi_oth_amount">Inputs!$C$133</definedName>
    <definedName name="pbi_oth_escal">Inputs!$E$133</definedName>
    <definedName name="pbi_oth_for_ds">Inputs!$H$133</definedName>
    <definedName name="pbi_oth_tax_fed">Inputs!$F$133</definedName>
    <definedName name="pbi_oth_tax_sta">Inputs!$G$133</definedName>
    <definedName name="pbi_oth_term">Inputs!$D$133</definedName>
    <definedName name="pbi_sta_amount">Inputs!$C$131</definedName>
    <definedName name="pbi_sta_escal">Inputs!$E$131</definedName>
    <definedName name="pbi_sta_for_ds">Inputs!$H$131</definedName>
    <definedName name="pbi_sta_tax_fed">Inputs!$F$131</definedName>
    <definedName name="pbi_sta_tax_sta">Inputs!$G$131</definedName>
    <definedName name="pbi_sta_term">Inputs!$D$131</definedName>
    <definedName name="pbi_uti_amount">Inputs!$C$132</definedName>
    <definedName name="pbi_uti_escal">Inputs!$E$132</definedName>
    <definedName name="pbi_uti_for_ds">Inputs!$H$132</definedName>
    <definedName name="pbi_uti_tax_fed">Inputs!$F$132</definedName>
    <definedName name="pbi_uti_tax_sta">Inputs!$G$132</definedName>
    <definedName name="pbi_uti_term">Inputs!$D$132</definedName>
    <definedName name="ppa_escalation">Inputs!$C$33</definedName>
    <definedName name="PPAPriceInput">Inputs!$C$32</definedName>
    <definedName name="prop_tax_assessed_decline">Inputs!$C$50</definedName>
    <definedName name="prop_tax_cost_assessed_percent">Inputs!$C$48</definedName>
    <definedName name="property_tax_rate">Inputs!$C$51</definedName>
    <definedName name="PropertyTaxAssessedValue">Inputs!$C$49</definedName>
    <definedName name="ptc_fed_amount">Inputs!$C$109</definedName>
    <definedName name="ptc_fed_escal">Inputs!$E$109</definedName>
    <definedName name="ptc_fed_term">Inputs!$D$109</definedName>
    <definedName name="ptc_sta_amount">Inputs!$C$110</definedName>
    <definedName name="ptc_sta_escal">Inputs!$E$110</definedName>
    <definedName name="ptc_sta_term">Inputs!$D$110</definedName>
    <definedName name="real_discount_rate">Inputs!$C$40</definedName>
    <definedName name="reserves_interest">Inputs!$C$88</definedName>
    <definedName name="RevenueSelfConsumption">Inputs!#REF!</definedName>
    <definedName name="sales_tax_rate">Inputs!$C$45</definedName>
    <definedName name="salvage_percentage">Inputs!$C$53</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tate_tax_rate">Inputs!$C$44</definedName>
    <definedName name="system_capacity">Inputs!$C$3</definedName>
    <definedName name="system_heat_rate">Inputs!$C$25</definedName>
    <definedName name="term_int_rate">Inputs!$C$67</definedName>
    <definedName name="term_tenor">Inputs!$C$65</definedName>
    <definedName name="TODMultipliersApply">Inputs!$C$34</definedName>
    <definedName name="total_installed_cost">Inputs!$C$6</definedName>
    <definedName name="total_land_area">Inputs!$C$19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21" i="7" l="1" a="1"/>
  <c r="E521" i="7" s="1"/>
  <c r="C521" i="7"/>
  <c r="D521" i="7"/>
  <c r="F521" i="7"/>
  <c r="G521" i="7"/>
  <c r="H521" i="7"/>
  <c r="J521" i="7"/>
  <c r="K521" i="7"/>
  <c r="L521" i="7"/>
  <c r="N521" i="7"/>
  <c r="O521" i="7"/>
  <c r="P521" i="7"/>
  <c r="R521" i="7"/>
  <c r="S521" i="7"/>
  <c r="T521" i="7"/>
  <c r="V521" i="7"/>
  <c r="W521" i="7"/>
  <c r="X521" i="7"/>
  <c r="Z521" i="7"/>
  <c r="AA521" i="7"/>
  <c r="AB521" i="7"/>
  <c r="AD521" i="7"/>
  <c r="AE521" i="7"/>
  <c r="AF521" i="7"/>
  <c r="AH521" i="7"/>
  <c r="AI521" i="7"/>
  <c r="AJ521" i="7"/>
  <c r="AL521" i="7"/>
  <c r="AM521" i="7"/>
  <c r="AN521" i="7"/>
  <c r="AP521" i="7"/>
  <c r="C520" i="7" a="1"/>
  <c r="E520" i="7" s="1"/>
  <c r="C520" i="7"/>
  <c r="D520" i="7"/>
  <c r="F520" i="7"/>
  <c r="G520" i="7"/>
  <c r="H520" i="7"/>
  <c r="J520" i="7"/>
  <c r="K520" i="7"/>
  <c r="L520" i="7"/>
  <c r="N520" i="7"/>
  <c r="O520" i="7"/>
  <c r="P520" i="7"/>
  <c r="R520" i="7"/>
  <c r="S520" i="7"/>
  <c r="T520" i="7"/>
  <c r="V520" i="7"/>
  <c r="W520" i="7"/>
  <c r="X520" i="7"/>
  <c r="Z520" i="7"/>
  <c r="AA520" i="7"/>
  <c r="AB520" i="7"/>
  <c r="AD520" i="7"/>
  <c r="AE520" i="7"/>
  <c r="AF520" i="7"/>
  <c r="AH520" i="7"/>
  <c r="AI520" i="7"/>
  <c r="AJ520" i="7"/>
  <c r="AL520" i="7"/>
  <c r="AM520" i="7"/>
  <c r="AN520" i="7"/>
  <c r="AP520" i="7"/>
  <c r="C527" i="7" a="1"/>
  <c r="C527" i="7" s="1"/>
  <c r="C526" i="7" a="1"/>
  <c r="F526" i="7" s="1"/>
  <c r="C525" i="7" a="1"/>
  <c r="E525" i="7" s="1"/>
  <c r="C525" i="7"/>
  <c r="D525" i="7"/>
  <c r="F525" i="7"/>
  <c r="G525" i="7"/>
  <c r="H525" i="7"/>
  <c r="J525" i="7"/>
  <c r="K525" i="7"/>
  <c r="L525" i="7"/>
  <c r="N525" i="7"/>
  <c r="O525" i="7"/>
  <c r="P525" i="7"/>
  <c r="R525" i="7"/>
  <c r="S525" i="7"/>
  <c r="T525" i="7"/>
  <c r="V525" i="7"/>
  <c r="W525" i="7"/>
  <c r="X525" i="7"/>
  <c r="Z525" i="7"/>
  <c r="AA525" i="7"/>
  <c r="AB525" i="7"/>
  <c r="AD525" i="7"/>
  <c r="AE525" i="7"/>
  <c r="AF525" i="7"/>
  <c r="AH525" i="7"/>
  <c r="AI525" i="7"/>
  <c r="AJ525" i="7"/>
  <c r="AL525" i="7"/>
  <c r="AM525" i="7"/>
  <c r="AN525" i="7"/>
  <c r="AP525" i="7"/>
  <c r="C519" i="7" a="1"/>
  <c r="C519" i="7" s="1"/>
  <c r="AO521" i="7" l="1"/>
  <c r="AK521" i="7"/>
  <c r="AG521" i="7"/>
  <c r="AC521" i="7"/>
  <c r="Y521" i="7"/>
  <c r="U521" i="7"/>
  <c r="Q521" i="7"/>
  <c r="M521" i="7"/>
  <c r="I521" i="7"/>
  <c r="AO520" i="7"/>
  <c r="AK520" i="7"/>
  <c r="AG520" i="7"/>
  <c r="AC520" i="7"/>
  <c r="Y520" i="7"/>
  <c r="U520" i="7"/>
  <c r="Q520" i="7"/>
  <c r="M520" i="7"/>
  <c r="I520" i="7"/>
  <c r="AP527" i="7"/>
  <c r="AL527" i="7"/>
  <c r="AH527" i="7"/>
  <c r="AD527" i="7"/>
  <c r="Z527" i="7"/>
  <c r="V527" i="7"/>
  <c r="R527" i="7"/>
  <c r="N527" i="7"/>
  <c r="J527" i="7"/>
  <c r="F527" i="7"/>
  <c r="Y527" i="7"/>
  <c r="E527" i="7"/>
  <c r="AO527" i="7"/>
  <c r="AK527" i="7"/>
  <c r="AG527" i="7"/>
  <c r="AC527" i="7"/>
  <c r="U527" i="7"/>
  <c r="Q527" i="7"/>
  <c r="M527" i="7"/>
  <c r="I527" i="7"/>
  <c r="AN527" i="7"/>
  <c r="AJ527" i="7"/>
  <c r="AF527" i="7"/>
  <c r="AB527" i="7"/>
  <c r="X527" i="7"/>
  <c r="T527" i="7"/>
  <c r="P527" i="7"/>
  <c r="L527" i="7"/>
  <c r="H527" i="7"/>
  <c r="D527" i="7"/>
  <c r="AM527" i="7"/>
  <c r="AI527" i="7"/>
  <c r="AE527" i="7"/>
  <c r="AA527" i="7"/>
  <c r="W527" i="7"/>
  <c r="S527" i="7"/>
  <c r="O527" i="7"/>
  <c r="K527" i="7"/>
  <c r="G527" i="7"/>
  <c r="AO526" i="7"/>
  <c r="AK526" i="7"/>
  <c r="AG526" i="7"/>
  <c r="AC526" i="7"/>
  <c r="Y526" i="7"/>
  <c r="U526" i="7"/>
  <c r="Q526" i="7"/>
  <c r="M526" i="7"/>
  <c r="I526" i="7"/>
  <c r="E526" i="7"/>
  <c r="AN526" i="7"/>
  <c r="AJ526" i="7"/>
  <c r="AF526" i="7"/>
  <c r="AB526" i="7"/>
  <c r="X526" i="7"/>
  <c r="T526" i="7"/>
  <c r="P526" i="7"/>
  <c r="L526" i="7"/>
  <c r="H526" i="7"/>
  <c r="D526" i="7"/>
  <c r="AM526" i="7"/>
  <c r="AA526" i="7"/>
  <c r="C526" i="7"/>
  <c r="AI526" i="7"/>
  <c r="AE526" i="7"/>
  <c r="W526" i="7"/>
  <c r="S526" i="7"/>
  <c r="O526" i="7"/>
  <c r="K526" i="7"/>
  <c r="G526" i="7"/>
  <c r="AP526" i="7"/>
  <c r="AL526" i="7"/>
  <c r="AH526" i="7"/>
  <c r="AD526" i="7"/>
  <c r="Z526" i="7"/>
  <c r="V526" i="7"/>
  <c r="R526" i="7"/>
  <c r="N526" i="7"/>
  <c r="J526" i="7"/>
  <c r="AO525" i="7"/>
  <c r="AK525" i="7"/>
  <c r="AG525" i="7"/>
  <c r="AC525" i="7"/>
  <c r="Y525" i="7"/>
  <c r="U525" i="7"/>
  <c r="Q525" i="7"/>
  <c r="M525" i="7"/>
  <c r="I525" i="7"/>
  <c r="AC519" i="7"/>
  <c r="AP519" i="7"/>
  <c r="AL519" i="7"/>
  <c r="AH519" i="7"/>
  <c r="AD519" i="7"/>
  <c r="Z519" i="7"/>
  <c r="V519" i="7"/>
  <c r="R519" i="7"/>
  <c r="N519" i="7"/>
  <c r="J519" i="7"/>
  <c r="F519" i="7"/>
  <c r="AO519" i="7"/>
  <c r="AK519" i="7"/>
  <c r="AG519" i="7"/>
  <c r="Y519" i="7"/>
  <c r="U519" i="7"/>
  <c r="Q519" i="7"/>
  <c r="M519" i="7"/>
  <c r="I519" i="7"/>
  <c r="E519" i="7"/>
  <c r="AN519" i="7"/>
  <c r="AJ519" i="7"/>
  <c r="AF519" i="7"/>
  <c r="AB519" i="7"/>
  <c r="X519" i="7"/>
  <c r="T519" i="7"/>
  <c r="P519" i="7"/>
  <c r="L519" i="7"/>
  <c r="H519" i="7"/>
  <c r="D519" i="7"/>
  <c r="AM519" i="7"/>
  <c r="AI519" i="7"/>
  <c r="AE519" i="7"/>
  <c r="AA519" i="7"/>
  <c r="W519" i="7"/>
  <c r="S519" i="7"/>
  <c r="O519" i="7"/>
  <c r="K519" i="7"/>
  <c r="G519" i="7"/>
  <c r="D107" i="1"/>
  <c r="D106" i="1"/>
  <c r="C107" i="1"/>
  <c r="C106" i="1"/>
  <c r="C104" i="1"/>
  <c r="C103" i="1"/>
  <c r="AP629" i="7"/>
  <c r="B18" i="7" a="1"/>
  <c r="B18" i="7" s="1"/>
  <c r="K253" i="7" l="1"/>
  <c r="K389" i="7"/>
  <c r="AM20" i="7"/>
  <c r="AE20" i="7"/>
  <c r="AA20" i="7"/>
  <c r="S20" i="7"/>
  <c r="K20" i="7"/>
  <c r="C20" i="7"/>
  <c r="AN19" i="7"/>
  <c r="AF19" i="7"/>
  <c r="AB19" i="7"/>
  <c r="T19" i="7"/>
  <c r="L19" i="7"/>
  <c r="H19" i="7"/>
  <c r="AO18" i="7"/>
  <c r="AK18" i="7"/>
  <c r="AC18" i="7"/>
  <c r="Y18" i="7"/>
  <c r="Q18" i="7"/>
  <c r="M18" i="7"/>
  <c r="E18" i="7"/>
  <c r="AL20" i="7"/>
  <c r="AD20" i="7"/>
  <c r="V20" i="7"/>
  <c r="N20" i="7"/>
  <c r="F20" i="7"/>
  <c r="AM19" i="7"/>
  <c r="AE19" i="7"/>
  <c r="W19" i="7"/>
  <c r="O19" i="7"/>
  <c r="K19" i="7"/>
  <c r="C19" i="7"/>
  <c r="AN18" i="7"/>
  <c r="AF18" i="7"/>
  <c r="X18" i="7"/>
  <c r="H18" i="7"/>
  <c r="AO20" i="7"/>
  <c r="AC20" i="7"/>
  <c r="Q20" i="7"/>
  <c r="E20" i="7"/>
  <c r="AH19" i="7"/>
  <c r="Z19" i="7"/>
  <c r="N19" i="7"/>
  <c r="B19" i="7"/>
  <c r="AE18" i="7"/>
  <c r="AA18" i="7"/>
  <c r="W18" i="7"/>
  <c r="S18" i="7"/>
  <c r="K18" i="7"/>
  <c r="G18" i="7"/>
  <c r="C18" i="7"/>
  <c r="AI20" i="7"/>
  <c r="W20" i="7"/>
  <c r="O20" i="7"/>
  <c r="G20" i="7"/>
  <c r="AJ19" i="7"/>
  <c r="X19" i="7"/>
  <c r="P19" i="7"/>
  <c r="D19" i="7"/>
  <c r="AG18" i="7"/>
  <c r="U18" i="7"/>
  <c r="I18" i="7"/>
  <c r="AP20" i="7"/>
  <c r="AH20" i="7"/>
  <c r="Z20" i="7"/>
  <c r="R20" i="7"/>
  <c r="J20" i="7"/>
  <c r="B20" i="7"/>
  <c r="AI19" i="7"/>
  <c r="AA19" i="7"/>
  <c r="S19" i="7"/>
  <c r="G19" i="7"/>
  <c r="AJ18" i="7"/>
  <c r="AB18" i="7"/>
  <c r="T18" i="7"/>
  <c r="P18" i="7"/>
  <c r="L18" i="7"/>
  <c r="D18" i="7"/>
  <c r="AK20" i="7"/>
  <c r="AG20" i="7"/>
  <c r="Y20" i="7"/>
  <c r="U20" i="7"/>
  <c r="M20" i="7"/>
  <c r="I20" i="7"/>
  <c r="AP19" i="7"/>
  <c r="AL19" i="7"/>
  <c r="AD19" i="7"/>
  <c r="V19" i="7"/>
  <c r="R19" i="7"/>
  <c r="J19" i="7"/>
  <c r="F19" i="7"/>
  <c r="AM18" i="7"/>
  <c r="AI18" i="7"/>
  <c r="O18" i="7"/>
  <c r="AN20" i="7"/>
  <c r="AJ20" i="7"/>
  <c r="AF20" i="7"/>
  <c r="AB20" i="7"/>
  <c r="X20" i="7"/>
  <c r="T20" i="7"/>
  <c r="P20" i="7"/>
  <c r="L20" i="7"/>
  <c r="H20" i="7"/>
  <c r="D20" i="7"/>
  <c r="AO19" i="7"/>
  <c r="AK19" i="7"/>
  <c r="AG19" i="7"/>
  <c r="AC19" i="7"/>
  <c r="Y19" i="7"/>
  <c r="U19" i="7"/>
  <c r="Q19" i="7"/>
  <c r="M19" i="7"/>
  <c r="I19" i="7"/>
  <c r="E19" i="7"/>
  <c r="AP18" i="7"/>
  <c r="AL18" i="7"/>
  <c r="AH18" i="7"/>
  <c r="AD18" i="7"/>
  <c r="Z18" i="7"/>
  <c r="V18" i="7"/>
  <c r="R18" i="7"/>
  <c r="N18" i="7"/>
  <c r="J18" i="7"/>
  <c r="F18" i="7"/>
  <c r="B157" i="7" a="1"/>
  <c r="B157" i="7" s="1"/>
  <c r="AJ158" i="7" l="1"/>
  <c r="AB158" i="7"/>
  <c r="T158" i="7"/>
  <c r="L158" i="7"/>
  <c r="D158" i="7"/>
  <c r="AK157" i="7"/>
  <c r="AC157" i="7"/>
  <c r="U157" i="7"/>
  <c r="I157" i="7"/>
  <c r="AM158" i="7"/>
  <c r="AA158" i="7"/>
  <c r="C158" i="7"/>
  <c r="AF157" i="7"/>
  <c r="X157" i="7"/>
  <c r="T157" i="7"/>
  <c r="L157" i="7"/>
  <c r="H157" i="7"/>
  <c r="D157" i="7"/>
  <c r="AN158" i="7"/>
  <c r="AF158" i="7"/>
  <c r="X158" i="7"/>
  <c r="P158" i="7"/>
  <c r="H158" i="7"/>
  <c r="AO157" i="7"/>
  <c r="AG157" i="7"/>
  <c r="Y157" i="7"/>
  <c r="Q157" i="7"/>
  <c r="M157" i="7"/>
  <c r="E157" i="7"/>
  <c r="AI158" i="7"/>
  <c r="AE158" i="7"/>
  <c r="W158" i="7"/>
  <c r="S158" i="7"/>
  <c r="O158" i="7"/>
  <c r="K158" i="7"/>
  <c r="G158" i="7"/>
  <c r="AN157" i="7"/>
  <c r="AJ157" i="7"/>
  <c r="AB157" i="7"/>
  <c r="P157" i="7"/>
  <c r="AP158" i="7"/>
  <c r="AL158" i="7"/>
  <c r="AH158" i="7"/>
  <c r="AD158" i="7"/>
  <c r="Z158" i="7"/>
  <c r="V158" i="7"/>
  <c r="R158" i="7"/>
  <c r="N158" i="7"/>
  <c r="J158" i="7"/>
  <c r="F158" i="7"/>
  <c r="B158" i="7"/>
  <c r="AM157" i="7"/>
  <c r="AI157" i="7"/>
  <c r="AE157" i="7"/>
  <c r="AA157" i="7"/>
  <c r="W157" i="7"/>
  <c r="S157" i="7"/>
  <c r="O157" i="7"/>
  <c r="K157" i="7"/>
  <c r="G157" i="7"/>
  <c r="C157" i="7"/>
  <c r="AO158" i="7"/>
  <c r="AK158" i="7"/>
  <c r="AG158" i="7"/>
  <c r="AC158" i="7"/>
  <c r="Y158" i="7"/>
  <c r="U158" i="7"/>
  <c r="Q158" i="7"/>
  <c r="M158" i="7"/>
  <c r="I158" i="7"/>
  <c r="E158" i="7"/>
  <c r="AP157" i="7"/>
  <c r="AL157" i="7"/>
  <c r="AH157" i="7"/>
  <c r="AD157" i="7"/>
  <c r="Z157" i="7"/>
  <c r="V157" i="7"/>
  <c r="R157" i="7"/>
  <c r="N157" i="7"/>
  <c r="J157" i="7"/>
  <c r="F157" i="7"/>
  <c r="B58" i="7" a="1"/>
  <c r="C58" i="7" s="1"/>
  <c r="AN58" i="7" l="1"/>
  <c r="AJ58" i="7"/>
  <c r="AF58" i="7"/>
  <c r="AB58" i="7"/>
  <c r="X58" i="7"/>
  <c r="T58" i="7"/>
  <c r="P58" i="7"/>
  <c r="L58" i="7"/>
  <c r="H58" i="7"/>
  <c r="D58" i="7"/>
  <c r="AP58" i="7"/>
  <c r="AL58" i="7"/>
  <c r="AH58" i="7"/>
  <c r="AD58" i="7"/>
  <c r="Z58" i="7"/>
  <c r="V58" i="7"/>
  <c r="R58" i="7"/>
  <c r="N58" i="7"/>
  <c r="J58" i="7"/>
  <c r="F58" i="7"/>
  <c r="B58" i="7"/>
  <c r="AO58" i="7"/>
  <c r="AK58" i="7"/>
  <c r="AG58" i="7"/>
  <c r="AC58" i="7"/>
  <c r="Y58" i="7"/>
  <c r="U58" i="7"/>
  <c r="Q58" i="7"/>
  <c r="M58" i="7"/>
  <c r="I58" i="7"/>
  <c r="E58" i="7"/>
  <c r="AM58" i="7"/>
  <c r="AI58" i="7"/>
  <c r="AE58" i="7"/>
  <c r="AA58" i="7"/>
  <c r="W58" i="7"/>
  <c r="S58" i="7"/>
  <c r="O58" i="7"/>
  <c r="K58" i="7"/>
  <c r="G58" i="7"/>
  <c r="B596" i="7" l="1"/>
  <c r="B56" i="7" l="1" a="1"/>
  <c r="B56" i="7" s="1"/>
  <c r="B50" i="7" a="1"/>
  <c r="G50" i="7" s="1"/>
  <c r="B8" i="7" a="1"/>
  <c r="C8" i="7" s="1"/>
  <c r="B45" i="7" a="1"/>
  <c r="C45" i="7" s="1"/>
  <c r="P53" i="7" l="1"/>
  <c r="AM54" i="7"/>
  <c r="W50" i="7"/>
  <c r="AL53" i="7"/>
  <c r="AD51" i="7"/>
  <c r="AJ52" i="7"/>
  <c r="R54" i="7"/>
  <c r="O52" i="7"/>
  <c r="AC54" i="7"/>
  <c r="G54" i="7"/>
  <c r="AA53" i="7"/>
  <c r="F53" i="7"/>
  <c r="Y52" i="7"/>
  <c r="D52" i="7"/>
  <c r="I51" i="7"/>
  <c r="AD54" i="7"/>
  <c r="I54" i="7"/>
  <c r="AB53" i="7"/>
  <c r="G53" i="7"/>
  <c r="AA52" i="7"/>
  <c r="E52" i="7"/>
  <c r="N51" i="7"/>
  <c r="AO54" i="7"/>
  <c r="S54" i="7"/>
  <c r="AM53" i="7"/>
  <c r="R53" i="7"/>
  <c r="AK52" i="7"/>
  <c r="P52" i="7"/>
  <c r="AJ51" i="7"/>
  <c r="AE50" i="7"/>
  <c r="AN57" i="7"/>
  <c r="AJ57" i="7"/>
  <c r="AF57" i="7"/>
  <c r="AB57" i="7"/>
  <c r="X57" i="7"/>
  <c r="T57" i="7"/>
  <c r="P57" i="7"/>
  <c r="L57" i="7"/>
  <c r="H57" i="7"/>
  <c r="D57" i="7"/>
  <c r="AO56" i="7"/>
  <c r="AK56" i="7"/>
  <c r="AG56" i="7"/>
  <c r="AC56" i="7"/>
  <c r="Y56" i="7"/>
  <c r="U56" i="7"/>
  <c r="Q56" i="7"/>
  <c r="M56" i="7"/>
  <c r="I56" i="7"/>
  <c r="E56" i="7"/>
  <c r="AM57" i="7"/>
  <c r="AI57" i="7"/>
  <c r="AE57" i="7"/>
  <c r="AA57" i="7"/>
  <c r="W57" i="7"/>
  <c r="S57" i="7"/>
  <c r="O57" i="7"/>
  <c r="K57" i="7"/>
  <c r="G57" i="7"/>
  <c r="C57" i="7"/>
  <c r="AN56" i="7"/>
  <c r="AJ56" i="7"/>
  <c r="AF56" i="7"/>
  <c r="AB56" i="7"/>
  <c r="X56" i="7"/>
  <c r="T56" i="7"/>
  <c r="P56" i="7"/>
  <c r="L56" i="7"/>
  <c r="H56" i="7"/>
  <c r="D56" i="7"/>
  <c r="AP57" i="7"/>
  <c r="AL57" i="7"/>
  <c r="AH57" i="7"/>
  <c r="AD57" i="7"/>
  <c r="Z57" i="7"/>
  <c r="V57" i="7"/>
  <c r="R57" i="7"/>
  <c r="N57" i="7"/>
  <c r="J57" i="7"/>
  <c r="F57" i="7"/>
  <c r="B57" i="7"/>
  <c r="AM56" i="7"/>
  <c r="AI56" i="7"/>
  <c r="AE56" i="7"/>
  <c r="AA56" i="7"/>
  <c r="W56" i="7"/>
  <c r="S56" i="7"/>
  <c r="O56" i="7"/>
  <c r="K56" i="7"/>
  <c r="G56" i="7"/>
  <c r="C56" i="7"/>
  <c r="AO57" i="7"/>
  <c r="AK57" i="7"/>
  <c r="AG57" i="7"/>
  <c r="AC57" i="7"/>
  <c r="Y57" i="7"/>
  <c r="U57" i="7"/>
  <c r="Q57" i="7"/>
  <c r="M57" i="7"/>
  <c r="I57" i="7"/>
  <c r="E57" i="7"/>
  <c r="AP56" i="7"/>
  <c r="AL56" i="7"/>
  <c r="AH56" i="7"/>
  <c r="AD56" i="7"/>
  <c r="Z56" i="7"/>
  <c r="V56" i="7"/>
  <c r="R56" i="7"/>
  <c r="N56" i="7"/>
  <c r="J56" i="7"/>
  <c r="F56" i="7"/>
  <c r="AI54" i="7"/>
  <c r="Y54" i="7"/>
  <c r="N54" i="7"/>
  <c r="C54" i="7"/>
  <c r="AH53" i="7"/>
  <c r="W53" i="7"/>
  <c r="L53" i="7"/>
  <c r="B53" i="7"/>
  <c r="AF52" i="7"/>
  <c r="U52" i="7"/>
  <c r="K52" i="7"/>
  <c r="AO51" i="7"/>
  <c r="Y51" i="7"/>
  <c r="D51" i="7"/>
  <c r="O50" i="7"/>
  <c r="AH54" i="7"/>
  <c r="W54" i="7"/>
  <c r="M54" i="7"/>
  <c r="B54" i="7"/>
  <c r="AF53" i="7"/>
  <c r="V53" i="7"/>
  <c r="K53" i="7"/>
  <c r="AO52" i="7"/>
  <c r="AE52" i="7"/>
  <c r="T52" i="7"/>
  <c r="I52" i="7"/>
  <c r="AN51" i="7"/>
  <c r="T51" i="7"/>
  <c r="AM50" i="7"/>
  <c r="E50" i="7"/>
  <c r="B50" i="7"/>
  <c r="J50" i="7"/>
  <c r="R50" i="7"/>
  <c r="Z50" i="7"/>
  <c r="AH50" i="7"/>
  <c r="AO50" i="7"/>
  <c r="E51" i="7"/>
  <c r="J51" i="7"/>
  <c r="P51" i="7"/>
  <c r="U51" i="7"/>
  <c r="Z51" i="7"/>
  <c r="AF51" i="7"/>
  <c r="AK51" i="7"/>
  <c r="AP51" i="7"/>
  <c r="G52" i="7"/>
  <c r="L52" i="7"/>
  <c r="Q52" i="7"/>
  <c r="W52" i="7"/>
  <c r="AB52" i="7"/>
  <c r="AG52" i="7"/>
  <c r="AM52" i="7"/>
  <c r="C53" i="7"/>
  <c r="H53" i="7"/>
  <c r="N53" i="7"/>
  <c r="S53" i="7"/>
  <c r="X53" i="7"/>
  <c r="AD53" i="7"/>
  <c r="AI53" i="7"/>
  <c r="AN53" i="7"/>
  <c r="E54" i="7"/>
  <c r="J54" i="7"/>
  <c r="O54" i="7"/>
  <c r="U54" i="7"/>
  <c r="Z54" i="7"/>
  <c r="AE54" i="7"/>
  <c r="AK54" i="7"/>
  <c r="AP54" i="7"/>
  <c r="C50" i="7"/>
  <c r="K50" i="7"/>
  <c r="S50" i="7"/>
  <c r="AA50" i="7"/>
  <c r="AI50" i="7"/>
  <c r="AP50" i="7"/>
  <c r="F51" i="7"/>
  <c r="L51" i="7"/>
  <c r="Q51" i="7"/>
  <c r="V51" i="7"/>
  <c r="AB51" i="7"/>
  <c r="AG51" i="7"/>
  <c r="AL51" i="7"/>
  <c r="C52" i="7"/>
  <c r="H52" i="7"/>
  <c r="M52" i="7"/>
  <c r="S52" i="7"/>
  <c r="X52" i="7"/>
  <c r="AC52" i="7"/>
  <c r="AI52" i="7"/>
  <c r="AN52" i="7"/>
  <c r="D53" i="7"/>
  <c r="J53" i="7"/>
  <c r="O53" i="7"/>
  <c r="T53" i="7"/>
  <c r="Z53" i="7"/>
  <c r="AE53" i="7"/>
  <c r="AJ53" i="7"/>
  <c r="AP53" i="7"/>
  <c r="F54" i="7"/>
  <c r="K54" i="7"/>
  <c r="Q54" i="7"/>
  <c r="V54" i="7"/>
  <c r="AA54" i="7"/>
  <c r="AG54" i="7"/>
  <c r="AL54" i="7"/>
  <c r="F50" i="7"/>
  <c r="N50" i="7"/>
  <c r="V50" i="7"/>
  <c r="AD50" i="7"/>
  <c r="AL50" i="7"/>
  <c r="B51" i="7"/>
  <c r="H51" i="7"/>
  <c r="M51" i="7"/>
  <c r="R51" i="7"/>
  <c r="X51" i="7"/>
  <c r="AC51" i="7"/>
  <c r="AH51" i="7"/>
  <c r="AN54" i="7"/>
  <c r="AJ54" i="7"/>
  <c r="AF54" i="7"/>
  <c r="AB54" i="7"/>
  <c r="X54" i="7"/>
  <c r="T54" i="7"/>
  <c r="P54" i="7"/>
  <c r="L54" i="7"/>
  <c r="H54" i="7"/>
  <c r="D54" i="7"/>
  <c r="AO53" i="7"/>
  <c r="AK53" i="7"/>
  <c r="AG53" i="7"/>
  <c r="AC53" i="7"/>
  <c r="Y53" i="7"/>
  <c r="U53" i="7"/>
  <c r="Q53" i="7"/>
  <c r="M53" i="7"/>
  <c r="I53" i="7"/>
  <c r="E53" i="7"/>
  <c r="AP52" i="7"/>
  <c r="AL52" i="7"/>
  <c r="AH52" i="7"/>
  <c r="AD52" i="7"/>
  <c r="Z52" i="7"/>
  <c r="V52" i="7"/>
  <c r="R52" i="7"/>
  <c r="N52" i="7"/>
  <c r="J52" i="7"/>
  <c r="F52" i="7"/>
  <c r="B52" i="7"/>
  <c r="AM51" i="7"/>
  <c r="AI51" i="7"/>
  <c r="AE51" i="7"/>
  <c r="AA51" i="7"/>
  <c r="W51" i="7"/>
  <c r="S51" i="7"/>
  <c r="O51" i="7"/>
  <c r="K51" i="7"/>
  <c r="G51" i="7"/>
  <c r="C51" i="7"/>
  <c r="AN50" i="7"/>
  <c r="AJ50" i="7"/>
  <c r="AF50" i="7"/>
  <c r="AB50" i="7"/>
  <c r="X50" i="7"/>
  <c r="T50" i="7"/>
  <c r="P50" i="7"/>
  <c r="L50" i="7"/>
  <c r="H50" i="7"/>
  <c r="D50" i="7"/>
  <c r="AK50" i="7"/>
  <c r="AG50" i="7"/>
  <c r="AC50" i="7"/>
  <c r="Y50" i="7"/>
  <c r="U50" i="7"/>
  <c r="Q50" i="7"/>
  <c r="M50" i="7"/>
  <c r="I50" i="7"/>
  <c r="AN10" i="7"/>
  <c r="AJ10" i="7"/>
  <c r="AF10" i="7"/>
  <c r="AB10" i="7"/>
  <c r="X10" i="7"/>
  <c r="T10" i="7"/>
  <c r="P10" i="7"/>
  <c r="L10" i="7"/>
  <c r="H10" i="7"/>
  <c r="D10" i="7"/>
  <c r="AO9" i="7"/>
  <c r="AK9" i="7"/>
  <c r="AG9" i="7"/>
  <c r="AC9" i="7"/>
  <c r="Y9" i="7"/>
  <c r="U9" i="7"/>
  <c r="Q9" i="7"/>
  <c r="M9" i="7"/>
  <c r="I9" i="7"/>
  <c r="E9" i="7"/>
  <c r="AP8" i="7"/>
  <c r="AL8" i="7"/>
  <c r="AH8" i="7"/>
  <c r="AD8" i="7"/>
  <c r="Z8" i="7"/>
  <c r="V8" i="7"/>
  <c r="R8" i="7"/>
  <c r="N8" i="7"/>
  <c r="J8" i="7"/>
  <c r="F8" i="7"/>
  <c r="B8" i="7"/>
  <c r="AM10" i="7"/>
  <c r="AI10" i="7"/>
  <c r="AE10" i="7"/>
  <c r="AA10" i="7"/>
  <c r="W10" i="7"/>
  <c r="S10" i="7"/>
  <c r="O10" i="7"/>
  <c r="K10" i="7"/>
  <c r="G10" i="7"/>
  <c r="C10" i="7"/>
  <c r="AN9" i="7"/>
  <c r="AJ9" i="7"/>
  <c r="AF9" i="7"/>
  <c r="AB9" i="7"/>
  <c r="X9" i="7"/>
  <c r="T9" i="7"/>
  <c r="P9" i="7"/>
  <c r="L9" i="7"/>
  <c r="H9" i="7"/>
  <c r="D9" i="7"/>
  <c r="AO8" i="7"/>
  <c r="AK8" i="7"/>
  <c r="AG8" i="7"/>
  <c r="AC8" i="7"/>
  <c r="Y8" i="7"/>
  <c r="U8" i="7"/>
  <c r="Q8" i="7"/>
  <c r="M8" i="7"/>
  <c r="I8" i="7"/>
  <c r="E8" i="7"/>
  <c r="AH10" i="7"/>
  <c r="V10" i="7"/>
  <c r="N10" i="7"/>
  <c r="F10" i="7"/>
  <c r="AI9" i="7"/>
  <c r="S9" i="7"/>
  <c r="G9" i="7"/>
  <c r="AJ8" i="7"/>
  <c r="X8" i="7"/>
  <c r="P8" i="7"/>
  <c r="H8" i="7"/>
  <c r="D8" i="7"/>
  <c r="AP10" i="7"/>
  <c r="AL10" i="7"/>
  <c r="AD10" i="7"/>
  <c r="Z10" i="7"/>
  <c r="R10" i="7"/>
  <c r="J10" i="7"/>
  <c r="B10" i="7"/>
  <c r="AM9" i="7"/>
  <c r="AE9" i="7"/>
  <c r="AA9" i="7"/>
  <c r="W9" i="7"/>
  <c r="O9" i="7"/>
  <c r="K9" i="7"/>
  <c r="C9" i="7"/>
  <c r="AN8" i="7"/>
  <c r="AF8" i="7"/>
  <c r="AB8" i="7"/>
  <c r="T8" i="7"/>
  <c r="L8" i="7"/>
  <c r="AO10" i="7"/>
  <c r="AK10" i="7"/>
  <c r="AG10" i="7"/>
  <c r="AC10" i="7"/>
  <c r="Y10" i="7"/>
  <c r="U10" i="7"/>
  <c r="Q10" i="7"/>
  <c r="M10" i="7"/>
  <c r="I10" i="7"/>
  <c r="E10" i="7"/>
  <c r="AP9" i="7"/>
  <c r="AL9" i="7"/>
  <c r="AH9" i="7"/>
  <c r="AD9" i="7"/>
  <c r="Z9" i="7"/>
  <c r="V9" i="7"/>
  <c r="R9" i="7"/>
  <c r="N9" i="7"/>
  <c r="J9" i="7"/>
  <c r="F9" i="7"/>
  <c r="B9" i="7"/>
  <c r="AM8" i="7"/>
  <c r="AI8" i="7"/>
  <c r="AE8" i="7"/>
  <c r="AA8" i="7"/>
  <c r="W8" i="7"/>
  <c r="S8" i="7"/>
  <c r="O8" i="7"/>
  <c r="K8" i="7"/>
  <c r="G8" i="7"/>
  <c r="AJ48" i="7"/>
  <c r="AB48" i="7"/>
  <c r="T48" i="7"/>
  <c r="AK47" i="7"/>
  <c r="E47" i="7"/>
  <c r="V46" i="7"/>
  <c r="F46" i="7"/>
  <c r="W45" i="7"/>
  <c r="Z48" i="7"/>
  <c r="B48" i="7"/>
  <c r="AM48" i="7"/>
  <c r="AE48" i="7"/>
  <c r="W48" i="7"/>
  <c r="O48" i="7"/>
  <c r="G48" i="7"/>
  <c r="AN47" i="7"/>
  <c r="AF47" i="7"/>
  <c r="X47" i="7"/>
  <c r="P47" i="7"/>
  <c r="H47" i="7"/>
  <c r="AO46" i="7"/>
  <c r="AG46" i="7"/>
  <c r="Y46" i="7"/>
  <c r="Q46" i="7"/>
  <c r="I46" i="7"/>
  <c r="AP45" i="7"/>
  <c r="AH45" i="7"/>
  <c r="Z45" i="7"/>
  <c r="R45" i="7"/>
  <c r="J45" i="7"/>
  <c r="B45" i="7"/>
  <c r="AL48" i="7"/>
  <c r="AD48" i="7"/>
  <c r="V48" i="7"/>
  <c r="N48" i="7"/>
  <c r="F48" i="7"/>
  <c r="AM47" i="7"/>
  <c r="AE47" i="7"/>
  <c r="W47" i="7"/>
  <c r="O47" i="7"/>
  <c r="G47" i="7"/>
  <c r="AN46" i="7"/>
  <c r="AF46" i="7"/>
  <c r="X46" i="7"/>
  <c r="P46" i="7"/>
  <c r="H46" i="7"/>
  <c r="AO45" i="7"/>
  <c r="AG45" i="7"/>
  <c r="Y45" i="7"/>
  <c r="Q45" i="7"/>
  <c r="I45" i="7"/>
  <c r="AK48" i="7"/>
  <c r="AC48" i="7"/>
  <c r="U48" i="7"/>
  <c r="M48" i="7"/>
  <c r="E48" i="7"/>
  <c r="AL47" i="7"/>
  <c r="AD47" i="7"/>
  <c r="V47" i="7"/>
  <c r="N47" i="7"/>
  <c r="F47" i="7"/>
  <c r="AM46" i="7"/>
  <c r="AE46" i="7"/>
  <c r="W46" i="7"/>
  <c r="O46" i="7"/>
  <c r="G46" i="7"/>
  <c r="AN45" i="7"/>
  <c r="AF45" i="7"/>
  <c r="X45" i="7"/>
  <c r="P45" i="7"/>
  <c r="H45" i="7"/>
  <c r="D48" i="7"/>
  <c r="U47" i="7"/>
  <c r="AL46" i="7"/>
  <c r="N46" i="7"/>
  <c r="AE45" i="7"/>
  <c r="G45" i="7"/>
  <c r="AI48" i="7"/>
  <c r="AA48" i="7"/>
  <c r="S48" i="7"/>
  <c r="K48" i="7"/>
  <c r="C48" i="7"/>
  <c r="AJ47" i="7"/>
  <c r="AB47" i="7"/>
  <c r="T47" i="7"/>
  <c r="L47" i="7"/>
  <c r="D47" i="7"/>
  <c r="AK46" i="7"/>
  <c r="AC46" i="7"/>
  <c r="U46" i="7"/>
  <c r="M46" i="7"/>
  <c r="E46" i="7"/>
  <c r="AL45" i="7"/>
  <c r="AD45" i="7"/>
  <c r="V45" i="7"/>
  <c r="N45" i="7"/>
  <c r="F45" i="7"/>
  <c r="R48" i="7"/>
  <c r="AI47" i="7"/>
  <c r="S47" i="7"/>
  <c r="K47" i="7"/>
  <c r="C47" i="7"/>
  <c r="AB46" i="7"/>
  <c r="T46" i="7"/>
  <c r="L46" i="7"/>
  <c r="D46" i="7"/>
  <c r="AK45" i="7"/>
  <c r="AC45" i="7"/>
  <c r="U45" i="7"/>
  <c r="M45" i="7"/>
  <c r="E45" i="7"/>
  <c r="L48" i="7"/>
  <c r="AC47" i="7"/>
  <c r="M47" i="7"/>
  <c r="AD46" i="7"/>
  <c r="AM45" i="7"/>
  <c r="O45" i="7"/>
  <c r="AP48" i="7"/>
  <c r="AH48" i="7"/>
  <c r="J48" i="7"/>
  <c r="AA47" i="7"/>
  <c r="AJ46" i="7"/>
  <c r="AO48" i="7"/>
  <c r="AG48" i="7"/>
  <c r="Y48" i="7"/>
  <c r="Q48" i="7"/>
  <c r="I48" i="7"/>
  <c r="AP47" i="7"/>
  <c r="AH47" i="7"/>
  <c r="Z47" i="7"/>
  <c r="R47" i="7"/>
  <c r="J47" i="7"/>
  <c r="B47" i="7"/>
  <c r="AI46" i="7"/>
  <c r="AA46" i="7"/>
  <c r="S46" i="7"/>
  <c r="K46" i="7"/>
  <c r="C46" i="7"/>
  <c r="AJ45" i="7"/>
  <c r="AB45" i="7"/>
  <c r="T45" i="7"/>
  <c r="L45" i="7"/>
  <c r="D45" i="7"/>
  <c r="AN48" i="7"/>
  <c r="AF48" i="7"/>
  <c r="X48" i="7"/>
  <c r="P48" i="7"/>
  <c r="H48" i="7"/>
  <c r="AO47" i="7"/>
  <c r="AG47" i="7"/>
  <c r="Y47" i="7"/>
  <c r="Q47" i="7"/>
  <c r="I47" i="7"/>
  <c r="AP46" i="7"/>
  <c r="AH46" i="7"/>
  <c r="Z46" i="7"/>
  <c r="R46" i="7"/>
  <c r="J46" i="7"/>
  <c r="B46" i="7"/>
  <c r="AI45" i="7"/>
  <c r="AA45" i="7"/>
  <c r="S45" i="7"/>
  <c r="K45" i="7"/>
  <c r="B6" i="7" l="1" a="1"/>
  <c r="D6" i="7" s="1"/>
  <c r="B5" i="7" a="1"/>
  <c r="B5" i="7" s="1"/>
  <c r="AL6" i="7" l="1"/>
  <c r="AG6" i="7"/>
  <c r="AA6" i="7"/>
  <c r="V6" i="7"/>
  <c r="Q6" i="7"/>
  <c r="K6" i="7"/>
  <c r="F6" i="7"/>
  <c r="AP6" i="7"/>
  <c r="AK6" i="7"/>
  <c r="AE6" i="7"/>
  <c r="Z6" i="7"/>
  <c r="U6" i="7"/>
  <c r="O6" i="7"/>
  <c r="J6" i="7"/>
  <c r="E6" i="7"/>
  <c r="AO6" i="7"/>
  <c r="AI6" i="7"/>
  <c r="AD6" i="7"/>
  <c r="Y6" i="7"/>
  <c r="S6" i="7"/>
  <c r="N6" i="7"/>
  <c r="I6" i="7"/>
  <c r="C6" i="7"/>
  <c r="AM6" i="7"/>
  <c r="AH6" i="7"/>
  <c r="AC6" i="7"/>
  <c r="W6" i="7"/>
  <c r="R6" i="7"/>
  <c r="M6" i="7"/>
  <c r="G6" i="7"/>
  <c r="B6" i="7"/>
  <c r="B7" i="7" s="1"/>
  <c r="AN6" i="7"/>
  <c r="AJ6" i="7"/>
  <c r="AF6" i="7"/>
  <c r="AB6" i="7"/>
  <c r="X6" i="7"/>
  <c r="T6" i="7"/>
  <c r="P6" i="7"/>
  <c r="L6" i="7"/>
  <c r="H6" i="7"/>
  <c r="AH5" i="7"/>
  <c r="AH40" i="7" s="1"/>
  <c r="AO5" i="7"/>
  <c r="AO40" i="7" s="1"/>
  <c r="AK5" i="7"/>
  <c r="AK40" i="7" s="1"/>
  <c r="AG5" i="7"/>
  <c r="AG40" i="7" s="1"/>
  <c r="AC5" i="7"/>
  <c r="AC40" i="7" s="1"/>
  <c r="Y5" i="7"/>
  <c r="Y40" i="7" s="1"/>
  <c r="U5" i="7"/>
  <c r="U40" i="7" s="1"/>
  <c r="Q5" i="7"/>
  <c r="Q40" i="7" s="1"/>
  <c r="M5" i="7"/>
  <c r="M40" i="7" s="1"/>
  <c r="I5" i="7"/>
  <c r="I40" i="7" s="1"/>
  <c r="E5" i="7"/>
  <c r="E40" i="7" s="1"/>
  <c r="AN5" i="7"/>
  <c r="AN40" i="7" s="1"/>
  <c r="AJ5" i="7"/>
  <c r="AJ40" i="7" s="1"/>
  <c r="AF5" i="7"/>
  <c r="AF40" i="7" s="1"/>
  <c r="AB5" i="7"/>
  <c r="AB40" i="7" s="1"/>
  <c r="X5" i="7"/>
  <c r="X40" i="7" s="1"/>
  <c r="T5" i="7"/>
  <c r="T40" i="7" s="1"/>
  <c r="P5" i="7"/>
  <c r="P40" i="7" s="1"/>
  <c r="L5" i="7"/>
  <c r="L40" i="7" s="1"/>
  <c r="H5" i="7"/>
  <c r="H40" i="7" s="1"/>
  <c r="D5" i="7"/>
  <c r="D40" i="7" s="1"/>
  <c r="AM5" i="7"/>
  <c r="AM40" i="7" s="1"/>
  <c r="AI5" i="7"/>
  <c r="AI40" i="7" s="1"/>
  <c r="AE5" i="7"/>
  <c r="AE40" i="7" s="1"/>
  <c r="AA5" i="7"/>
  <c r="AA40" i="7" s="1"/>
  <c r="W5" i="7"/>
  <c r="W40" i="7" s="1"/>
  <c r="S5" i="7"/>
  <c r="S40" i="7" s="1"/>
  <c r="O5" i="7"/>
  <c r="O40" i="7" s="1"/>
  <c r="K5" i="7"/>
  <c r="K40" i="7" s="1"/>
  <c r="G5" i="7"/>
  <c r="G40" i="7" s="1"/>
  <c r="C5" i="7"/>
  <c r="C40" i="7" s="1"/>
  <c r="AP5" i="7"/>
  <c r="AP40" i="7" s="1"/>
  <c r="AL5" i="7"/>
  <c r="AL40" i="7" s="1"/>
  <c r="AD5" i="7"/>
  <c r="AD40" i="7" s="1"/>
  <c r="Z5" i="7"/>
  <c r="Z40" i="7" s="1"/>
  <c r="V5" i="7"/>
  <c r="V40" i="7" s="1"/>
  <c r="R5" i="7"/>
  <c r="R40" i="7" s="1"/>
  <c r="N5" i="7"/>
  <c r="N40" i="7" s="1"/>
  <c r="J5" i="7"/>
  <c r="J40" i="7" s="1"/>
  <c r="F5" i="7"/>
  <c r="F40" i="7" s="1"/>
  <c r="C14" i="7" l="1"/>
  <c r="C580" i="7"/>
  <c r="AB580" i="7"/>
  <c r="AB576" i="7"/>
  <c r="F580" i="7"/>
  <c r="F576" i="7"/>
  <c r="AP580" i="7"/>
  <c r="AP576" i="7"/>
  <c r="AE580" i="7"/>
  <c r="AE576" i="7"/>
  <c r="X580" i="7"/>
  <c r="X576" i="7"/>
  <c r="Q580" i="7"/>
  <c r="Q576" i="7"/>
  <c r="D580" i="7"/>
  <c r="D576" i="7"/>
  <c r="U580" i="7"/>
  <c r="U576" i="7"/>
  <c r="G580" i="7"/>
  <c r="G576" i="7"/>
  <c r="Y580" i="7"/>
  <c r="Y576" i="7"/>
  <c r="R580" i="7"/>
  <c r="R576" i="7"/>
  <c r="AJ580" i="7"/>
  <c r="AJ576" i="7"/>
  <c r="AC580" i="7"/>
  <c r="AC576" i="7"/>
  <c r="AN580" i="7"/>
  <c r="AN576" i="7"/>
  <c r="J580" i="7"/>
  <c r="J576" i="7"/>
  <c r="AI580" i="7"/>
  <c r="AI576" i="7"/>
  <c r="N580" i="7"/>
  <c r="N576" i="7"/>
  <c r="AM580" i="7"/>
  <c r="AM576" i="7"/>
  <c r="AF580" i="7"/>
  <c r="AF576" i="7"/>
  <c r="K580" i="7"/>
  <c r="K576" i="7"/>
  <c r="V580" i="7"/>
  <c r="V576" i="7"/>
  <c r="O580" i="7"/>
  <c r="O576" i="7"/>
  <c r="H580" i="7"/>
  <c r="H576" i="7"/>
  <c r="AG580" i="7"/>
  <c r="AG576" i="7"/>
  <c r="Z580" i="7"/>
  <c r="Z576" i="7"/>
  <c r="S580" i="7"/>
  <c r="S576" i="7"/>
  <c r="L580" i="7"/>
  <c r="L576" i="7"/>
  <c r="E580" i="7"/>
  <c r="E576" i="7"/>
  <c r="AK580" i="7"/>
  <c r="AK576" i="7"/>
  <c r="AD580" i="7"/>
  <c r="AD576" i="7"/>
  <c r="W580" i="7"/>
  <c r="W576" i="7"/>
  <c r="P580" i="7"/>
  <c r="P576" i="7"/>
  <c r="I580" i="7"/>
  <c r="I576" i="7"/>
  <c r="AO580" i="7"/>
  <c r="AO576" i="7"/>
  <c r="AL580" i="7"/>
  <c r="AL576" i="7"/>
  <c r="AA580" i="7"/>
  <c r="AA576" i="7"/>
  <c r="T580" i="7"/>
  <c r="T576" i="7"/>
  <c r="M580" i="7"/>
  <c r="M576" i="7"/>
  <c r="AH580" i="7"/>
  <c r="AH576" i="7"/>
  <c r="AP572" i="7"/>
  <c r="AP568" i="7"/>
  <c r="AP541" i="7"/>
  <c r="AP535" i="7"/>
  <c r="AP146" i="7"/>
  <c r="AP14" i="7"/>
  <c r="AB572" i="7"/>
  <c r="AB568" i="7"/>
  <c r="AB541" i="7"/>
  <c r="AB535" i="7"/>
  <c r="AB146" i="7"/>
  <c r="AB14" i="7"/>
  <c r="G7" i="7"/>
  <c r="G572" i="7"/>
  <c r="G568" i="7"/>
  <c r="G541" i="7"/>
  <c r="G535" i="7"/>
  <c r="G146" i="7"/>
  <c r="G14" i="7"/>
  <c r="Q572" i="7"/>
  <c r="Q568" i="7"/>
  <c r="Q541" i="7"/>
  <c r="Q535" i="7"/>
  <c r="Q146" i="7"/>
  <c r="Q14" i="7"/>
  <c r="AM572" i="7"/>
  <c r="AM568" i="7"/>
  <c r="AM541" i="7"/>
  <c r="AM535" i="7"/>
  <c r="AM146" i="7"/>
  <c r="AM14" i="7"/>
  <c r="R572" i="7"/>
  <c r="R568" i="7"/>
  <c r="R541" i="7"/>
  <c r="R535" i="7"/>
  <c r="R146" i="7"/>
  <c r="R14" i="7"/>
  <c r="D7" i="7"/>
  <c r="D572" i="7"/>
  <c r="D568" i="7"/>
  <c r="D541" i="7"/>
  <c r="D535" i="7"/>
  <c r="D146" i="7"/>
  <c r="D14" i="7"/>
  <c r="AN572" i="7"/>
  <c r="AN568" i="7"/>
  <c r="AN541" i="7"/>
  <c r="AN535" i="7"/>
  <c r="AN146" i="7"/>
  <c r="AN14" i="7"/>
  <c r="X572" i="7"/>
  <c r="X568" i="7"/>
  <c r="X541" i="7"/>
  <c r="X535" i="7"/>
  <c r="X146" i="7"/>
  <c r="X14" i="7"/>
  <c r="J572" i="7"/>
  <c r="J568" i="7"/>
  <c r="J541" i="7"/>
  <c r="J535" i="7"/>
  <c r="J146" i="7"/>
  <c r="J14" i="7"/>
  <c r="U572" i="7"/>
  <c r="U568" i="7"/>
  <c r="U541" i="7"/>
  <c r="U535" i="7"/>
  <c r="U146" i="7"/>
  <c r="U14" i="7"/>
  <c r="Y572" i="7"/>
  <c r="Y568" i="7"/>
  <c r="Y541" i="7"/>
  <c r="Y535" i="7"/>
  <c r="Y146" i="7"/>
  <c r="Y14" i="7"/>
  <c r="AC572" i="7"/>
  <c r="AC568" i="7"/>
  <c r="AC541" i="7"/>
  <c r="AC535" i="7"/>
  <c r="AC146" i="7"/>
  <c r="AC14" i="7"/>
  <c r="O572" i="7"/>
  <c r="O568" i="7"/>
  <c r="O541" i="7"/>
  <c r="O535" i="7"/>
  <c r="O146" i="7"/>
  <c r="O14" i="7"/>
  <c r="S572" i="7"/>
  <c r="S568" i="7"/>
  <c r="S541" i="7"/>
  <c r="S535" i="7"/>
  <c r="S146" i="7"/>
  <c r="S14" i="7"/>
  <c r="E572" i="7"/>
  <c r="E568" i="7"/>
  <c r="E541" i="7"/>
  <c r="E535" i="7"/>
  <c r="E146" i="7"/>
  <c r="E14" i="7"/>
  <c r="AK572" i="7"/>
  <c r="AK568" i="7"/>
  <c r="AK541" i="7"/>
  <c r="AK535" i="7"/>
  <c r="AK146" i="7"/>
  <c r="AK14" i="7"/>
  <c r="F572" i="7"/>
  <c r="F568" i="7"/>
  <c r="F541" i="7"/>
  <c r="F535" i="7"/>
  <c r="F146" i="7"/>
  <c r="F14" i="7"/>
  <c r="C7" i="7"/>
  <c r="C576" i="7"/>
  <c r="C572" i="7"/>
  <c r="C568" i="7"/>
  <c r="C541" i="7"/>
  <c r="C535" i="7"/>
  <c r="C146" i="7"/>
  <c r="AF572" i="7"/>
  <c r="AF568" i="7"/>
  <c r="AF541" i="7"/>
  <c r="AF535" i="7"/>
  <c r="AF146" i="7"/>
  <c r="AF14" i="7"/>
  <c r="AJ572" i="7"/>
  <c r="AJ568" i="7"/>
  <c r="AJ541" i="7"/>
  <c r="AJ535" i="7"/>
  <c r="AJ146" i="7"/>
  <c r="AJ14" i="7"/>
  <c r="H572" i="7"/>
  <c r="H568" i="7"/>
  <c r="H541" i="7"/>
  <c r="H535" i="7"/>
  <c r="H146" i="7"/>
  <c r="H14" i="7"/>
  <c r="AE572" i="7"/>
  <c r="AE568" i="7"/>
  <c r="AE541" i="7"/>
  <c r="AE535" i="7"/>
  <c r="AE146" i="7"/>
  <c r="AE14" i="7"/>
  <c r="AI572" i="7"/>
  <c r="AI568" i="7"/>
  <c r="AI541" i="7"/>
  <c r="AI535" i="7"/>
  <c r="AI146" i="7"/>
  <c r="AI14" i="7"/>
  <c r="N572" i="7"/>
  <c r="N568" i="7"/>
  <c r="N541" i="7"/>
  <c r="N535" i="7"/>
  <c r="N146" i="7"/>
  <c r="N14" i="7"/>
  <c r="K572" i="7"/>
  <c r="K568" i="7"/>
  <c r="K541" i="7"/>
  <c r="K535" i="7"/>
  <c r="K146" i="7"/>
  <c r="K14" i="7"/>
  <c r="V7" i="7"/>
  <c r="V572" i="7"/>
  <c r="V568" i="7"/>
  <c r="V541" i="7"/>
  <c r="V535" i="7"/>
  <c r="V146" i="7"/>
  <c r="V14" i="7"/>
  <c r="AG572" i="7"/>
  <c r="AG568" i="7"/>
  <c r="AG541" i="7"/>
  <c r="AG535" i="7"/>
  <c r="AG146" i="7"/>
  <c r="AG14" i="7"/>
  <c r="Z572" i="7"/>
  <c r="Z568" i="7"/>
  <c r="Z541" i="7"/>
  <c r="Z535" i="7"/>
  <c r="Z146" i="7"/>
  <c r="Z14" i="7"/>
  <c r="L572" i="7"/>
  <c r="L568" i="7"/>
  <c r="L541" i="7"/>
  <c r="L535" i="7"/>
  <c r="L146" i="7"/>
  <c r="L14" i="7"/>
  <c r="AD572" i="7"/>
  <c r="AD568" i="7"/>
  <c r="AD541" i="7"/>
  <c r="AD535" i="7"/>
  <c r="AD146" i="7"/>
  <c r="AD14" i="7"/>
  <c r="W572" i="7"/>
  <c r="W568" i="7"/>
  <c r="W541" i="7"/>
  <c r="W535" i="7"/>
  <c r="W146" i="7"/>
  <c r="W14" i="7"/>
  <c r="P572" i="7"/>
  <c r="P568" i="7"/>
  <c r="P541" i="7"/>
  <c r="P535" i="7"/>
  <c r="P146" i="7"/>
  <c r="P14" i="7"/>
  <c r="I572" i="7"/>
  <c r="I568" i="7"/>
  <c r="I541" i="7"/>
  <c r="I535" i="7"/>
  <c r="I146" i="7"/>
  <c r="I14" i="7"/>
  <c r="AO572" i="7"/>
  <c r="AO568" i="7"/>
  <c r="AO541" i="7"/>
  <c r="AO535" i="7"/>
  <c r="AO146" i="7"/>
  <c r="AO14" i="7"/>
  <c r="AL572" i="7"/>
  <c r="AL568" i="7"/>
  <c r="AL541" i="7"/>
  <c r="AL535" i="7"/>
  <c r="AL146" i="7"/>
  <c r="AL14" i="7"/>
  <c r="AA572" i="7"/>
  <c r="AA568" i="7"/>
  <c r="AA541" i="7"/>
  <c r="AA535" i="7"/>
  <c r="AA146" i="7"/>
  <c r="AA14" i="7"/>
  <c r="T572" i="7"/>
  <c r="T568" i="7"/>
  <c r="T541" i="7"/>
  <c r="T535" i="7"/>
  <c r="T146" i="7"/>
  <c r="T14" i="7"/>
  <c r="M572" i="7"/>
  <c r="M568" i="7"/>
  <c r="M541" i="7"/>
  <c r="M535" i="7"/>
  <c r="M146" i="7"/>
  <c r="M14" i="7"/>
  <c r="AH572" i="7"/>
  <c r="AH568" i="7"/>
  <c r="AH541" i="7"/>
  <c r="AH535" i="7"/>
  <c r="AH146" i="7"/>
  <c r="AH14" i="7"/>
  <c r="AL7" i="7"/>
  <c r="E7" i="7"/>
  <c r="P7" i="7"/>
  <c r="L7" i="7"/>
  <c r="J7" i="7"/>
  <c r="T7" i="7"/>
  <c r="AH7" i="7"/>
  <c r="AB7" i="7"/>
  <c r="X7" i="7"/>
  <c r="AK7" i="7"/>
  <c r="N7" i="7"/>
  <c r="AF7" i="7"/>
  <c r="AJ7" i="7"/>
  <c r="AN7" i="7"/>
  <c r="Z7" i="7"/>
  <c r="I7" i="7"/>
  <c r="AI7" i="7"/>
  <c r="AD7" i="7"/>
  <c r="M7" i="7"/>
  <c r="AP7" i="7"/>
  <c r="H7" i="7"/>
  <c r="S7" i="7"/>
  <c r="U7" i="7"/>
  <c r="AM7" i="7"/>
  <c r="AO7" i="7"/>
  <c r="R7" i="7"/>
  <c r="W7" i="7"/>
  <c r="Y7" i="7"/>
  <c r="K7" i="7"/>
  <c r="AA7" i="7"/>
  <c r="AC7" i="7"/>
  <c r="F7" i="7"/>
  <c r="O7" i="7"/>
  <c r="AE7" i="7"/>
  <c r="Q7" i="7"/>
  <c r="AG7" i="7"/>
  <c r="B239" i="7" l="1" a="1"/>
  <c r="D239" i="7" s="1"/>
  <c r="B199" i="7" a="1"/>
  <c r="D199" i="7" s="1"/>
  <c r="AL239" i="7" l="1"/>
  <c r="AG239" i="7"/>
  <c r="AA239" i="7"/>
  <c r="V239" i="7"/>
  <c r="Q239" i="7"/>
  <c r="K239" i="7"/>
  <c r="F239" i="7"/>
  <c r="AP199" i="7"/>
  <c r="AK199" i="7"/>
  <c r="AE199" i="7"/>
  <c r="Z199" i="7"/>
  <c r="U199" i="7"/>
  <c r="O199" i="7"/>
  <c r="J199" i="7"/>
  <c r="E199" i="7"/>
  <c r="AP239" i="7"/>
  <c r="AK239" i="7"/>
  <c r="AE239" i="7"/>
  <c r="Z239" i="7"/>
  <c r="U239" i="7"/>
  <c r="O239" i="7"/>
  <c r="J239" i="7"/>
  <c r="E239" i="7"/>
  <c r="AO199" i="7"/>
  <c r="AI199" i="7"/>
  <c r="AD199" i="7"/>
  <c r="Y199" i="7"/>
  <c r="S199" i="7"/>
  <c r="N199" i="7"/>
  <c r="I199" i="7"/>
  <c r="C199" i="7"/>
  <c r="AO239" i="7"/>
  <c r="AI239" i="7"/>
  <c r="AD239" i="7"/>
  <c r="Y239" i="7"/>
  <c r="S239" i="7"/>
  <c r="N239" i="7"/>
  <c r="I239" i="7"/>
  <c r="C239" i="7"/>
  <c r="AM199" i="7"/>
  <c r="AH199" i="7"/>
  <c r="AC199" i="7"/>
  <c r="W199" i="7"/>
  <c r="R199" i="7"/>
  <c r="M199" i="7"/>
  <c r="G199" i="7"/>
  <c r="B199" i="7"/>
  <c r="AM239" i="7"/>
  <c r="AH239" i="7"/>
  <c r="AC239" i="7"/>
  <c r="W239" i="7"/>
  <c r="R239" i="7"/>
  <c r="M239" i="7"/>
  <c r="G239" i="7"/>
  <c r="B239" i="7"/>
  <c r="AL199" i="7"/>
  <c r="AG199" i="7"/>
  <c r="AA199" i="7"/>
  <c r="V199" i="7"/>
  <c r="Q199" i="7"/>
  <c r="K199" i="7"/>
  <c r="F199" i="7"/>
  <c r="AN239" i="7"/>
  <c r="AJ239" i="7"/>
  <c r="AF239" i="7"/>
  <c r="AB239" i="7"/>
  <c r="X239" i="7"/>
  <c r="T239" i="7"/>
  <c r="P239" i="7"/>
  <c r="L239" i="7"/>
  <c r="H239" i="7"/>
  <c r="AN199" i="7"/>
  <c r="AJ199" i="7"/>
  <c r="AF199" i="7"/>
  <c r="AB199" i="7"/>
  <c r="X199" i="7"/>
  <c r="T199" i="7"/>
  <c r="P199" i="7"/>
  <c r="L199" i="7"/>
  <c r="H199" i="7"/>
  <c r="C2" i="7" l="1"/>
  <c r="C59" i="7" l="1"/>
  <c r="C607" i="7"/>
  <c r="C606" i="7"/>
  <c r="C609" i="7"/>
  <c r="C610" i="7" s="1"/>
  <c r="D2" i="7"/>
  <c r="C55" i="7"/>
  <c r="D609" i="7" l="1"/>
  <c r="D610" i="7" s="1"/>
  <c r="D607" i="7"/>
  <c r="D606" i="7"/>
  <c r="D59" i="7"/>
  <c r="E2" i="7"/>
  <c r="D55" i="7"/>
  <c r="P252" i="7"/>
  <c r="P251" i="7"/>
  <c r="P250" i="7"/>
  <c r="P249" i="7"/>
  <c r="P248" i="7"/>
  <c r="P388" i="7"/>
  <c r="P387" i="7"/>
  <c r="P386" i="7"/>
  <c r="P385" i="7"/>
  <c r="P384" i="7"/>
  <c r="G388" i="7"/>
  <c r="G387" i="7"/>
  <c r="G386" i="7"/>
  <c r="G385" i="7"/>
  <c r="G384" i="7"/>
  <c r="G383" i="7"/>
  <c r="G252" i="7"/>
  <c r="G251" i="7"/>
  <c r="G250" i="7"/>
  <c r="G249" i="7"/>
  <c r="G248" i="7"/>
  <c r="G247" i="7"/>
  <c r="E606" i="7" l="1"/>
  <c r="E609" i="7"/>
  <c r="E610" i="7" s="1"/>
  <c r="E607" i="7"/>
  <c r="E59" i="7"/>
  <c r="F2" i="7"/>
  <c r="E55" i="7"/>
  <c r="C145" i="1"/>
  <c r="B388" i="7" l="1"/>
  <c r="B252" i="7"/>
  <c r="F607" i="7"/>
  <c r="F606" i="7"/>
  <c r="F609" i="7"/>
  <c r="F610" i="7" s="1"/>
  <c r="F59" i="7"/>
  <c r="G2" i="7"/>
  <c r="F55" i="7"/>
  <c r="B429" i="7"/>
  <c r="B428" i="7"/>
  <c r="C421" i="7" a="1"/>
  <c r="D421" i="7" s="1"/>
  <c r="M388" i="7"/>
  <c r="M387" i="7"/>
  <c r="C285" i="7" a="1"/>
  <c r="D285" i="7" s="1"/>
  <c r="M252" i="7"/>
  <c r="M251" i="7"/>
  <c r="B251" i="7"/>
  <c r="G609" i="7" l="1"/>
  <c r="G610" i="7" s="1"/>
  <c r="G607" i="7"/>
  <c r="G606" i="7"/>
  <c r="G59" i="7"/>
  <c r="H2" i="7"/>
  <c r="G55" i="7"/>
  <c r="AM421" i="7"/>
  <c r="AI421" i="7"/>
  <c r="AE421" i="7"/>
  <c r="AA421" i="7"/>
  <c r="W421" i="7"/>
  <c r="S421" i="7"/>
  <c r="O421" i="7"/>
  <c r="K421" i="7"/>
  <c r="G421" i="7"/>
  <c r="C421" i="7"/>
  <c r="AP421" i="7"/>
  <c r="AL421" i="7"/>
  <c r="AH421" i="7"/>
  <c r="AD421" i="7"/>
  <c r="Z421" i="7"/>
  <c r="V421" i="7"/>
  <c r="R421" i="7"/>
  <c r="N421" i="7"/>
  <c r="J421" i="7"/>
  <c r="F421" i="7"/>
  <c r="AO421" i="7"/>
  <c r="AK421" i="7"/>
  <c r="AG421" i="7"/>
  <c r="AC421" i="7"/>
  <c r="Y421" i="7"/>
  <c r="U421" i="7"/>
  <c r="Q421" i="7"/>
  <c r="M421" i="7"/>
  <c r="I421" i="7"/>
  <c r="E421" i="7"/>
  <c r="AN421" i="7"/>
  <c r="AJ421" i="7"/>
  <c r="AF421" i="7"/>
  <c r="AB421" i="7"/>
  <c r="X421" i="7"/>
  <c r="T421" i="7"/>
  <c r="P421" i="7"/>
  <c r="L421" i="7"/>
  <c r="H421" i="7"/>
  <c r="AO285" i="7"/>
  <c r="AK285" i="7"/>
  <c r="AG285" i="7"/>
  <c r="AC285" i="7"/>
  <c r="Y285" i="7"/>
  <c r="U285" i="7"/>
  <c r="Q285" i="7"/>
  <c r="M285" i="7"/>
  <c r="I285" i="7"/>
  <c r="E285" i="7"/>
  <c r="AM285" i="7"/>
  <c r="AI285" i="7"/>
  <c r="AE285" i="7"/>
  <c r="AA285" i="7"/>
  <c r="W285" i="7"/>
  <c r="S285" i="7"/>
  <c r="O285" i="7"/>
  <c r="K285" i="7"/>
  <c r="G285" i="7"/>
  <c r="C285" i="7"/>
  <c r="AP285" i="7"/>
  <c r="AL285" i="7"/>
  <c r="AH285" i="7"/>
  <c r="AD285" i="7"/>
  <c r="Z285" i="7"/>
  <c r="V285" i="7"/>
  <c r="R285" i="7"/>
  <c r="N285" i="7"/>
  <c r="J285" i="7"/>
  <c r="F285" i="7"/>
  <c r="AN285" i="7"/>
  <c r="AJ285" i="7"/>
  <c r="AF285" i="7"/>
  <c r="AB285" i="7"/>
  <c r="X285" i="7"/>
  <c r="T285" i="7"/>
  <c r="P285" i="7"/>
  <c r="L285" i="7"/>
  <c r="H285" i="7"/>
  <c r="C43" i="7" a="1"/>
  <c r="E43" i="7" s="1"/>
  <c r="B285" i="7" l="1" a="1"/>
  <c r="B285" i="7" s="1"/>
  <c r="H609" i="7"/>
  <c r="H610" i="7" s="1"/>
  <c r="H607" i="7"/>
  <c r="H606" i="7"/>
  <c r="H59" i="7"/>
  <c r="I2" i="7"/>
  <c r="H55" i="7"/>
  <c r="B421" i="7" a="1"/>
  <c r="B421" i="7" s="1"/>
  <c r="AM43" i="7"/>
  <c r="AH43" i="7"/>
  <c r="AB43" i="7"/>
  <c r="W43" i="7"/>
  <c r="R43" i="7"/>
  <c r="L43" i="7"/>
  <c r="G43" i="7"/>
  <c r="AL43" i="7"/>
  <c r="AF43" i="7"/>
  <c r="AA43" i="7"/>
  <c r="V43" i="7"/>
  <c r="P43" i="7"/>
  <c r="K43" i="7"/>
  <c r="F43" i="7"/>
  <c r="AP43" i="7"/>
  <c r="AJ43" i="7"/>
  <c r="AE43" i="7"/>
  <c r="Z43" i="7"/>
  <c r="T43" i="7"/>
  <c r="O43" i="7"/>
  <c r="J43" i="7"/>
  <c r="D43" i="7"/>
  <c r="AN43" i="7"/>
  <c r="AI43" i="7"/>
  <c r="AD43" i="7"/>
  <c r="X43" i="7"/>
  <c r="S43" i="7"/>
  <c r="N43" i="7"/>
  <c r="H43" i="7"/>
  <c r="C43" i="7"/>
  <c r="AO43" i="7"/>
  <c r="AK43" i="7"/>
  <c r="AG43" i="7"/>
  <c r="AC43" i="7"/>
  <c r="Y43" i="7"/>
  <c r="U43" i="7"/>
  <c r="Q43" i="7"/>
  <c r="M43" i="7"/>
  <c r="I43" i="7"/>
  <c r="I606" i="7" l="1"/>
  <c r="I607" i="7"/>
  <c r="I609" i="7"/>
  <c r="I610" i="7" s="1"/>
  <c r="I59" i="7"/>
  <c r="J2" i="7"/>
  <c r="I55" i="7"/>
  <c r="B617" i="7" a="1"/>
  <c r="C617" i="7" s="1"/>
  <c r="B616" i="7" a="1"/>
  <c r="C616" i="7" s="1"/>
  <c r="B615" i="7" a="1"/>
  <c r="B615" i="7" s="1"/>
  <c r="J607" i="7" l="1"/>
  <c r="J606" i="7"/>
  <c r="J609" i="7"/>
  <c r="J610" i="7" s="1"/>
  <c r="J59" i="7"/>
  <c r="K2" i="7"/>
  <c r="J55" i="7"/>
  <c r="AO616" i="7"/>
  <c r="AG616" i="7"/>
  <c r="Y616" i="7"/>
  <c r="Q616" i="7"/>
  <c r="AL616" i="7"/>
  <c r="AD616" i="7"/>
  <c r="V616" i="7"/>
  <c r="N616" i="7"/>
  <c r="F616" i="7"/>
  <c r="AK616" i="7"/>
  <c r="AC616" i="7"/>
  <c r="U616" i="7"/>
  <c r="M616" i="7"/>
  <c r="E616" i="7"/>
  <c r="AP616" i="7"/>
  <c r="AH616" i="7"/>
  <c r="Z616" i="7"/>
  <c r="R616" i="7"/>
  <c r="J616" i="7"/>
  <c r="B616" i="7"/>
  <c r="I616" i="7"/>
  <c r="AL617" i="7"/>
  <c r="AD617" i="7"/>
  <c r="V617" i="7"/>
  <c r="N617" i="7"/>
  <c r="F617" i="7"/>
  <c r="AK617" i="7"/>
  <c r="AC617" i="7"/>
  <c r="U617" i="7"/>
  <c r="M617" i="7"/>
  <c r="E617" i="7"/>
  <c r="AN617" i="7"/>
  <c r="AJ617" i="7"/>
  <c r="AF617" i="7"/>
  <c r="AB617" i="7"/>
  <c r="X617" i="7"/>
  <c r="T617" i="7"/>
  <c r="P617" i="7"/>
  <c r="L617" i="7"/>
  <c r="H617" i="7"/>
  <c r="D617" i="7"/>
  <c r="AP617" i="7"/>
  <c r="AH617" i="7"/>
  <c r="Z617" i="7"/>
  <c r="R617" i="7"/>
  <c r="J617" i="7"/>
  <c r="B617" i="7"/>
  <c r="C614" i="7" s="1"/>
  <c r="AO617" i="7"/>
  <c r="AG617" i="7"/>
  <c r="Y617" i="7"/>
  <c r="Q617" i="7"/>
  <c r="I617" i="7"/>
  <c r="AM617" i="7"/>
  <c r="AI617" i="7"/>
  <c r="AE617" i="7"/>
  <c r="AA617" i="7"/>
  <c r="W617" i="7"/>
  <c r="S617" i="7"/>
  <c r="O617" i="7"/>
  <c r="K617" i="7"/>
  <c r="G617" i="7"/>
  <c r="AN616" i="7"/>
  <c r="AJ616" i="7"/>
  <c r="AF616" i="7"/>
  <c r="AB616" i="7"/>
  <c r="X616" i="7"/>
  <c r="T616" i="7"/>
  <c r="P616" i="7"/>
  <c r="L616" i="7"/>
  <c r="H616" i="7"/>
  <c r="D616" i="7"/>
  <c r="AM616" i="7"/>
  <c r="AI616" i="7"/>
  <c r="AE616" i="7"/>
  <c r="AA616" i="7"/>
  <c r="W616" i="7"/>
  <c r="S616" i="7"/>
  <c r="O616" i="7"/>
  <c r="K616" i="7"/>
  <c r="G616" i="7"/>
  <c r="AN615" i="7"/>
  <c r="AF615" i="7"/>
  <c r="X615" i="7"/>
  <c r="P615" i="7"/>
  <c r="H615" i="7"/>
  <c r="AM615" i="7"/>
  <c r="AE615" i="7"/>
  <c r="AA615" i="7"/>
  <c r="W615" i="7"/>
  <c r="S615" i="7"/>
  <c r="O615" i="7"/>
  <c r="K615" i="7"/>
  <c r="G615" i="7"/>
  <c r="C615" i="7"/>
  <c r="AO615" i="7"/>
  <c r="AK615" i="7"/>
  <c r="AG615" i="7"/>
  <c r="AC615" i="7"/>
  <c r="Y615" i="7"/>
  <c r="U615" i="7"/>
  <c r="Q615" i="7"/>
  <c r="M615" i="7"/>
  <c r="I615" i="7"/>
  <c r="E615" i="7"/>
  <c r="AJ615" i="7"/>
  <c r="AB615" i="7"/>
  <c r="T615" i="7"/>
  <c r="L615" i="7"/>
  <c r="D615" i="7"/>
  <c r="AI615" i="7"/>
  <c r="AP615" i="7"/>
  <c r="AL615" i="7"/>
  <c r="AH615" i="7"/>
  <c r="AD615" i="7"/>
  <c r="Z615" i="7"/>
  <c r="V615" i="7"/>
  <c r="R615" i="7"/>
  <c r="N615" i="7"/>
  <c r="J615" i="7"/>
  <c r="F615" i="7"/>
  <c r="K607" i="7" l="1"/>
  <c r="K609" i="7"/>
  <c r="K610" i="7" s="1"/>
  <c r="K606" i="7"/>
  <c r="K59" i="7"/>
  <c r="L2" i="7"/>
  <c r="K55" i="7"/>
  <c r="L609" i="7" l="1"/>
  <c r="L610" i="7" s="1"/>
  <c r="L607" i="7"/>
  <c r="L606" i="7"/>
  <c r="L59" i="7"/>
  <c r="M2" i="7"/>
  <c r="L55" i="7"/>
  <c r="M606" i="7" l="1"/>
  <c r="M607" i="7"/>
  <c r="M609" i="7"/>
  <c r="M610" i="7" s="1"/>
  <c r="M59" i="7"/>
  <c r="N2" i="7"/>
  <c r="M55" i="7"/>
  <c r="N609" i="7" l="1"/>
  <c r="N610" i="7" s="1"/>
  <c r="N607" i="7"/>
  <c r="N606" i="7"/>
  <c r="N59" i="7"/>
  <c r="O2" i="7"/>
  <c r="N55" i="7"/>
  <c r="O609" i="7" l="1"/>
  <c r="O610" i="7" s="1"/>
  <c r="O607" i="7"/>
  <c r="O606" i="7"/>
  <c r="O59" i="7"/>
  <c r="P2" i="7"/>
  <c r="O55" i="7"/>
  <c r="B16" i="7" a="1"/>
  <c r="C16" i="7" s="1"/>
  <c r="B629" i="7" s="1"/>
  <c r="B627" i="7" s="1"/>
  <c r="B15" i="7" a="1"/>
  <c r="C15" i="7" s="1"/>
  <c r="B594" i="7" l="1"/>
  <c r="B595" i="7" s="1"/>
  <c r="B597" i="7" s="1"/>
  <c r="B92" i="7"/>
  <c r="P609" i="7"/>
  <c r="P610" i="7" s="1"/>
  <c r="P607" i="7"/>
  <c r="P606" i="7"/>
  <c r="P59" i="7"/>
  <c r="Q2" i="7"/>
  <c r="P55" i="7"/>
  <c r="V16" i="7"/>
  <c r="U629" i="7" s="1"/>
  <c r="AG16" i="7"/>
  <c r="AF629" i="7" s="1"/>
  <c r="AD15" i="7"/>
  <c r="N15" i="7"/>
  <c r="M16" i="7"/>
  <c r="L629" i="7" s="1"/>
  <c r="AP15" i="7"/>
  <c r="Z15" i="7"/>
  <c r="J15" i="7"/>
  <c r="AO16" i="7"/>
  <c r="AN629" i="7" s="1"/>
  <c r="AD16" i="7"/>
  <c r="AC629" i="7" s="1"/>
  <c r="U16" i="7"/>
  <c r="T629" i="7" s="1"/>
  <c r="I16" i="7"/>
  <c r="H629" i="7" s="1"/>
  <c r="AL15" i="7"/>
  <c r="V15" i="7"/>
  <c r="F15" i="7"/>
  <c r="AL16" i="7"/>
  <c r="AK629" i="7" s="1"/>
  <c r="AC16" i="7"/>
  <c r="AB629" i="7" s="1"/>
  <c r="Q16" i="7"/>
  <c r="P629" i="7" s="1"/>
  <c r="F16" i="7"/>
  <c r="E629" i="7" s="1"/>
  <c r="AH15" i="7"/>
  <c r="R15" i="7"/>
  <c r="B15" i="7"/>
  <c r="AK16" i="7"/>
  <c r="AJ629" i="7" s="1"/>
  <c r="Y16" i="7"/>
  <c r="X629" i="7" s="1"/>
  <c r="N16" i="7"/>
  <c r="M629" i="7" s="1"/>
  <c r="E16" i="7"/>
  <c r="D629" i="7" s="1"/>
  <c r="AN15" i="7"/>
  <c r="AJ15" i="7"/>
  <c r="AF15" i="7"/>
  <c r="AB15" i="7"/>
  <c r="X15" i="7"/>
  <c r="T15" i="7"/>
  <c r="P15" i="7"/>
  <c r="L15" i="7"/>
  <c r="H15" i="7"/>
  <c r="D15" i="7"/>
  <c r="AP16" i="7"/>
  <c r="AO629" i="7" s="1"/>
  <c r="AH16" i="7"/>
  <c r="AG629" i="7" s="1"/>
  <c r="Z16" i="7"/>
  <c r="Y629" i="7" s="1"/>
  <c r="R16" i="7"/>
  <c r="Q629" i="7" s="1"/>
  <c r="J16" i="7"/>
  <c r="I629" i="7" s="1"/>
  <c r="B16" i="7"/>
  <c r="AO15" i="7"/>
  <c r="AK15" i="7"/>
  <c r="AG15" i="7"/>
  <c r="AC15" i="7"/>
  <c r="Y15" i="7"/>
  <c r="U15" i="7"/>
  <c r="Q15" i="7"/>
  <c r="M15" i="7"/>
  <c r="I15" i="7"/>
  <c r="E15" i="7"/>
  <c r="AM15" i="7"/>
  <c r="AI15" i="7"/>
  <c r="AE15" i="7"/>
  <c r="AA15" i="7"/>
  <c r="W15" i="7"/>
  <c r="S15" i="7"/>
  <c r="O15" i="7"/>
  <c r="K15" i="7"/>
  <c r="G15" i="7"/>
  <c r="AN16" i="7"/>
  <c r="AM629" i="7" s="1"/>
  <c r="AJ16" i="7"/>
  <c r="AI629" i="7" s="1"/>
  <c r="AF16" i="7"/>
  <c r="AE629" i="7" s="1"/>
  <c r="AB16" i="7"/>
  <c r="AA629" i="7" s="1"/>
  <c r="X16" i="7"/>
  <c r="W629" i="7" s="1"/>
  <c r="T16" i="7"/>
  <c r="S629" i="7" s="1"/>
  <c r="P16" i="7"/>
  <c r="O629" i="7" s="1"/>
  <c r="L16" i="7"/>
  <c r="K629" i="7" s="1"/>
  <c r="H16" i="7"/>
  <c r="G629" i="7" s="1"/>
  <c r="D16" i="7"/>
  <c r="C629" i="7" s="1"/>
  <c r="AM16" i="7"/>
  <c r="AL629" i="7" s="1"/>
  <c r="AI16" i="7"/>
  <c r="AH629" i="7" s="1"/>
  <c r="AE16" i="7"/>
  <c r="AD629" i="7" s="1"/>
  <c r="AA16" i="7"/>
  <c r="Z629" i="7" s="1"/>
  <c r="W16" i="7"/>
  <c r="V629" i="7" s="1"/>
  <c r="S16" i="7"/>
  <c r="R629" i="7" s="1"/>
  <c r="O16" i="7"/>
  <c r="N629" i="7" s="1"/>
  <c r="K16" i="7"/>
  <c r="J629" i="7" s="1"/>
  <c r="G16" i="7"/>
  <c r="F629" i="7" s="1"/>
  <c r="Q606" i="7" l="1"/>
  <c r="Q609" i="7"/>
  <c r="Q610" i="7" s="1"/>
  <c r="Q607" i="7"/>
  <c r="Q59" i="7"/>
  <c r="R2" i="7"/>
  <c r="Q55" i="7"/>
  <c r="AJ145" i="7"/>
  <c r="G145" i="7"/>
  <c r="AM145" i="7"/>
  <c r="P145" i="7"/>
  <c r="AF145" i="7"/>
  <c r="R145" i="7"/>
  <c r="Y145" i="7"/>
  <c r="AL145" i="7"/>
  <c r="K145" i="7"/>
  <c r="D145" i="7"/>
  <c r="T145" i="7"/>
  <c r="Z145" i="7"/>
  <c r="AK145" i="7"/>
  <c r="O145" i="7"/>
  <c r="H145" i="7"/>
  <c r="AN145" i="7"/>
  <c r="E145" i="7"/>
  <c r="Q145" i="7"/>
  <c r="AD145" i="7"/>
  <c r="AG145" i="7"/>
  <c r="W145" i="7"/>
  <c r="I145" i="7"/>
  <c r="AA145" i="7"/>
  <c r="F145" i="7"/>
  <c r="U145" i="7"/>
  <c r="AE145" i="7"/>
  <c r="X145" i="7"/>
  <c r="AH145" i="7"/>
  <c r="S145" i="7"/>
  <c r="AI145" i="7"/>
  <c r="L145" i="7"/>
  <c r="AB145" i="7"/>
  <c r="J145" i="7"/>
  <c r="AP145" i="7"/>
  <c r="N145" i="7"/>
  <c r="AC145" i="7"/>
  <c r="AO145" i="7"/>
  <c r="M145" i="7"/>
  <c r="V145" i="7"/>
  <c r="D147" i="1"/>
  <c r="R607" i="7" l="1"/>
  <c r="R606" i="7"/>
  <c r="R609" i="7"/>
  <c r="R610" i="7" s="1"/>
  <c r="R59" i="7"/>
  <c r="S2" i="7"/>
  <c r="R55" i="7"/>
  <c r="E147" i="1"/>
  <c r="S609" i="7" l="1"/>
  <c r="S610" i="7" s="1"/>
  <c r="S607" i="7"/>
  <c r="S606" i="7"/>
  <c r="S59" i="7"/>
  <c r="F147" i="1"/>
  <c r="G147" i="1" s="1"/>
  <c r="T2" i="7"/>
  <c r="S55" i="7"/>
  <c r="B83" i="7"/>
  <c r="T609" i="7" l="1"/>
  <c r="T610" i="7" s="1"/>
  <c r="T607" i="7"/>
  <c r="T606" i="7"/>
  <c r="T59" i="7"/>
  <c r="U2" i="7"/>
  <c r="T55" i="7"/>
  <c r="H147" i="1"/>
  <c r="B82" i="7"/>
  <c r="U606" i="7" l="1"/>
  <c r="U600" i="7"/>
  <c r="U601" i="7" s="1"/>
  <c r="U588" i="7"/>
  <c r="U605" i="7"/>
  <c r="U587" i="7" s="1"/>
  <c r="U609" i="7"/>
  <c r="U610" i="7" s="1"/>
  <c r="U607" i="7"/>
  <c r="U589" i="7" s="1"/>
  <c r="U59" i="7"/>
  <c r="V2" i="7"/>
  <c r="U55" i="7"/>
  <c r="I147" i="1"/>
  <c r="V607" i="7" l="1"/>
  <c r="V589" i="7" s="1"/>
  <c r="V606" i="7"/>
  <c r="V600" i="7"/>
  <c r="V601" i="7" s="1"/>
  <c r="V609" i="7"/>
  <c r="V610" i="7" s="1"/>
  <c r="V605" i="7"/>
  <c r="V587" i="7" s="1"/>
  <c r="V588" i="7"/>
  <c r="V59" i="7"/>
  <c r="W2" i="7"/>
  <c r="V55" i="7"/>
  <c r="J147" i="1"/>
  <c r="M382" i="7"/>
  <c r="B409" i="7"/>
  <c r="B408" i="7"/>
  <c r="B406" i="7"/>
  <c r="B270" i="7"/>
  <c r="B403" i="7"/>
  <c r="B402" i="7"/>
  <c r="B401" i="7"/>
  <c r="B400" i="7"/>
  <c r="B267" i="7"/>
  <c r="B266" i="7"/>
  <c r="B265" i="7"/>
  <c r="B273" i="7"/>
  <c r="B272" i="7"/>
  <c r="W609" i="7" l="1"/>
  <c r="W610" i="7" s="1"/>
  <c r="W605" i="7"/>
  <c r="W587" i="7" s="1"/>
  <c r="W607" i="7"/>
  <c r="W589" i="7" s="1"/>
  <c r="W606" i="7"/>
  <c r="W600" i="7"/>
  <c r="W601" i="7" s="1"/>
  <c r="W588" i="7"/>
  <c r="W59" i="7"/>
  <c r="X2" i="7"/>
  <c r="W55" i="7"/>
  <c r="K147" i="1"/>
  <c r="F9" i="1"/>
  <c r="X609" i="7" l="1"/>
  <c r="X610" i="7" s="1"/>
  <c r="X605" i="7"/>
  <c r="X587" i="7" s="1"/>
  <c r="X607" i="7"/>
  <c r="X589" i="7" s="1"/>
  <c r="X606" i="7"/>
  <c r="X600" i="7"/>
  <c r="X601" i="7" s="1"/>
  <c r="X588" i="7"/>
  <c r="X59" i="7"/>
  <c r="Y2" i="7"/>
  <c r="X55" i="7"/>
  <c r="L147" i="1"/>
  <c r="B635" i="7"/>
  <c r="B93" i="7"/>
  <c r="Y606" i="7" l="1"/>
  <c r="Y600" i="7"/>
  <c r="Y601" i="7" s="1"/>
  <c r="Y588" i="7"/>
  <c r="Y605" i="7"/>
  <c r="Y587" i="7" s="1"/>
  <c r="Y607" i="7"/>
  <c r="Y589" i="7" s="1"/>
  <c r="Y609" i="7"/>
  <c r="Y610" i="7" s="1"/>
  <c r="Y59" i="7"/>
  <c r="Z2" i="7"/>
  <c r="Y55" i="7"/>
  <c r="M147" i="1"/>
  <c r="F10" i="1"/>
  <c r="B84" i="7"/>
  <c r="B81" i="7"/>
  <c r="Z600" i="7" l="1"/>
  <c r="Z601" i="7" s="1"/>
  <c r="Z588" i="7"/>
  <c r="Z609" i="7"/>
  <c r="Z610" i="7" s="1"/>
  <c r="Z605" i="7"/>
  <c r="Z587" i="7" s="1"/>
  <c r="Z607" i="7"/>
  <c r="Z589" i="7" s="1"/>
  <c r="Z606" i="7"/>
  <c r="Z59" i="7"/>
  <c r="AA2" i="7"/>
  <c r="Z55" i="7"/>
  <c r="N147" i="1"/>
  <c r="G84" i="1"/>
  <c r="G83" i="1"/>
  <c r="G82" i="1"/>
  <c r="G81" i="1"/>
  <c r="G80" i="1"/>
  <c r="AA609" i="7" l="1"/>
  <c r="AA610" i="7" s="1"/>
  <c r="AA605" i="7"/>
  <c r="AA587" i="7" s="1"/>
  <c r="AA607" i="7"/>
  <c r="AA589" i="7" s="1"/>
  <c r="AA606" i="7"/>
  <c r="AA600" i="7"/>
  <c r="AA601" i="7" s="1"/>
  <c r="AA588" i="7"/>
  <c r="AA59" i="7"/>
  <c r="AB2" i="7"/>
  <c r="AA621" i="7"/>
  <c r="AA627" i="7"/>
  <c r="AA55" i="7"/>
  <c r="O147" i="1"/>
  <c r="B386" i="7"/>
  <c r="B385" i="7"/>
  <c r="B250" i="7"/>
  <c r="B249" i="7"/>
  <c r="B383" i="7"/>
  <c r="B248" i="7"/>
  <c r="B382" i="7"/>
  <c r="B247" i="7"/>
  <c r="B246" i="7"/>
  <c r="B384" i="7"/>
  <c r="B387" i="7"/>
  <c r="C144" i="1"/>
  <c r="H80" i="1"/>
  <c r="I80" i="1" s="1"/>
  <c r="H82" i="1"/>
  <c r="I82" i="1" s="1"/>
  <c r="H83" i="1"/>
  <c r="I83" i="1" s="1"/>
  <c r="H84" i="1"/>
  <c r="I84" i="1" s="1"/>
  <c r="H81" i="1"/>
  <c r="I81" i="1" s="1"/>
  <c r="G85" i="1"/>
  <c r="AB28" i="7" l="1"/>
  <c r="AB609" i="7"/>
  <c r="AB610" i="7" s="1"/>
  <c r="AB605" i="7"/>
  <c r="AB587" i="7" s="1"/>
  <c r="AB607" i="7"/>
  <c r="AB589" i="7" s="1"/>
  <c r="AB606" i="7"/>
  <c r="AB600" i="7"/>
  <c r="AB601" i="7" s="1"/>
  <c r="AB588" i="7"/>
  <c r="AB30" i="7"/>
  <c r="AB59" i="7"/>
  <c r="AC2" i="7"/>
  <c r="AC28" i="7" s="1"/>
  <c r="AB621" i="7"/>
  <c r="AB627" i="7"/>
  <c r="AB55" i="7"/>
  <c r="B253" i="7"/>
  <c r="B389" i="7"/>
  <c r="P147" i="1"/>
  <c r="H85" i="1"/>
  <c r="I85" i="1"/>
  <c r="B85" i="7" s="1"/>
  <c r="C41" i="1"/>
  <c r="B161" i="7" l="1"/>
  <c r="B162" i="7" s="1"/>
  <c r="B160" i="7"/>
  <c r="AC606" i="7"/>
  <c r="AC600" i="7"/>
  <c r="AC601" i="7" s="1"/>
  <c r="AC588" i="7"/>
  <c r="AC607" i="7"/>
  <c r="AC589" i="7" s="1"/>
  <c r="AC609" i="7"/>
  <c r="AC610" i="7" s="1"/>
  <c r="AC605" i="7"/>
  <c r="AC587" i="7" s="1"/>
  <c r="AC59" i="7"/>
  <c r="AC30" i="7"/>
  <c r="AD2" i="7"/>
  <c r="AD28" i="7" s="1"/>
  <c r="AC627" i="7"/>
  <c r="AC621" i="7"/>
  <c r="AC55" i="7"/>
  <c r="Q147" i="1"/>
  <c r="G42" i="4"/>
  <c r="G3" i="4"/>
  <c r="AD588" i="7" l="1"/>
  <c r="AD607" i="7"/>
  <c r="AD589" i="7" s="1"/>
  <c r="AD606" i="7"/>
  <c r="AD609" i="7"/>
  <c r="AD610" i="7" s="1"/>
  <c r="AD605" i="7"/>
  <c r="AD587" i="7" s="1"/>
  <c r="AD600" i="7"/>
  <c r="AD601" i="7" s="1"/>
  <c r="AD30" i="7"/>
  <c r="AD59" i="7"/>
  <c r="AE2" i="7"/>
  <c r="AE28" i="7" s="1"/>
  <c r="AD627" i="7"/>
  <c r="AD621" i="7"/>
  <c r="AD55" i="7"/>
  <c r="R147" i="1"/>
  <c r="C559" i="7"/>
  <c r="C560" i="7"/>
  <c r="C561" i="7"/>
  <c r="C562" i="7"/>
  <c r="C552" i="7"/>
  <c r="B264" i="7" s="1"/>
  <c r="C553" i="7"/>
  <c r="C180" i="7" s="1"/>
  <c r="C554" i="7"/>
  <c r="C181" i="7" s="1"/>
  <c r="C555" i="7"/>
  <c r="C182" i="7" s="1"/>
  <c r="AE609" i="7" l="1"/>
  <c r="AE610" i="7" s="1"/>
  <c r="AE605" i="7"/>
  <c r="AE587" i="7" s="1"/>
  <c r="AE607" i="7"/>
  <c r="AE589" i="7" s="1"/>
  <c r="AE606" i="7"/>
  <c r="AE600" i="7"/>
  <c r="AE601" i="7" s="1"/>
  <c r="AE588" i="7"/>
  <c r="AE59" i="7"/>
  <c r="AE30" i="7"/>
  <c r="C228" i="7"/>
  <c r="C188" i="7"/>
  <c r="C227" i="7"/>
  <c r="C187" i="7"/>
  <c r="C226" i="7"/>
  <c r="C186" i="7"/>
  <c r="C185" i="7"/>
  <c r="C225" i="7"/>
  <c r="AF2" i="7"/>
  <c r="AF28" i="7" s="1"/>
  <c r="AE621" i="7"/>
  <c r="AE627" i="7"/>
  <c r="AE55" i="7"/>
  <c r="S147" i="1"/>
  <c r="B271" i="7"/>
  <c r="B274" i="7" s="1"/>
  <c r="E253" i="7" s="1"/>
  <c r="E252" i="7" s="1"/>
  <c r="B407" i="7"/>
  <c r="C556" i="7"/>
  <c r="C563" i="7"/>
  <c r="B87" i="7" s="1"/>
  <c r="C219" i="7"/>
  <c r="C221" i="7"/>
  <c r="C179" i="7"/>
  <c r="C220" i="7"/>
  <c r="C222" i="7"/>
  <c r="AF609" i="7" l="1"/>
  <c r="AF610" i="7" s="1"/>
  <c r="AF605" i="7"/>
  <c r="AF587" i="7" s="1"/>
  <c r="AF607" i="7"/>
  <c r="AF589" i="7" s="1"/>
  <c r="AF606" i="7"/>
  <c r="AF600" i="7"/>
  <c r="AF601" i="7" s="1"/>
  <c r="AF588" i="7"/>
  <c r="AF59" i="7"/>
  <c r="AF30" i="7"/>
  <c r="AG2" i="7"/>
  <c r="AG28" i="7" s="1"/>
  <c r="AF627" i="7"/>
  <c r="AF621" i="7"/>
  <c r="AF55" i="7"/>
  <c r="T147" i="1"/>
  <c r="B107" i="7"/>
  <c r="C229" i="7"/>
  <c r="C54" i="1"/>
  <c r="C49" i="1"/>
  <c r="C30" i="7" l="1"/>
  <c r="D30" i="7"/>
  <c r="E30" i="7"/>
  <c r="F30" i="7"/>
  <c r="G30" i="7"/>
  <c r="H30" i="7"/>
  <c r="I30" i="7"/>
  <c r="J30" i="7"/>
  <c r="K30" i="7"/>
  <c r="L30" i="7"/>
  <c r="M30" i="7"/>
  <c r="N30" i="7"/>
  <c r="O30" i="7"/>
  <c r="P30" i="7"/>
  <c r="Q30" i="7"/>
  <c r="R30" i="7"/>
  <c r="S30" i="7"/>
  <c r="T30" i="7"/>
  <c r="U30" i="7"/>
  <c r="V30" i="7"/>
  <c r="W30" i="7"/>
  <c r="X30" i="7"/>
  <c r="Y30" i="7"/>
  <c r="Z30" i="7"/>
  <c r="AA30" i="7"/>
  <c r="AG606" i="7"/>
  <c r="AG600" i="7"/>
  <c r="AG601" i="7" s="1"/>
  <c r="AG588" i="7"/>
  <c r="AG605" i="7"/>
  <c r="AG587" i="7" s="1"/>
  <c r="AG609" i="7"/>
  <c r="AG610" i="7" s="1"/>
  <c r="AG607" i="7"/>
  <c r="AG589" i="7" s="1"/>
  <c r="AG59" i="7"/>
  <c r="AG30" i="7"/>
  <c r="AH2" i="7"/>
  <c r="AH28" i="7" s="1"/>
  <c r="AG627" i="7"/>
  <c r="AG621" i="7"/>
  <c r="AG55" i="7"/>
  <c r="U147" i="1"/>
  <c r="B397" i="7"/>
  <c r="B396" i="7"/>
  <c r="B395" i="7"/>
  <c r="B394" i="7"/>
  <c r="B261" i="7"/>
  <c r="B260" i="7"/>
  <c r="B259" i="7"/>
  <c r="B258"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H606" i="7" l="1"/>
  <c r="AH600" i="7"/>
  <c r="AH601" i="7" s="1"/>
  <c r="AH609" i="7"/>
  <c r="AH610" i="7" s="1"/>
  <c r="AH605" i="7"/>
  <c r="AH587" i="7" s="1"/>
  <c r="AH607" i="7"/>
  <c r="AH589" i="7" s="1"/>
  <c r="AH588" i="7"/>
  <c r="AH59" i="7"/>
  <c r="AH30" i="7"/>
  <c r="B262" i="7"/>
  <c r="AI2" i="7"/>
  <c r="AI28" i="7" s="1"/>
  <c r="AH627" i="7"/>
  <c r="AH621" i="7"/>
  <c r="AH55" i="7"/>
  <c r="V147" i="1"/>
  <c r="AI609" i="7" l="1"/>
  <c r="AI610" i="7" s="1"/>
  <c r="AI605" i="7"/>
  <c r="AI587" i="7" s="1"/>
  <c r="AI607" i="7"/>
  <c r="AI589" i="7" s="1"/>
  <c r="AI606" i="7"/>
  <c r="AI600" i="7"/>
  <c r="AI601" i="7" s="1"/>
  <c r="AI588" i="7"/>
  <c r="AI59" i="7"/>
  <c r="AI30" i="7"/>
  <c r="AJ2" i="7"/>
  <c r="AJ28" i="7" s="1"/>
  <c r="AI621" i="7"/>
  <c r="AI627" i="7"/>
  <c r="AI55" i="7"/>
  <c r="C60" i="7"/>
  <c r="W147" i="1"/>
  <c r="C628" i="7"/>
  <c r="C539" i="7"/>
  <c r="C533" i="7"/>
  <c r="C579" i="7"/>
  <c r="C575" i="7"/>
  <c r="C571" i="7"/>
  <c r="C567" i="7"/>
  <c r="C37" i="7"/>
  <c r="C41" i="7"/>
  <c r="C42" i="7" s="1"/>
  <c r="C34" i="7"/>
  <c r="C596" i="7"/>
  <c r="D596" i="7" s="1"/>
  <c r="C145" i="7"/>
  <c r="C703" i="7"/>
  <c r="C671" i="7"/>
  <c r="C639" i="7"/>
  <c r="C27" i="7"/>
  <c r="C61" i="7"/>
  <c r="AJ609" i="7" l="1"/>
  <c r="AJ610" i="7" s="1"/>
  <c r="AJ605" i="7"/>
  <c r="AJ587" i="7" s="1"/>
  <c r="AJ607" i="7"/>
  <c r="AJ589" i="7" s="1"/>
  <c r="AJ606" i="7"/>
  <c r="AJ600" i="7"/>
  <c r="AJ601" i="7" s="1"/>
  <c r="AJ588" i="7"/>
  <c r="AJ59" i="7"/>
  <c r="AJ30" i="7"/>
  <c r="AK2" i="7"/>
  <c r="AK28" i="7" s="1"/>
  <c r="AJ627" i="7"/>
  <c r="AJ621" i="7"/>
  <c r="AJ55" i="7"/>
  <c r="D60" i="7"/>
  <c r="X147" i="1"/>
  <c r="D628" i="7"/>
  <c r="D579" i="7"/>
  <c r="D575" i="7"/>
  <c r="D571" i="7"/>
  <c r="D567" i="7"/>
  <c r="D539" i="7"/>
  <c r="D533" i="7"/>
  <c r="D37" i="7"/>
  <c r="D41" i="7"/>
  <c r="D34" i="7"/>
  <c r="E596" i="7"/>
  <c r="D703" i="7"/>
  <c r="D671" i="7"/>
  <c r="D639" i="7"/>
  <c r="D27" i="7"/>
  <c r="D61" i="7"/>
  <c r="AK606" i="7" l="1"/>
  <c r="AK600" i="7"/>
  <c r="AK601" i="7" s="1"/>
  <c r="AK588" i="7"/>
  <c r="AK609" i="7"/>
  <c r="AK610" i="7" s="1"/>
  <c r="AK605" i="7"/>
  <c r="AK587" i="7" s="1"/>
  <c r="AK607" i="7"/>
  <c r="AK589" i="7" s="1"/>
  <c r="AK59" i="7"/>
  <c r="AK30" i="7"/>
  <c r="AL2" i="7"/>
  <c r="AL28" i="7" s="1"/>
  <c r="AK627" i="7"/>
  <c r="AK621" i="7"/>
  <c r="AK55" i="7"/>
  <c r="E60" i="7"/>
  <c r="Y147" i="1"/>
  <c r="E628" i="7"/>
  <c r="E539" i="7"/>
  <c r="E533" i="7"/>
  <c r="E579" i="7"/>
  <c r="E575" i="7"/>
  <c r="E571" i="7"/>
  <c r="E567" i="7"/>
  <c r="E37" i="7"/>
  <c r="E41" i="7"/>
  <c r="E34" i="7"/>
  <c r="F596" i="7"/>
  <c r="E703" i="7"/>
  <c r="E671" i="7"/>
  <c r="E639" i="7"/>
  <c r="E61" i="7"/>
  <c r="E27" i="7"/>
  <c r="D93" i="1"/>
  <c r="D95" i="1"/>
  <c r="D94" i="1"/>
  <c r="AL607" i="7" l="1"/>
  <c r="AL589" i="7" s="1"/>
  <c r="AL600" i="7"/>
  <c r="AL601" i="7" s="1"/>
  <c r="AL588" i="7"/>
  <c r="AL609" i="7"/>
  <c r="AL610" i="7" s="1"/>
  <c r="AL605" i="7"/>
  <c r="AL587" i="7" s="1"/>
  <c r="AL606" i="7"/>
  <c r="AL59" i="7"/>
  <c r="AL30" i="7"/>
  <c r="AM2" i="7"/>
  <c r="AM28" i="7" s="1"/>
  <c r="AL627" i="7"/>
  <c r="AL621" i="7"/>
  <c r="AL55" i="7"/>
  <c r="F60" i="7"/>
  <c r="Z147" i="1"/>
  <c r="F628" i="7"/>
  <c r="F533" i="7"/>
  <c r="F579" i="7"/>
  <c r="F575" i="7"/>
  <c r="F571" i="7"/>
  <c r="F567" i="7"/>
  <c r="F539" i="7"/>
  <c r="F37" i="7"/>
  <c r="F41" i="7"/>
  <c r="F34" i="7"/>
  <c r="G596" i="7"/>
  <c r="F671" i="7"/>
  <c r="F703" i="7"/>
  <c r="F639" i="7"/>
  <c r="F61" i="7"/>
  <c r="F27" i="7"/>
  <c r="AP623" i="7"/>
  <c r="AM609" i="7" l="1"/>
  <c r="AM610" i="7" s="1"/>
  <c r="AM605" i="7"/>
  <c r="AM587" i="7" s="1"/>
  <c r="AM607" i="7"/>
  <c r="AM589" i="7" s="1"/>
  <c r="AM606" i="7"/>
  <c r="AM600" i="7"/>
  <c r="AM601" i="7" s="1"/>
  <c r="AM588" i="7"/>
  <c r="AM59" i="7"/>
  <c r="AM30" i="7"/>
  <c r="AN2" i="7"/>
  <c r="AN28" i="7" s="1"/>
  <c r="AM621" i="7"/>
  <c r="AM627" i="7"/>
  <c r="AM55" i="7"/>
  <c r="G60" i="7"/>
  <c r="AA147" i="1"/>
  <c r="G628" i="7"/>
  <c r="G539" i="7"/>
  <c r="G533" i="7"/>
  <c r="G571" i="7"/>
  <c r="G579" i="7"/>
  <c r="G575" i="7"/>
  <c r="G567" i="7"/>
  <c r="G37" i="7"/>
  <c r="G41" i="7"/>
  <c r="G34" i="7"/>
  <c r="H596" i="7"/>
  <c r="G703" i="7"/>
  <c r="G671" i="7"/>
  <c r="G639" i="7"/>
  <c r="G27" i="7"/>
  <c r="G61" i="7"/>
  <c r="AN609" i="7" l="1"/>
  <c r="AN610" i="7" s="1"/>
  <c r="AN605" i="7"/>
  <c r="AN587" i="7" s="1"/>
  <c r="AN607" i="7"/>
  <c r="AN589" i="7" s="1"/>
  <c r="AN606" i="7"/>
  <c r="AN600" i="7"/>
  <c r="AN601" i="7" s="1"/>
  <c r="AN588" i="7"/>
  <c r="AN59" i="7"/>
  <c r="AN30" i="7"/>
  <c r="AO2" i="7"/>
  <c r="AO28" i="7" s="1"/>
  <c r="AN621" i="7"/>
  <c r="AN627" i="7"/>
  <c r="AN55" i="7"/>
  <c r="H60" i="7"/>
  <c r="AB147" i="1"/>
  <c r="H628" i="7"/>
  <c r="H571" i="7"/>
  <c r="H539" i="7"/>
  <c r="H533" i="7"/>
  <c r="H579" i="7"/>
  <c r="H575" i="7"/>
  <c r="H567" i="7"/>
  <c r="H37" i="7"/>
  <c r="H41" i="7"/>
  <c r="H34" i="7"/>
  <c r="I596" i="7"/>
  <c r="H703" i="7"/>
  <c r="H639" i="7"/>
  <c r="H671" i="7"/>
  <c r="H27" i="7"/>
  <c r="H61" i="7"/>
  <c r="A716" i="7"/>
  <c r="A717" i="7" s="1"/>
  <c r="A718" i="7" s="1"/>
  <c r="A719" i="7" s="1"/>
  <c r="A720" i="7" s="1"/>
  <c r="A721" i="7" s="1"/>
  <c r="A722" i="7" s="1"/>
  <c r="A723" i="7" s="1"/>
  <c r="A724" i="7" s="1"/>
  <c r="A704" i="7"/>
  <c r="H704" i="7" s="1"/>
  <c r="B699" i="7"/>
  <c r="C696" i="7" s="1"/>
  <c r="A684" i="7"/>
  <c r="A685" i="7" s="1"/>
  <c r="A686" i="7" s="1"/>
  <c r="A687" i="7" s="1"/>
  <c r="A688" i="7" s="1"/>
  <c r="A689" i="7" s="1"/>
  <c r="A690" i="7" s="1"/>
  <c r="A691" i="7" s="1"/>
  <c r="A692" i="7" s="1"/>
  <c r="A672" i="7"/>
  <c r="H672" i="7" s="1"/>
  <c r="B667" i="7"/>
  <c r="C664" i="7" s="1"/>
  <c r="A652" i="7"/>
  <c r="A653" i="7" s="1"/>
  <c r="A654" i="7" s="1"/>
  <c r="A655" i="7" s="1"/>
  <c r="A656" i="7" s="1"/>
  <c r="A657" i="7" s="1"/>
  <c r="A658" i="7" s="1"/>
  <c r="A659" i="7" s="1"/>
  <c r="A660" i="7" s="1"/>
  <c r="A640" i="7"/>
  <c r="H640" i="7" s="1"/>
  <c r="C632" i="7"/>
  <c r="A578" i="7"/>
  <c r="A574" i="7"/>
  <c r="A570" i="7"/>
  <c r="A566" i="7"/>
  <c r="A562" i="7"/>
  <c r="A273" i="7" s="1"/>
  <c r="A561" i="7"/>
  <c r="A272" i="7" s="1"/>
  <c r="A560" i="7"/>
  <c r="A271" i="7" s="1"/>
  <c r="A559" i="7"/>
  <c r="A270" i="7" s="1"/>
  <c r="A555" i="7"/>
  <c r="A267" i="7" s="1"/>
  <c r="A554" i="7"/>
  <c r="A266" i="7" s="1"/>
  <c r="A553" i="7"/>
  <c r="A265" i="7" s="1"/>
  <c r="A552" i="7"/>
  <c r="A264" i="7" s="1"/>
  <c r="A551" i="7"/>
  <c r="A263" i="7" s="1"/>
  <c r="C549" i="7"/>
  <c r="A549" i="7"/>
  <c r="A261" i="7" s="1"/>
  <c r="C548" i="7"/>
  <c r="A548" i="7"/>
  <c r="A260" i="7" s="1"/>
  <c r="C547" i="7"/>
  <c r="A547" i="7"/>
  <c r="A259" i="7" s="1"/>
  <c r="C546" i="7"/>
  <c r="A546" i="7"/>
  <c r="A258" i="7" s="1"/>
  <c r="A545" i="7"/>
  <c r="A257" i="7" s="1"/>
  <c r="A505" i="7"/>
  <c r="A506" i="7" s="1"/>
  <c r="A507" i="7" s="1"/>
  <c r="A508" i="7" s="1"/>
  <c r="A509" i="7" s="1"/>
  <c r="A510" i="7" s="1"/>
  <c r="A511" i="7" s="1"/>
  <c r="A512" i="7" s="1"/>
  <c r="A513" i="7" s="1"/>
  <c r="A493" i="7"/>
  <c r="A494" i="7" s="1"/>
  <c r="A495" i="7" s="1"/>
  <c r="A496" i="7" s="1"/>
  <c r="A497" i="7" s="1"/>
  <c r="A498" i="7" s="1"/>
  <c r="A499" i="7" s="1"/>
  <c r="A500" i="7" s="1"/>
  <c r="A501" i="7" s="1"/>
  <c r="A479" i="7"/>
  <c r="A480" i="7" s="1"/>
  <c r="A481" i="7" s="1"/>
  <c r="A482" i="7" s="1"/>
  <c r="A483" i="7" s="1"/>
  <c r="A484" i="7" s="1"/>
  <c r="A485" i="7" s="1"/>
  <c r="A486" i="7" s="1"/>
  <c r="A487" i="7" s="1"/>
  <c r="A467" i="7"/>
  <c r="A468" i="7" s="1"/>
  <c r="A469" i="7" s="1"/>
  <c r="A470" i="7" s="1"/>
  <c r="A471" i="7" s="1"/>
  <c r="A472" i="7" s="1"/>
  <c r="A473" i="7" s="1"/>
  <c r="A474" i="7" s="1"/>
  <c r="A475" i="7" s="1"/>
  <c r="A453" i="7"/>
  <c r="A454" i="7" s="1"/>
  <c r="A455" i="7" s="1"/>
  <c r="A456" i="7" s="1"/>
  <c r="A457" i="7" s="1"/>
  <c r="A458" i="7" s="1"/>
  <c r="A459" i="7" s="1"/>
  <c r="A460" i="7" s="1"/>
  <c r="A461" i="7" s="1"/>
  <c r="A441" i="7"/>
  <c r="A442" i="7" s="1"/>
  <c r="A443" i="7" s="1"/>
  <c r="A444" i="7" s="1"/>
  <c r="A445" i="7" s="1"/>
  <c r="A446" i="7" s="1"/>
  <c r="A447" i="7" s="1"/>
  <c r="A448" i="7" s="1"/>
  <c r="A449" i="7" s="1"/>
  <c r="B435" i="7"/>
  <c r="B434" i="7"/>
  <c r="A411" i="7"/>
  <c r="A368" i="7"/>
  <c r="A369" i="7" s="1"/>
  <c r="A370" i="7" s="1"/>
  <c r="A371" i="7" s="1"/>
  <c r="A372" i="7" s="1"/>
  <c r="A373" i="7" s="1"/>
  <c r="A374" i="7" s="1"/>
  <c r="A375" i="7" s="1"/>
  <c r="A376" i="7" s="1"/>
  <c r="A356" i="7"/>
  <c r="A357" i="7" s="1"/>
  <c r="A358" i="7" s="1"/>
  <c r="A359" i="7" s="1"/>
  <c r="A360" i="7" s="1"/>
  <c r="A361" i="7" s="1"/>
  <c r="A362" i="7" s="1"/>
  <c r="A363" i="7" s="1"/>
  <c r="A364" i="7" s="1"/>
  <c r="A342" i="7"/>
  <c r="A343" i="7" s="1"/>
  <c r="A344" i="7" s="1"/>
  <c r="A345" i="7" s="1"/>
  <c r="A346" i="7" s="1"/>
  <c r="A347" i="7" s="1"/>
  <c r="A348" i="7" s="1"/>
  <c r="A349" i="7" s="1"/>
  <c r="A350" i="7" s="1"/>
  <c r="A330" i="7"/>
  <c r="A331" i="7" s="1"/>
  <c r="A332" i="7" s="1"/>
  <c r="A333" i="7" s="1"/>
  <c r="A334" i="7" s="1"/>
  <c r="A335" i="7" s="1"/>
  <c r="A336" i="7" s="1"/>
  <c r="A337" i="7" s="1"/>
  <c r="A338" i="7" s="1"/>
  <c r="A316" i="7"/>
  <c r="A317" i="7" s="1"/>
  <c r="A318" i="7" s="1"/>
  <c r="A319" i="7" s="1"/>
  <c r="A320" i="7" s="1"/>
  <c r="A321" i="7" s="1"/>
  <c r="A322" i="7" s="1"/>
  <c r="A323" i="7" s="1"/>
  <c r="A324" i="7" s="1"/>
  <c r="A305" i="7"/>
  <c r="A306" i="7" s="1"/>
  <c r="A307" i="7" s="1"/>
  <c r="A308" i="7" s="1"/>
  <c r="A309" i="7" s="1"/>
  <c r="A310" i="7" s="1"/>
  <c r="A311" i="7" s="1"/>
  <c r="A312" i="7" s="1"/>
  <c r="A313" i="7" s="1"/>
  <c r="B299" i="7"/>
  <c r="B298" i="7"/>
  <c r="A274" i="7"/>
  <c r="A269" i="7"/>
  <c r="A268" i="7"/>
  <c r="A262" i="7"/>
  <c r="A256" i="7"/>
  <c r="A251" i="7"/>
  <c r="A387" i="7" s="1"/>
  <c r="A250" i="7"/>
  <c r="A386" i="7" s="1"/>
  <c r="A249" i="7"/>
  <c r="A385" i="7" s="1"/>
  <c r="A248" i="7"/>
  <c r="A384" i="7" s="1"/>
  <c r="A247" i="7"/>
  <c r="A383" i="7" s="1"/>
  <c r="A246" i="7"/>
  <c r="A382" i="7" s="1"/>
  <c r="A230" i="7"/>
  <c r="A224" i="7"/>
  <c r="A218" i="7"/>
  <c r="A212" i="7"/>
  <c r="A211" i="7"/>
  <c r="A190" i="7"/>
  <c r="A184" i="7"/>
  <c r="A178" i="7"/>
  <c r="A172" i="7"/>
  <c r="A171" i="7"/>
  <c r="B131" i="7"/>
  <c r="B130" i="7"/>
  <c r="B127" i="7"/>
  <c r="B126" i="7"/>
  <c r="AP116"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B100" i="7"/>
  <c r="B99" i="7"/>
  <c r="B98" i="7"/>
  <c r="B95" i="7"/>
  <c r="B94" i="7"/>
  <c r="B77" i="7"/>
  <c r="A73" i="7"/>
  <c r="A72" i="7"/>
  <c r="A71" i="7"/>
  <c r="A70" i="7"/>
  <c r="AO606" i="7" l="1"/>
  <c r="AO600" i="7"/>
  <c r="AO601" i="7" s="1"/>
  <c r="AO588" i="7"/>
  <c r="AO607" i="7"/>
  <c r="AO589" i="7" s="1"/>
  <c r="AO609" i="7"/>
  <c r="AO610" i="7" s="1"/>
  <c r="AO605" i="7"/>
  <c r="AO587" i="7" s="1"/>
  <c r="AO59" i="7"/>
  <c r="AO30" i="7"/>
  <c r="AP2" i="7"/>
  <c r="AP28" i="7" s="1"/>
  <c r="AO627" i="7"/>
  <c r="AO621" i="7"/>
  <c r="AO55" i="7"/>
  <c r="I60" i="7"/>
  <c r="AC147" i="1"/>
  <c r="I628" i="7"/>
  <c r="I539" i="7"/>
  <c r="I533" i="7"/>
  <c r="I579" i="7"/>
  <c r="I575" i="7"/>
  <c r="I571" i="7"/>
  <c r="I567" i="7"/>
  <c r="I37" i="7"/>
  <c r="I41" i="7"/>
  <c r="I34" i="7"/>
  <c r="J596" i="7"/>
  <c r="A705" i="7"/>
  <c r="C717" i="7" s="1"/>
  <c r="C704" i="7"/>
  <c r="C356" i="7" s="1"/>
  <c r="D704" i="7"/>
  <c r="E704" i="7"/>
  <c r="F704" i="7"/>
  <c r="G704" i="7"/>
  <c r="A641" i="7"/>
  <c r="C653" i="7" s="1"/>
  <c r="C640" i="7"/>
  <c r="D640" i="7"/>
  <c r="E640" i="7"/>
  <c r="F640" i="7"/>
  <c r="G640" i="7"/>
  <c r="A673" i="7"/>
  <c r="I673" i="7" s="1"/>
  <c r="C672" i="7"/>
  <c r="C330" i="7" s="1"/>
  <c r="D672" i="7"/>
  <c r="E672" i="7"/>
  <c r="F672" i="7"/>
  <c r="G672" i="7"/>
  <c r="I704" i="7"/>
  <c r="I703" i="7"/>
  <c r="I705" i="7"/>
  <c r="I671" i="7"/>
  <c r="I672" i="7"/>
  <c r="I639" i="7"/>
  <c r="I640" i="7"/>
  <c r="I61" i="7"/>
  <c r="I27" i="7"/>
  <c r="C213" i="7"/>
  <c r="C173" i="7"/>
  <c r="C215" i="7"/>
  <c r="C175" i="7"/>
  <c r="C214" i="7"/>
  <c r="C174" i="7"/>
  <c r="C216" i="7"/>
  <c r="C176" i="7"/>
  <c r="C622" i="7"/>
  <c r="C550" i="7"/>
  <c r="B86" i="7" s="1"/>
  <c r="B268" i="7"/>
  <c r="D253" i="7" s="1"/>
  <c r="B101" i="7"/>
  <c r="B398" i="7"/>
  <c r="B404" i="7"/>
  <c r="D652" i="7"/>
  <c r="D418" i="7"/>
  <c r="D284" i="7"/>
  <c r="C716" i="7"/>
  <c r="C355" i="7"/>
  <c r="C684" i="7"/>
  <c r="C652" i="7"/>
  <c r="C304" i="7"/>
  <c r="C540" i="7"/>
  <c r="C534" i="7"/>
  <c r="C419" i="7"/>
  <c r="C418" i="7"/>
  <c r="C417" i="7"/>
  <c r="C416" i="7"/>
  <c r="C415" i="7"/>
  <c r="C435" i="7"/>
  <c r="C299" i="7"/>
  <c r="C283" i="7"/>
  <c r="C282" i="7"/>
  <c r="C281" i="7"/>
  <c r="C280" i="7"/>
  <c r="C279" i="7"/>
  <c r="B132" i="7"/>
  <c r="C36" i="7"/>
  <c r="D36" i="7"/>
  <c r="B128" i="7"/>
  <c r="A416" i="7"/>
  <c r="A424" i="7" s="1"/>
  <c r="A418" i="7"/>
  <c r="A426" i="7" s="1"/>
  <c r="A420" i="7"/>
  <c r="A428" i="7" s="1"/>
  <c r="A393" i="7"/>
  <c r="A404" i="7"/>
  <c r="A405" i="7"/>
  <c r="A279" i="7"/>
  <c r="A287" i="7" s="1"/>
  <c r="A280" i="7"/>
  <c r="A288" i="7" s="1"/>
  <c r="A281" i="7"/>
  <c r="A289" i="7" s="1"/>
  <c r="A282" i="7"/>
  <c r="A290" i="7" s="1"/>
  <c r="A283" i="7"/>
  <c r="A291" i="7" s="1"/>
  <c r="A284" i="7"/>
  <c r="A292" i="7" s="1"/>
  <c r="A415" i="7"/>
  <c r="A423" i="7" s="1"/>
  <c r="A417" i="7"/>
  <c r="A425" i="7" s="1"/>
  <c r="A419" i="7"/>
  <c r="A427" i="7" s="1"/>
  <c r="A392" i="7"/>
  <c r="A398" i="7"/>
  <c r="A399" i="7"/>
  <c r="A410" i="7"/>
  <c r="AP609" i="7" l="1"/>
  <c r="AP610" i="7" s="1"/>
  <c r="AP605" i="7"/>
  <c r="AP587" i="7" s="1"/>
  <c r="AP607" i="7"/>
  <c r="AP589" i="7" s="1"/>
  <c r="AP606" i="7"/>
  <c r="AP600" i="7"/>
  <c r="AP601" i="7" s="1"/>
  <c r="AP588" i="7"/>
  <c r="AP59" i="7"/>
  <c r="AP30" i="7"/>
  <c r="AP627" i="7"/>
  <c r="AP621" i="7"/>
  <c r="AP55" i="7"/>
  <c r="D389" i="7"/>
  <c r="D388" i="7" s="1"/>
  <c r="J60" i="7"/>
  <c r="D252" i="7"/>
  <c r="B275" i="7"/>
  <c r="AD147" i="1"/>
  <c r="J628" i="7"/>
  <c r="J539" i="7"/>
  <c r="J567" i="7"/>
  <c r="J533" i="7"/>
  <c r="J579" i="7"/>
  <c r="J575" i="7"/>
  <c r="J571" i="7"/>
  <c r="J37" i="7"/>
  <c r="J41" i="7"/>
  <c r="J34" i="7"/>
  <c r="K596" i="7"/>
  <c r="B88" i="7"/>
  <c r="B106" i="7"/>
  <c r="I641" i="7"/>
  <c r="D685" i="7"/>
  <c r="C685" i="7"/>
  <c r="C300" i="7"/>
  <c r="A642" i="7"/>
  <c r="D654" i="7" s="1"/>
  <c r="C641" i="7"/>
  <c r="C306" i="7" s="1"/>
  <c r="D641" i="7"/>
  <c r="E641" i="7"/>
  <c r="F641" i="7"/>
  <c r="G641" i="7"/>
  <c r="H641" i="7"/>
  <c r="A674" i="7"/>
  <c r="D686" i="7" s="1"/>
  <c r="C673" i="7"/>
  <c r="C331" i="7" s="1"/>
  <c r="D673" i="7"/>
  <c r="E673" i="7"/>
  <c r="F673" i="7"/>
  <c r="G673" i="7"/>
  <c r="H673" i="7"/>
  <c r="A706" i="7"/>
  <c r="J706" i="7" s="1"/>
  <c r="C705" i="7"/>
  <c r="C357" i="7" s="1"/>
  <c r="D705" i="7"/>
  <c r="E705" i="7"/>
  <c r="F705" i="7"/>
  <c r="G705" i="7"/>
  <c r="H705" i="7"/>
  <c r="J703" i="7"/>
  <c r="J674" i="7"/>
  <c r="J673" i="7"/>
  <c r="J672" i="7"/>
  <c r="J671" i="7"/>
  <c r="J705" i="7"/>
  <c r="J704" i="7"/>
  <c r="J640" i="7"/>
  <c r="J641" i="7"/>
  <c r="J639" i="7"/>
  <c r="C177" i="7"/>
  <c r="J61" i="7"/>
  <c r="J27" i="7"/>
  <c r="D534" i="7"/>
  <c r="D280" i="7"/>
  <c r="D281" i="7"/>
  <c r="D415" i="7"/>
  <c r="D419" i="7"/>
  <c r="D540" i="7"/>
  <c r="D653" i="7"/>
  <c r="D329" i="7"/>
  <c r="D356" i="7"/>
  <c r="D299" i="7"/>
  <c r="D282" i="7"/>
  <c r="D416" i="7"/>
  <c r="D420" i="7"/>
  <c r="D304" i="7"/>
  <c r="D716" i="7"/>
  <c r="D38" i="7"/>
  <c r="D279" i="7"/>
  <c r="D283" i="7"/>
  <c r="D417" i="7"/>
  <c r="D435" i="7"/>
  <c r="D305" i="7"/>
  <c r="D684" i="7"/>
  <c r="D717" i="7"/>
  <c r="D622" i="7"/>
  <c r="C217" i="7"/>
  <c r="C436" i="7"/>
  <c r="C329" i="7"/>
  <c r="C38" i="7"/>
  <c r="C62" i="7" s="1"/>
  <c r="E716" i="7"/>
  <c r="E717" i="7"/>
  <c r="E685" i="7"/>
  <c r="E684" i="7"/>
  <c r="E652" i="7"/>
  <c r="E540" i="7"/>
  <c r="E420" i="7"/>
  <c r="E419" i="7"/>
  <c r="E418" i="7"/>
  <c r="E416" i="7"/>
  <c r="E415" i="7"/>
  <c r="E435" i="7"/>
  <c r="E284" i="7"/>
  <c r="E283" i="7"/>
  <c r="E282" i="7"/>
  <c r="E280" i="7"/>
  <c r="E279" i="7"/>
  <c r="E36" i="7"/>
  <c r="C493" i="7"/>
  <c r="C305" i="7"/>
  <c r="C440" i="7"/>
  <c r="C467" i="7"/>
  <c r="C492" i="7"/>
  <c r="D355" i="7"/>
  <c r="K60" i="7" l="1"/>
  <c r="D251" i="7"/>
  <c r="AE147" i="1"/>
  <c r="K628" i="7"/>
  <c r="K539" i="7"/>
  <c r="K533" i="7"/>
  <c r="K579" i="7"/>
  <c r="K575" i="7"/>
  <c r="K571" i="7"/>
  <c r="K567" i="7"/>
  <c r="K37" i="7"/>
  <c r="K41" i="7"/>
  <c r="K34" i="7"/>
  <c r="L596" i="7"/>
  <c r="D247" i="7"/>
  <c r="D248" i="7"/>
  <c r="D250" i="7"/>
  <c r="D246" i="7"/>
  <c r="D249" i="7"/>
  <c r="D387" i="7"/>
  <c r="D385" i="7"/>
  <c r="D382" i="7"/>
  <c r="D383" i="7"/>
  <c r="D384" i="7"/>
  <c r="D386" i="7"/>
  <c r="D466" i="7"/>
  <c r="C442" i="7"/>
  <c r="C468" i="7"/>
  <c r="D441" i="7"/>
  <c r="C494" i="7"/>
  <c r="C466" i="7"/>
  <c r="E686" i="7"/>
  <c r="E654" i="7"/>
  <c r="D306" i="7"/>
  <c r="D357" i="7"/>
  <c r="D718" i="7"/>
  <c r="J642" i="7"/>
  <c r="A707" i="7"/>
  <c r="C719" i="7" s="1"/>
  <c r="C706" i="7"/>
  <c r="D706" i="7"/>
  <c r="E706" i="7"/>
  <c r="F706" i="7"/>
  <c r="G706" i="7"/>
  <c r="H706" i="7"/>
  <c r="C718" i="7"/>
  <c r="I706" i="7"/>
  <c r="A643" i="7"/>
  <c r="F655" i="7" s="1"/>
  <c r="C642" i="7"/>
  <c r="D642" i="7"/>
  <c r="E642" i="7"/>
  <c r="F642" i="7"/>
  <c r="G642" i="7"/>
  <c r="H642" i="7"/>
  <c r="I642" i="7"/>
  <c r="C654" i="7"/>
  <c r="D331" i="7"/>
  <c r="A675" i="7"/>
  <c r="K675" i="7" s="1"/>
  <c r="C674" i="7"/>
  <c r="D674" i="7"/>
  <c r="E674" i="7"/>
  <c r="F674" i="7"/>
  <c r="G674" i="7"/>
  <c r="H674" i="7"/>
  <c r="C686" i="7"/>
  <c r="I674" i="7"/>
  <c r="K706" i="7"/>
  <c r="K705" i="7"/>
  <c r="K703" i="7"/>
  <c r="K674" i="7"/>
  <c r="K704" i="7"/>
  <c r="K672" i="7"/>
  <c r="K642" i="7"/>
  <c r="K640" i="7"/>
  <c r="K673" i="7"/>
  <c r="K641" i="7"/>
  <c r="K639" i="7"/>
  <c r="K671" i="7"/>
  <c r="D300" i="7"/>
  <c r="D436" i="7"/>
  <c r="K27" i="7"/>
  <c r="K61" i="7"/>
  <c r="E281" i="7"/>
  <c r="E299" i="7"/>
  <c r="E417" i="7"/>
  <c r="E534" i="7"/>
  <c r="E653" i="7"/>
  <c r="E718" i="7"/>
  <c r="E331" i="7"/>
  <c r="E304" i="7"/>
  <c r="E357" i="7"/>
  <c r="E356" i="7"/>
  <c r="D330" i="7"/>
  <c r="E305" i="7"/>
  <c r="E330" i="7"/>
  <c r="F622" i="7"/>
  <c r="E622" i="7"/>
  <c r="E355" i="7"/>
  <c r="E38" i="7"/>
  <c r="D493" i="7"/>
  <c r="D492" i="7"/>
  <c r="C441" i="7"/>
  <c r="D440" i="7"/>
  <c r="F718" i="7"/>
  <c r="F717" i="7"/>
  <c r="F357" i="7"/>
  <c r="F356" i="7"/>
  <c r="F355" i="7"/>
  <c r="F686" i="7"/>
  <c r="F685" i="7"/>
  <c r="F684" i="7"/>
  <c r="F331" i="7"/>
  <c r="F330" i="7"/>
  <c r="F329" i="7"/>
  <c r="F654" i="7"/>
  <c r="F653" i="7"/>
  <c r="F652" i="7"/>
  <c r="F305" i="7"/>
  <c r="F304" i="7"/>
  <c r="F540" i="7"/>
  <c r="F534" i="7"/>
  <c r="F435" i="7"/>
  <c r="F420" i="7"/>
  <c r="F419" i="7"/>
  <c r="F418" i="7"/>
  <c r="F417" i="7"/>
  <c r="F416" i="7"/>
  <c r="F415" i="7"/>
  <c r="F284" i="7"/>
  <c r="F283" i="7"/>
  <c r="F282" i="7"/>
  <c r="F281" i="7"/>
  <c r="F280" i="7"/>
  <c r="F279" i="7"/>
  <c r="F299" i="7"/>
  <c r="F36" i="7"/>
  <c r="E300" i="7"/>
  <c r="E436" i="7"/>
  <c r="C687" i="7" l="1"/>
  <c r="L60" i="7"/>
  <c r="AF147" i="1"/>
  <c r="L628" i="7"/>
  <c r="L575" i="7"/>
  <c r="L567" i="7"/>
  <c r="L539" i="7"/>
  <c r="L533" i="7"/>
  <c r="L579" i="7"/>
  <c r="L571" i="7"/>
  <c r="L37" i="7"/>
  <c r="L41" i="7"/>
  <c r="L34" i="7"/>
  <c r="M596" i="7"/>
  <c r="D468" i="7"/>
  <c r="E467" i="7"/>
  <c r="E441" i="7"/>
  <c r="D467" i="7"/>
  <c r="E493" i="7"/>
  <c r="E492" i="7"/>
  <c r="E494" i="7"/>
  <c r="D494" i="7"/>
  <c r="E440" i="7"/>
  <c r="D442" i="7"/>
  <c r="E468" i="7"/>
  <c r="F719" i="7"/>
  <c r="F687" i="7"/>
  <c r="F307" i="7"/>
  <c r="E332" i="7"/>
  <c r="F332" i="7"/>
  <c r="K643" i="7"/>
  <c r="E307" i="7"/>
  <c r="E358" i="7"/>
  <c r="C332" i="7"/>
  <c r="D332" i="7"/>
  <c r="C307" i="7"/>
  <c r="D307" i="7"/>
  <c r="A676" i="7"/>
  <c r="C688" i="7" s="1"/>
  <c r="C675" i="7"/>
  <c r="D675" i="7"/>
  <c r="E675" i="7"/>
  <c r="F675" i="7"/>
  <c r="G675" i="7"/>
  <c r="H675" i="7"/>
  <c r="I675" i="7"/>
  <c r="J675" i="7"/>
  <c r="D687" i="7"/>
  <c r="A644" i="7"/>
  <c r="E656" i="7" s="1"/>
  <c r="C643" i="7"/>
  <c r="D643" i="7"/>
  <c r="E643" i="7"/>
  <c r="F643" i="7"/>
  <c r="G643" i="7"/>
  <c r="H643" i="7"/>
  <c r="I643" i="7"/>
  <c r="J643" i="7"/>
  <c r="E655" i="7"/>
  <c r="D655" i="7"/>
  <c r="E687" i="7"/>
  <c r="K707" i="7"/>
  <c r="C655" i="7"/>
  <c r="C358" i="7"/>
  <c r="D358" i="7"/>
  <c r="A708" i="7"/>
  <c r="C720" i="7" s="1"/>
  <c r="C707" i="7"/>
  <c r="D707" i="7"/>
  <c r="E707" i="7"/>
  <c r="F707" i="7"/>
  <c r="G707" i="7"/>
  <c r="H707" i="7"/>
  <c r="I707" i="7"/>
  <c r="E719" i="7"/>
  <c r="J707" i="7"/>
  <c r="D719" i="7"/>
  <c r="L706" i="7"/>
  <c r="L704" i="7"/>
  <c r="L707" i="7"/>
  <c r="L705" i="7"/>
  <c r="L703" i="7"/>
  <c r="L674" i="7"/>
  <c r="L672" i="7"/>
  <c r="L643" i="7"/>
  <c r="L642" i="7"/>
  <c r="L641" i="7"/>
  <c r="L640" i="7"/>
  <c r="L639" i="7"/>
  <c r="L675" i="7"/>
  <c r="L673" i="7"/>
  <c r="L671" i="7"/>
  <c r="L27" i="7"/>
  <c r="L61" i="7"/>
  <c r="E306" i="7"/>
  <c r="E329" i="7"/>
  <c r="F358" i="7"/>
  <c r="F306" i="7"/>
  <c r="G622" i="7"/>
  <c r="F38" i="7"/>
  <c r="F440" i="7"/>
  <c r="F468" i="7"/>
  <c r="F492" i="7"/>
  <c r="F493" i="7"/>
  <c r="G719" i="7"/>
  <c r="G718" i="7"/>
  <c r="G717" i="7"/>
  <c r="G358" i="7"/>
  <c r="G357" i="7"/>
  <c r="G356" i="7"/>
  <c r="G355" i="7"/>
  <c r="G687" i="7"/>
  <c r="G686" i="7"/>
  <c r="G685" i="7"/>
  <c r="G684" i="7"/>
  <c r="G332" i="7"/>
  <c r="G331" i="7"/>
  <c r="G330" i="7"/>
  <c r="G329" i="7"/>
  <c r="G655" i="7"/>
  <c r="G654" i="7"/>
  <c r="G653" i="7"/>
  <c r="G652" i="7"/>
  <c r="G307" i="7"/>
  <c r="G306" i="7"/>
  <c r="G305" i="7"/>
  <c r="G304" i="7"/>
  <c r="G540" i="7"/>
  <c r="G534" i="7"/>
  <c r="G420" i="7"/>
  <c r="G419" i="7"/>
  <c r="G418" i="7"/>
  <c r="G417" i="7"/>
  <c r="G416" i="7"/>
  <c r="G415" i="7"/>
  <c r="G435" i="7"/>
  <c r="G299" i="7"/>
  <c r="G284" i="7"/>
  <c r="G283" i="7"/>
  <c r="G282" i="7"/>
  <c r="G281" i="7"/>
  <c r="G280" i="7"/>
  <c r="G279" i="7"/>
  <c r="G36" i="7"/>
  <c r="F300" i="7"/>
  <c r="F441" i="7"/>
  <c r="F466" i="7"/>
  <c r="F494" i="7"/>
  <c r="F436" i="7"/>
  <c r="F467" i="7"/>
  <c r="E720" i="7" l="1"/>
  <c r="D720" i="7"/>
  <c r="C656" i="7"/>
  <c r="M60" i="7"/>
  <c r="AG147" i="1"/>
  <c r="M628" i="7"/>
  <c r="M539" i="7"/>
  <c r="M533" i="7"/>
  <c r="M579" i="7"/>
  <c r="M575" i="7"/>
  <c r="M571" i="7"/>
  <c r="M567" i="7"/>
  <c r="M37" i="7"/>
  <c r="M41" i="7"/>
  <c r="M34" i="7"/>
  <c r="N596" i="7"/>
  <c r="E466" i="7"/>
  <c r="F469" i="7"/>
  <c r="D443" i="7"/>
  <c r="E469" i="7"/>
  <c r="C443" i="7"/>
  <c r="F443" i="7"/>
  <c r="D469" i="7"/>
  <c r="F442" i="7"/>
  <c r="C469" i="7"/>
  <c r="F495" i="7"/>
  <c r="E495" i="7"/>
  <c r="D495" i="7"/>
  <c r="E443" i="7"/>
  <c r="E442" i="7"/>
  <c r="C495" i="7"/>
  <c r="G688" i="7"/>
  <c r="E688" i="7"/>
  <c r="L676" i="7"/>
  <c r="G333" i="7"/>
  <c r="D656" i="7"/>
  <c r="G308" i="7"/>
  <c r="G656" i="7"/>
  <c r="L644" i="7"/>
  <c r="G359" i="7"/>
  <c r="D688" i="7"/>
  <c r="G720" i="7"/>
  <c r="L708" i="7"/>
  <c r="F688" i="7"/>
  <c r="C308" i="7"/>
  <c r="D308" i="7"/>
  <c r="F308" i="7"/>
  <c r="E308" i="7"/>
  <c r="D359" i="7"/>
  <c r="C359" i="7"/>
  <c r="F359" i="7"/>
  <c r="E359" i="7"/>
  <c r="A645" i="7"/>
  <c r="C657" i="7" s="1"/>
  <c r="C644" i="7"/>
  <c r="D644" i="7"/>
  <c r="E644" i="7"/>
  <c r="F644" i="7"/>
  <c r="G644" i="7"/>
  <c r="H644" i="7"/>
  <c r="I644" i="7"/>
  <c r="J644" i="7"/>
  <c r="K644" i="7"/>
  <c r="F656" i="7"/>
  <c r="C333" i="7"/>
  <c r="D333" i="7"/>
  <c r="F333" i="7"/>
  <c r="E333" i="7"/>
  <c r="A709" i="7"/>
  <c r="E721" i="7" s="1"/>
  <c r="C708" i="7"/>
  <c r="D708" i="7"/>
  <c r="E708" i="7"/>
  <c r="F708" i="7"/>
  <c r="G708" i="7"/>
  <c r="H708" i="7"/>
  <c r="I708" i="7"/>
  <c r="J708" i="7"/>
  <c r="K708" i="7"/>
  <c r="F720" i="7"/>
  <c r="A677" i="7"/>
  <c r="D689" i="7" s="1"/>
  <c r="C676" i="7"/>
  <c r="D676" i="7"/>
  <c r="E676" i="7"/>
  <c r="F676" i="7"/>
  <c r="G676" i="7"/>
  <c r="H676" i="7"/>
  <c r="I676" i="7"/>
  <c r="J676" i="7"/>
  <c r="K676" i="7"/>
  <c r="M707" i="7"/>
  <c r="M705" i="7"/>
  <c r="M704" i="7"/>
  <c r="M703" i="7"/>
  <c r="M708" i="7"/>
  <c r="M671" i="7"/>
  <c r="M676" i="7"/>
  <c r="M674" i="7"/>
  <c r="M706" i="7"/>
  <c r="M675" i="7"/>
  <c r="M673" i="7"/>
  <c r="M643" i="7"/>
  <c r="M641" i="7"/>
  <c r="M639" i="7"/>
  <c r="M672" i="7"/>
  <c r="M644" i="7"/>
  <c r="M642" i="7"/>
  <c r="M640" i="7"/>
  <c r="M61" i="7"/>
  <c r="M27" i="7"/>
  <c r="H622" i="7"/>
  <c r="G38" i="7"/>
  <c r="G440" i="7"/>
  <c r="G443" i="7"/>
  <c r="G467" i="7"/>
  <c r="G495" i="7"/>
  <c r="G468" i="7"/>
  <c r="G492" i="7"/>
  <c r="H720" i="7"/>
  <c r="H719" i="7"/>
  <c r="H718" i="7"/>
  <c r="H717" i="7"/>
  <c r="H359" i="7"/>
  <c r="H358" i="7"/>
  <c r="H357" i="7"/>
  <c r="H356" i="7"/>
  <c r="H355" i="7"/>
  <c r="H688" i="7"/>
  <c r="H687" i="7"/>
  <c r="H686" i="7"/>
  <c r="H685" i="7"/>
  <c r="H684" i="7"/>
  <c r="H333" i="7"/>
  <c r="H332" i="7"/>
  <c r="H331" i="7"/>
  <c r="H330" i="7"/>
  <c r="H329" i="7"/>
  <c r="H656" i="7"/>
  <c r="H655" i="7"/>
  <c r="H654" i="7"/>
  <c r="H653" i="7"/>
  <c r="H652" i="7"/>
  <c r="H308" i="7"/>
  <c r="H307" i="7"/>
  <c r="H306" i="7"/>
  <c r="H305" i="7"/>
  <c r="H304" i="7"/>
  <c r="H540" i="7"/>
  <c r="H534" i="7"/>
  <c r="H435" i="7"/>
  <c r="H420" i="7"/>
  <c r="H419" i="7"/>
  <c r="H418" i="7"/>
  <c r="H417" i="7"/>
  <c r="H416" i="7"/>
  <c r="H415" i="7"/>
  <c r="H284" i="7"/>
  <c r="H283" i="7"/>
  <c r="H282" i="7"/>
  <c r="H281" i="7"/>
  <c r="H280" i="7"/>
  <c r="H279" i="7"/>
  <c r="H299" i="7"/>
  <c r="H36" i="7"/>
  <c r="G300" i="7"/>
  <c r="G442" i="7"/>
  <c r="G441" i="7"/>
  <c r="G469" i="7"/>
  <c r="G493" i="7"/>
  <c r="G466" i="7"/>
  <c r="G494" i="7"/>
  <c r="G436" i="7"/>
  <c r="N60" i="7" l="1"/>
  <c r="AH147" i="1"/>
  <c r="N628" i="7"/>
  <c r="N533" i="7"/>
  <c r="N579" i="7"/>
  <c r="N575" i="7"/>
  <c r="N571" i="7"/>
  <c r="N567" i="7"/>
  <c r="N539" i="7"/>
  <c r="N37" i="7"/>
  <c r="N41" i="7"/>
  <c r="N34" i="7"/>
  <c r="O596" i="7"/>
  <c r="C444" i="7"/>
  <c r="G444" i="7"/>
  <c r="E496" i="7"/>
  <c r="E470" i="7"/>
  <c r="F496" i="7"/>
  <c r="G470" i="7"/>
  <c r="F470" i="7"/>
  <c r="C496" i="7"/>
  <c r="D444" i="7"/>
  <c r="D470" i="7"/>
  <c r="D496" i="7"/>
  <c r="F444" i="7"/>
  <c r="C470" i="7"/>
  <c r="E444" i="7"/>
  <c r="G496" i="7"/>
  <c r="H689" i="7"/>
  <c r="H721" i="7"/>
  <c r="H657" i="7"/>
  <c r="F657" i="7"/>
  <c r="M677" i="7"/>
  <c r="E689" i="7"/>
  <c r="F689" i="7"/>
  <c r="H309" i="7"/>
  <c r="D657" i="7"/>
  <c r="C689" i="7"/>
  <c r="E657" i="7"/>
  <c r="M645" i="7"/>
  <c r="H334" i="7"/>
  <c r="M709" i="7"/>
  <c r="F721" i="7"/>
  <c r="D721" i="7"/>
  <c r="C721" i="7"/>
  <c r="H360" i="7"/>
  <c r="A678" i="7"/>
  <c r="E690" i="7" s="1"/>
  <c r="C677" i="7"/>
  <c r="D677" i="7"/>
  <c r="E677" i="7"/>
  <c r="F677" i="7"/>
  <c r="G677" i="7"/>
  <c r="H677" i="7"/>
  <c r="I677" i="7"/>
  <c r="J677" i="7"/>
  <c r="K677" i="7"/>
  <c r="L677" i="7"/>
  <c r="G689" i="7"/>
  <c r="C360" i="7"/>
  <c r="D360" i="7"/>
  <c r="E360" i="7"/>
  <c r="F360" i="7"/>
  <c r="G360" i="7"/>
  <c r="C309" i="7"/>
  <c r="D309" i="7"/>
  <c r="E309" i="7"/>
  <c r="G309" i="7"/>
  <c r="F309" i="7"/>
  <c r="C334" i="7"/>
  <c r="D334" i="7"/>
  <c r="E334" i="7"/>
  <c r="F334" i="7"/>
  <c r="G334" i="7"/>
  <c r="A710" i="7"/>
  <c r="G722" i="7" s="1"/>
  <c r="C709" i="7"/>
  <c r="D709" i="7"/>
  <c r="E709" i="7"/>
  <c r="F709" i="7"/>
  <c r="G709" i="7"/>
  <c r="H709" i="7"/>
  <c r="I709" i="7"/>
  <c r="J709" i="7"/>
  <c r="K709" i="7"/>
  <c r="G721" i="7"/>
  <c r="L709" i="7"/>
  <c r="A646" i="7"/>
  <c r="G658" i="7" s="1"/>
  <c r="C645" i="7"/>
  <c r="D645" i="7"/>
  <c r="E645" i="7"/>
  <c r="F645" i="7"/>
  <c r="G645" i="7"/>
  <c r="H645" i="7"/>
  <c r="I645" i="7"/>
  <c r="J645" i="7"/>
  <c r="K645" i="7"/>
  <c r="L645" i="7"/>
  <c r="G657" i="7"/>
  <c r="N709" i="7"/>
  <c r="N707" i="7"/>
  <c r="N705" i="7"/>
  <c r="N677" i="7"/>
  <c r="N676" i="7"/>
  <c r="N675" i="7"/>
  <c r="N674" i="7"/>
  <c r="N673" i="7"/>
  <c r="N672" i="7"/>
  <c r="N671" i="7"/>
  <c r="N704" i="7"/>
  <c r="N708" i="7"/>
  <c r="N703" i="7"/>
  <c r="N706" i="7"/>
  <c r="N645" i="7"/>
  <c r="N643" i="7"/>
  <c r="N641" i="7"/>
  <c r="N639" i="7"/>
  <c r="N644" i="7"/>
  <c r="N642" i="7"/>
  <c r="N640" i="7"/>
  <c r="N61" i="7"/>
  <c r="N27" i="7"/>
  <c r="I622" i="7"/>
  <c r="H38" i="7"/>
  <c r="H441" i="7"/>
  <c r="H442" i="7"/>
  <c r="H466" i="7"/>
  <c r="H470" i="7"/>
  <c r="H494" i="7"/>
  <c r="H436" i="7"/>
  <c r="H467" i="7"/>
  <c r="H495" i="7"/>
  <c r="I721" i="7"/>
  <c r="I720" i="7"/>
  <c r="I719" i="7"/>
  <c r="I718" i="7"/>
  <c r="I360" i="7"/>
  <c r="I359" i="7"/>
  <c r="I358" i="7"/>
  <c r="I357" i="7"/>
  <c r="I356" i="7"/>
  <c r="I334" i="7"/>
  <c r="I333" i="7"/>
  <c r="I355" i="7"/>
  <c r="I689" i="7"/>
  <c r="I688" i="7"/>
  <c r="I687" i="7"/>
  <c r="I686" i="7"/>
  <c r="I685" i="7"/>
  <c r="I684" i="7"/>
  <c r="I309" i="7"/>
  <c r="I308" i="7"/>
  <c r="I332" i="7"/>
  <c r="I330" i="7"/>
  <c r="I329" i="7"/>
  <c r="I657" i="7"/>
  <c r="I656" i="7"/>
  <c r="I655" i="7"/>
  <c r="I654" i="7"/>
  <c r="I653" i="7"/>
  <c r="I652" i="7"/>
  <c r="I307" i="7"/>
  <c r="I306" i="7"/>
  <c r="I305" i="7"/>
  <c r="I304" i="7"/>
  <c r="I540" i="7"/>
  <c r="I534" i="7"/>
  <c r="I420" i="7"/>
  <c r="I419" i="7"/>
  <c r="I418" i="7"/>
  <c r="I417" i="7"/>
  <c r="I416" i="7"/>
  <c r="I415" i="7"/>
  <c r="I331" i="7"/>
  <c r="I435" i="7"/>
  <c r="I299" i="7"/>
  <c r="I284" i="7"/>
  <c r="I283" i="7"/>
  <c r="I282" i="7"/>
  <c r="I281" i="7"/>
  <c r="I280" i="7"/>
  <c r="I279" i="7"/>
  <c r="I36" i="7"/>
  <c r="H300" i="7"/>
  <c r="H443" i="7"/>
  <c r="H440" i="7"/>
  <c r="H444" i="7"/>
  <c r="H468" i="7"/>
  <c r="H492" i="7"/>
  <c r="H496" i="7"/>
  <c r="H469" i="7"/>
  <c r="H493" i="7"/>
  <c r="C658" i="7" l="1"/>
  <c r="O60" i="7"/>
  <c r="AI147" i="1"/>
  <c r="O628" i="7"/>
  <c r="O539" i="7"/>
  <c r="O579" i="7"/>
  <c r="O575" i="7"/>
  <c r="O567" i="7"/>
  <c r="O533" i="7"/>
  <c r="O571" i="7"/>
  <c r="O37" i="7"/>
  <c r="O41" i="7"/>
  <c r="O34" i="7"/>
  <c r="P596" i="7"/>
  <c r="G471" i="7"/>
  <c r="D445" i="7"/>
  <c r="H471" i="7"/>
  <c r="E471" i="7"/>
  <c r="G497" i="7"/>
  <c r="D471" i="7"/>
  <c r="F497" i="7"/>
  <c r="H497" i="7"/>
  <c r="C445" i="7"/>
  <c r="C471" i="7"/>
  <c r="E497" i="7"/>
  <c r="F445" i="7"/>
  <c r="D497" i="7"/>
  <c r="H445" i="7"/>
  <c r="G445" i="7"/>
  <c r="C497" i="7"/>
  <c r="F471" i="7"/>
  <c r="E445" i="7"/>
  <c r="C722" i="7"/>
  <c r="F722" i="7"/>
  <c r="I690" i="7"/>
  <c r="N678" i="7"/>
  <c r="F690" i="7"/>
  <c r="C690" i="7"/>
  <c r="I722" i="7"/>
  <c r="E722" i="7"/>
  <c r="D722" i="7"/>
  <c r="I658" i="7"/>
  <c r="N710" i="7"/>
  <c r="I335" i="7"/>
  <c r="D690" i="7"/>
  <c r="D658" i="7"/>
  <c r="G690" i="7"/>
  <c r="N646" i="7"/>
  <c r="F658" i="7"/>
  <c r="I361" i="7"/>
  <c r="A711" i="7"/>
  <c r="D723" i="7" s="1"/>
  <c r="C710" i="7"/>
  <c r="D710" i="7"/>
  <c r="E710" i="7"/>
  <c r="F710" i="7"/>
  <c r="G710" i="7"/>
  <c r="H710" i="7"/>
  <c r="I710" i="7"/>
  <c r="J710" i="7"/>
  <c r="K710" i="7"/>
  <c r="L710" i="7"/>
  <c r="H722" i="7"/>
  <c r="M710" i="7"/>
  <c r="C310" i="7"/>
  <c r="E310" i="7"/>
  <c r="D310" i="7"/>
  <c r="F310" i="7"/>
  <c r="G310" i="7"/>
  <c r="H310" i="7"/>
  <c r="C335" i="7"/>
  <c r="D335" i="7"/>
  <c r="F335" i="7"/>
  <c r="E335" i="7"/>
  <c r="G335" i="7"/>
  <c r="H335" i="7"/>
  <c r="A647" i="7"/>
  <c r="E659" i="7" s="1"/>
  <c r="C646" i="7"/>
  <c r="D646" i="7"/>
  <c r="E646" i="7"/>
  <c r="F646" i="7"/>
  <c r="G646" i="7"/>
  <c r="H646" i="7"/>
  <c r="I646" i="7"/>
  <c r="J646" i="7"/>
  <c r="K646" i="7"/>
  <c r="L646" i="7"/>
  <c r="M646" i="7"/>
  <c r="H658" i="7"/>
  <c r="A679" i="7"/>
  <c r="F691" i="7" s="1"/>
  <c r="C678" i="7"/>
  <c r="D678" i="7"/>
  <c r="E678" i="7"/>
  <c r="F678" i="7"/>
  <c r="G678" i="7"/>
  <c r="H678" i="7"/>
  <c r="I678" i="7"/>
  <c r="C691" i="7"/>
  <c r="J678" i="7"/>
  <c r="K678" i="7"/>
  <c r="L678" i="7"/>
  <c r="M678" i="7"/>
  <c r="H690" i="7"/>
  <c r="I310" i="7"/>
  <c r="E658" i="7"/>
  <c r="C361" i="7"/>
  <c r="D361" i="7"/>
  <c r="E361" i="7"/>
  <c r="F361" i="7"/>
  <c r="G361" i="7"/>
  <c r="H361" i="7"/>
  <c r="O710" i="7"/>
  <c r="O709" i="7"/>
  <c r="O708" i="7"/>
  <c r="O707" i="7"/>
  <c r="O706" i="7"/>
  <c r="O705" i="7"/>
  <c r="O703" i="7"/>
  <c r="O678" i="7"/>
  <c r="O676" i="7"/>
  <c r="O704" i="7"/>
  <c r="O677" i="7"/>
  <c r="O675" i="7"/>
  <c r="O673" i="7"/>
  <c r="O671" i="7"/>
  <c r="O644" i="7"/>
  <c r="O642" i="7"/>
  <c r="O640" i="7"/>
  <c r="O672" i="7"/>
  <c r="O646" i="7"/>
  <c r="O674" i="7"/>
  <c r="O645" i="7"/>
  <c r="O643" i="7"/>
  <c r="O641" i="7"/>
  <c r="O639" i="7"/>
  <c r="O27" i="7"/>
  <c r="O61" i="7"/>
  <c r="J622" i="7"/>
  <c r="I444" i="7"/>
  <c r="I443" i="7"/>
  <c r="I467" i="7"/>
  <c r="I471" i="7"/>
  <c r="I495" i="7"/>
  <c r="I468" i="7"/>
  <c r="I492" i="7"/>
  <c r="I496" i="7"/>
  <c r="I38" i="7"/>
  <c r="J722" i="7"/>
  <c r="J721" i="7"/>
  <c r="J720" i="7"/>
  <c r="J719" i="7"/>
  <c r="J718" i="7"/>
  <c r="J361" i="7"/>
  <c r="J360" i="7"/>
  <c r="J359" i="7"/>
  <c r="J358" i="7"/>
  <c r="J357" i="7"/>
  <c r="J356" i="7"/>
  <c r="J355" i="7"/>
  <c r="J690" i="7"/>
  <c r="J689" i="7"/>
  <c r="J688" i="7"/>
  <c r="J687" i="7"/>
  <c r="J686" i="7"/>
  <c r="J685" i="7"/>
  <c r="J684" i="7"/>
  <c r="J335" i="7"/>
  <c r="J334" i="7"/>
  <c r="J333" i="7"/>
  <c r="J332" i="7"/>
  <c r="J331" i="7"/>
  <c r="J330" i="7"/>
  <c r="J329" i="7"/>
  <c r="J658" i="7"/>
  <c r="J657" i="7"/>
  <c r="J656" i="7"/>
  <c r="J655" i="7"/>
  <c r="J654" i="7"/>
  <c r="J653" i="7"/>
  <c r="J652" i="7"/>
  <c r="J310" i="7"/>
  <c r="J309" i="7"/>
  <c r="J308" i="7"/>
  <c r="J307" i="7"/>
  <c r="J306" i="7"/>
  <c r="J305" i="7"/>
  <c r="J304" i="7"/>
  <c r="J540" i="7"/>
  <c r="J534" i="7"/>
  <c r="J435" i="7"/>
  <c r="J420" i="7"/>
  <c r="J419" i="7"/>
  <c r="J418" i="7"/>
  <c r="J417" i="7"/>
  <c r="J416" i="7"/>
  <c r="J415" i="7"/>
  <c r="J284" i="7"/>
  <c r="J283" i="7"/>
  <c r="J282" i="7"/>
  <c r="J281" i="7"/>
  <c r="J280" i="7"/>
  <c r="J279" i="7"/>
  <c r="J299" i="7"/>
  <c r="J36" i="7"/>
  <c r="I300" i="7"/>
  <c r="I440" i="7"/>
  <c r="I442" i="7"/>
  <c r="I441" i="7"/>
  <c r="I445" i="7"/>
  <c r="I469" i="7"/>
  <c r="I493" i="7"/>
  <c r="I497" i="7"/>
  <c r="I466" i="7"/>
  <c r="I470" i="7"/>
  <c r="I494" i="7"/>
  <c r="I436" i="7"/>
  <c r="C723" i="7" l="1"/>
  <c r="C659" i="7"/>
  <c r="P60" i="7"/>
  <c r="AJ147" i="1"/>
  <c r="P628" i="7"/>
  <c r="P579" i="7"/>
  <c r="P571" i="7"/>
  <c r="P539" i="7"/>
  <c r="P533" i="7"/>
  <c r="P575" i="7"/>
  <c r="P567" i="7"/>
  <c r="P37" i="7"/>
  <c r="P41" i="7"/>
  <c r="P34" i="7"/>
  <c r="Q596" i="7"/>
  <c r="O647" i="7"/>
  <c r="C446" i="7"/>
  <c r="H498" i="7"/>
  <c r="D472" i="7"/>
  <c r="I446" i="7"/>
  <c r="G498" i="7"/>
  <c r="C472" i="7"/>
  <c r="F498" i="7"/>
  <c r="H446" i="7"/>
  <c r="F472" i="7"/>
  <c r="E498" i="7"/>
  <c r="G446" i="7"/>
  <c r="D498" i="7"/>
  <c r="H472" i="7"/>
  <c r="F446" i="7"/>
  <c r="I472" i="7"/>
  <c r="C498" i="7"/>
  <c r="G472" i="7"/>
  <c r="D446" i="7"/>
  <c r="E472" i="7"/>
  <c r="E446" i="7"/>
  <c r="I498" i="7"/>
  <c r="E691" i="7"/>
  <c r="G659" i="7"/>
  <c r="D659" i="7"/>
  <c r="J659" i="7"/>
  <c r="H659" i="7"/>
  <c r="F659" i="7"/>
  <c r="J723" i="7"/>
  <c r="F723" i="7"/>
  <c r="O679" i="7"/>
  <c r="H691" i="7"/>
  <c r="G691" i="7"/>
  <c r="J311" i="7"/>
  <c r="H723" i="7"/>
  <c r="J691" i="7"/>
  <c r="D691" i="7"/>
  <c r="E723" i="7"/>
  <c r="O711" i="7"/>
  <c r="G723" i="7"/>
  <c r="J336" i="7"/>
  <c r="A680" i="7"/>
  <c r="D692" i="7" s="1"/>
  <c r="C679" i="7"/>
  <c r="D679" i="7"/>
  <c r="E679" i="7"/>
  <c r="F679" i="7"/>
  <c r="G679" i="7"/>
  <c r="H679" i="7"/>
  <c r="I679" i="7"/>
  <c r="J679" i="7"/>
  <c r="K679" i="7"/>
  <c r="L679" i="7"/>
  <c r="M679" i="7"/>
  <c r="I691" i="7"/>
  <c r="N679" i="7"/>
  <c r="D362" i="7"/>
  <c r="C362" i="7"/>
  <c r="E362" i="7"/>
  <c r="F362" i="7"/>
  <c r="G362" i="7"/>
  <c r="H362" i="7"/>
  <c r="I362" i="7"/>
  <c r="C311" i="7"/>
  <c r="D311" i="7"/>
  <c r="F311" i="7"/>
  <c r="E311" i="7"/>
  <c r="G311" i="7"/>
  <c r="H311" i="7"/>
  <c r="I311" i="7"/>
  <c r="A712" i="7"/>
  <c r="I724" i="7" s="1"/>
  <c r="C711" i="7"/>
  <c r="D711" i="7"/>
  <c r="E711" i="7"/>
  <c r="F711" i="7"/>
  <c r="G711" i="7"/>
  <c r="H711" i="7"/>
  <c r="I711" i="7"/>
  <c r="J711" i="7"/>
  <c r="K711" i="7"/>
  <c r="L711" i="7"/>
  <c r="M711" i="7"/>
  <c r="I723" i="7"/>
  <c r="N711" i="7"/>
  <c r="J362" i="7"/>
  <c r="C336" i="7"/>
  <c r="E336" i="7"/>
  <c r="D336" i="7"/>
  <c r="F336" i="7"/>
  <c r="G336" i="7"/>
  <c r="H336" i="7"/>
  <c r="I336" i="7"/>
  <c r="A648" i="7"/>
  <c r="F660" i="7" s="1"/>
  <c r="C647" i="7"/>
  <c r="D647" i="7"/>
  <c r="E647" i="7"/>
  <c r="F647" i="7"/>
  <c r="G647" i="7"/>
  <c r="H647" i="7"/>
  <c r="I647" i="7"/>
  <c r="J647" i="7"/>
  <c r="K647" i="7"/>
  <c r="L647" i="7"/>
  <c r="M647" i="7"/>
  <c r="N647" i="7"/>
  <c r="I659" i="7"/>
  <c r="P710" i="7"/>
  <c r="P708" i="7"/>
  <c r="P706" i="7"/>
  <c r="P709" i="7"/>
  <c r="P705" i="7"/>
  <c r="P707" i="7"/>
  <c r="P678" i="7"/>
  <c r="P676" i="7"/>
  <c r="P672" i="7"/>
  <c r="P703" i="7"/>
  <c r="P704" i="7"/>
  <c r="P679" i="7"/>
  <c r="P677" i="7"/>
  <c r="P675" i="7"/>
  <c r="P711" i="7"/>
  <c r="P645" i="7"/>
  <c r="P644" i="7"/>
  <c r="P643" i="7"/>
  <c r="P642" i="7"/>
  <c r="P641" i="7"/>
  <c r="P640" i="7"/>
  <c r="P639" i="7"/>
  <c r="P674" i="7"/>
  <c r="P671" i="7"/>
  <c r="P646" i="7"/>
  <c r="P673" i="7"/>
  <c r="P647" i="7"/>
  <c r="P27" i="7"/>
  <c r="P61" i="7"/>
  <c r="K622" i="7"/>
  <c r="J445" i="7"/>
  <c r="J440" i="7"/>
  <c r="J444" i="7"/>
  <c r="J468" i="7"/>
  <c r="J472" i="7"/>
  <c r="J492" i="7"/>
  <c r="J496" i="7"/>
  <c r="J469" i="7"/>
  <c r="J493" i="7"/>
  <c r="J497" i="7"/>
  <c r="J38" i="7"/>
  <c r="K723" i="7"/>
  <c r="K722" i="7"/>
  <c r="K721" i="7"/>
  <c r="K720" i="7"/>
  <c r="K719" i="7"/>
  <c r="K718" i="7"/>
  <c r="K362" i="7"/>
  <c r="K361" i="7"/>
  <c r="K360" i="7"/>
  <c r="K359" i="7"/>
  <c r="K358" i="7"/>
  <c r="K357" i="7"/>
  <c r="K336" i="7"/>
  <c r="K335" i="7"/>
  <c r="K334" i="7"/>
  <c r="K333" i="7"/>
  <c r="K356" i="7"/>
  <c r="K691" i="7"/>
  <c r="K690" i="7"/>
  <c r="K689" i="7"/>
  <c r="K688" i="7"/>
  <c r="K687" i="7"/>
  <c r="K686" i="7"/>
  <c r="K685" i="7"/>
  <c r="K684" i="7"/>
  <c r="K332" i="7"/>
  <c r="K311" i="7"/>
  <c r="K310" i="7"/>
  <c r="K309" i="7"/>
  <c r="K308" i="7"/>
  <c r="K331" i="7"/>
  <c r="K330" i="7"/>
  <c r="K329" i="7"/>
  <c r="K659" i="7"/>
  <c r="K658" i="7"/>
  <c r="K657" i="7"/>
  <c r="K656" i="7"/>
  <c r="K655" i="7"/>
  <c r="K654" i="7"/>
  <c r="K653" i="7"/>
  <c r="K652" i="7"/>
  <c r="K306" i="7"/>
  <c r="K307" i="7"/>
  <c r="K305" i="7"/>
  <c r="K540" i="7"/>
  <c r="K534" i="7"/>
  <c r="K420" i="7"/>
  <c r="K419" i="7"/>
  <c r="K418" i="7"/>
  <c r="K417" i="7"/>
  <c r="K416" i="7"/>
  <c r="K415" i="7"/>
  <c r="K435" i="7"/>
  <c r="K299" i="7"/>
  <c r="K284" i="7"/>
  <c r="K283" i="7"/>
  <c r="K282" i="7"/>
  <c r="K281" i="7"/>
  <c r="K280" i="7"/>
  <c r="K279" i="7"/>
  <c r="K36" i="7"/>
  <c r="J443" i="7"/>
  <c r="J300" i="7"/>
  <c r="J441" i="7"/>
  <c r="J442" i="7"/>
  <c r="J446" i="7"/>
  <c r="J466" i="7"/>
  <c r="J470" i="7"/>
  <c r="J494" i="7"/>
  <c r="J498" i="7"/>
  <c r="J436" i="7"/>
  <c r="J467" i="7"/>
  <c r="J471" i="7"/>
  <c r="J495" i="7"/>
  <c r="C660" i="7" l="1"/>
  <c r="C724" i="7"/>
  <c r="K724" i="7"/>
  <c r="Q60" i="7"/>
  <c r="K692" i="7"/>
  <c r="AK147" i="1"/>
  <c r="Q628" i="7"/>
  <c r="Q539" i="7"/>
  <c r="Q533" i="7"/>
  <c r="Q579" i="7"/>
  <c r="Q575" i="7"/>
  <c r="Q571" i="7"/>
  <c r="Q567" i="7"/>
  <c r="Q37" i="7"/>
  <c r="Q41" i="7"/>
  <c r="Q34" i="7"/>
  <c r="R596" i="7"/>
  <c r="E473" i="7"/>
  <c r="C447" i="7"/>
  <c r="D473" i="7"/>
  <c r="C473" i="7"/>
  <c r="I499" i="7"/>
  <c r="D499" i="7"/>
  <c r="J499" i="7"/>
  <c r="I447" i="7"/>
  <c r="H499" i="7"/>
  <c r="D447" i="7"/>
  <c r="I473" i="7"/>
  <c r="H447" i="7"/>
  <c r="G499" i="7"/>
  <c r="H473" i="7"/>
  <c r="G447" i="7"/>
  <c r="F499" i="7"/>
  <c r="G473" i="7"/>
  <c r="E447" i="7"/>
  <c r="E499" i="7"/>
  <c r="J447" i="7"/>
  <c r="F473" i="7"/>
  <c r="F447" i="7"/>
  <c r="C499" i="7"/>
  <c r="J473" i="7"/>
  <c r="C692" i="7"/>
  <c r="G692" i="7"/>
  <c r="G660" i="7"/>
  <c r="P648" i="7"/>
  <c r="K337" i="7"/>
  <c r="F724" i="7"/>
  <c r="H724" i="7"/>
  <c r="K363" i="7"/>
  <c r="I660" i="7"/>
  <c r="D660" i="7"/>
  <c r="E692" i="7"/>
  <c r="E724" i="7"/>
  <c r="H660" i="7"/>
  <c r="E660" i="7"/>
  <c r="G724" i="7"/>
  <c r="D724" i="7"/>
  <c r="I692" i="7"/>
  <c r="K660" i="7"/>
  <c r="P680" i="7"/>
  <c r="P712" i="7"/>
  <c r="H692" i="7"/>
  <c r="F692" i="7"/>
  <c r="K312" i="7"/>
  <c r="C363" i="7"/>
  <c r="D363" i="7"/>
  <c r="E363" i="7"/>
  <c r="F363" i="7"/>
  <c r="G363" i="7"/>
  <c r="H363" i="7"/>
  <c r="I363" i="7"/>
  <c r="J363" i="7"/>
  <c r="C648" i="7"/>
  <c r="D648" i="7"/>
  <c r="D649" i="7" s="1"/>
  <c r="D634" i="7" s="1"/>
  <c r="D98" i="7" s="1"/>
  <c r="E648" i="7"/>
  <c r="E649" i="7" s="1"/>
  <c r="E634" i="7" s="1"/>
  <c r="E98" i="7" s="1"/>
  <c r="F648" i="7"/>
  <c r="F649" i="7" s="1"/>
  <c r="F634" i="7" s="1"/>
  <c r="F98" i="7" s="1"/>
  <c r="G648" i="7"/>
  <c r="G649" i="7" s="1"/>
  <c r="G634" i="7" s="1"/>
  <c r="G98" i="7" s="1"/>
  <c r="H648" i="7"/>
  <c r="H649" i="7" s="1"/>
  <c r="H634" i="7" s="1"/>
  <c r="H98" i="7" s="1"/>
  <c r="I648" i="7"/>
  <c r="I649" i="7" s="1"/>
  <c r="I634" i="7" s="1"/>
  <c r="I98" i="7" s="1"/>
  <c r="J648" i="7"/>
  <c r="J649" i="7" s="1"/>
  <c r="J634" i="7" s="1"/>
  <c r="J98" i="7" s="1"/>
  <c r="K648" i="7"/>
  <c r="K649" i="7" s="1"/>
  <c r="K634" i="7" s="1"/>
  <c r="K98" i="7" s="1"/>
  <c r="L648" i="7"/>
  <c r="M648" i="7"/>
  <c r="N648" i="7"/>
  <c r="O648" i="7"/>
  <c r="J660" i="7"/>
  <c r="C712" i="7"/>
  <c r="D712" i="7"/>
  <c r="D713" i="7" s="1"/>
  <c r="D698" i="7" s="1"/>
  <c r="D100" i="7" s="1"/>
  <c r="E712" i="7"/>
  <c r="E713" i="7" s="1"/>
  <c r="E698" i="7" s="1"/>
  <c r="E100" i="7" s="1"/>
  <c r="F712" i="7"/>
  <c r="F713" i="7" s="1"/>
  <c r="F698" i="7" s="1"/>
  <c r="F100" i="7" s="1"/>
  <c r="G712" i="7"/>
  <c r="G713" i="7" s="1"/>
  <c r="G698" i="7" s="1"/>
  <c r="G100" i="7" s="1"/>
  <c r="H712" i="7"/>
  <c r="H713" i="7" s="1"/>
  <c r="H698" i="7" s="1"/>
  <c r="H100" i="7" s="1"/>
  <c r="I712" i="7"/>
  <c r="I713" i="7" s="1"/>
  <c r="I698" i="7" s="1"/>
  <c r="I100" i="7" s="1"/>
  <c r="J712" i="7"/>
  <c r="J713" i="7" s="1"/>
  <c r="J698" i="7" s="1"/>
  <c r="J100" i="7" s="1"/>
  <c r="K712" i="7"/>
  <c r="K713" i="7" s="1"/>
  <c r="K698" i="7" s="1"/>
  <c r="K100" i="7" s="1"/>
  <c r="L712" i="7"/>
  <c r="M712" i="7"/>
  <c r="N712" i="7"/>
  <c r="O712" i="7"/>
  <c r="J724" i="7"/>
  <c r="C337" i="7"/>
  <c r="D337" i="7"/>
  <c r="F337" i="7"/>
  <c r="E337" i="7"/>
  <c r="G337" i="7"/>
  <c r="H337" i="7"/>
  <c r="I337" i="7"/>
  <c r="J337" i="7"/>
  <c r="C312" i="7"/>
  <c r="D312" i="7"/>
  <c r="E312" i="7"/>
  <c r="F312" i="7"/>
  <c r="G312" i="7"/>
  <c r="H312" i="7"/>
  <c r="I312" i="7"/>
  <c r="J312" i="7"/>
  <c r="C680" i="7"/>
  <c r="D680" i="7"/>
  <c r="D681" i="7" s="1"/>
  <c r="D666" i="7" s="1"/>
  <c r="D99" i="7" s="1"/>
  <c r="E680" i="7"/>
  <c r="E681" i="7" s="1"/>
  <c r="E666" i="7" s="1"/>
  <c r="E99" i="7" s="1"/>
  <c r="F680" i="7"/>
  <c r="F681" i="7" s="1"/>
  <c r="F666" i="7" s="1"/>
  <c r="F99" i="7" s="1"/>
  <c r="G680" i="7"/>
  <c r="G681" i="7" s="1"/>
  <c r="G666" i="7" s="1"/>
  <c r="G99" i="7" s="1"/>
  <c r="H680" i="7"/>
  <c r="H681" i="7" s="1"/>
  <c r="H666" i="7" s="1"/>
  <c r="H99" i="7" s="1"/>
  <c r="I680" i="7"/>
  <c r="I681" i="7" s="1"/>
  <c r="I666" i="7" s="1"/>
  <c r="I99" i="7" s="1"/>
  <c r="J680" i="7"/>
  <c r="J681" i="7" s="1"/>
  <c r="J666" i="7" s="1"/>
  <c r="J99" i="7" s="1"/>
  <c r="K680" i="7"/>
  <c r="K681" i="7" s="1"/>
  <c r="K666" i="7" s="1"/>
  <c r="K99" i="7" s="1"/>
  <c r="L680" i="7"/>
  <c r="M680" i="7"/>
  <c r="N680" i="7"/>
  <c r="J692" i="7"/>
  <c r="O680" i="7"/>
  <c r="Q704" i="7"/>
  <c r="Q703" i="7"/>
  <c r="Q712" i="7"/>
  <c r="Q710" i="7"/>
  <c r="Q708" i="7"/>
  <c r="Q706" i="7"/>
  <c r="Q709" i="7"/>
  <c r="Q679" i="7"/>
  <c r="Q677" i="7"/>
  <c r="Q711" i="7"/>
  <c r="Q705" i="7"/>
  <c r="Q707" i="7"/>
  <c r="Q680" i="7"/>
  <c r="Q678" i="7"/>
  <c r="Q676" i="7"/>
  <c r="Q674" i="7"/>
  <c r="Q672" i="7"/>
  <c r="Q648" i="7"/>
  <c r="Q646" i="7"/>
  <c r="Q671" i="7"/>
  <c r="Q644" i="7"/>
  <c r="Q642" i="7"/>
  <c r="Q640" i="7"/>
  <c r="Q673" i="7"/>
  <c r="Q647" i="7"/>
  <c r="Q645" i="7"/>
  <c r="Q643" i="7"/>
  <c r="Q641" i="7"/>
  <c r="Q639" i="7"/>
  <c r="Q675" i="7"/>
  <c r="Q61" i="7"/>
  <c r="Q27" i="7"/>
  <c r="L622" i="7"/>
  <c r="K468" i="7"/>
  <c r="K447" i="7"/>
  <c r="K496" i="7"/>
  <c r="K443" i="7"/>
  <c r="K472" i="7"/>
  <c r="K300" i="7"/>
  <c r="K444" i="7"/>
  <c r="L724" i="7"/>
  <c r="L723" i="7"/>
  <c r="L722" i="7"/>
  <c r="L721" i="7"/>
  <c r="L720" i="7"/>
  <c r="L719" i="7"/>
  <c r="L717" i="7"/>
  <c r="L363" i="7"/>
  <c r="L362" i="7"/>
  <c r="L361" i="7"/>
  <c r="L360" i="7"/>
  <c r="L359" i="7"/>
  <c r="L358" i="7"/>
  <c r="L357" i="7"/>
  <c r="L356" i="7"/>
  <c r="L692" i="7"/>
  <c r="L691" i="7"/>
  <c r="L690" i="7"/>
  <c r="L689" i="7"/>
  <c r="L688" i="7"/>
  <c r="L687" i="7"/>
  <c r="L686" i="7"/>
  <c r="L685" i="7"/>
  <c r="L684" i="7"/>
  <c r="L337" i="7"/>
  <c r="L336" i="7"/>
  <c r="L335" i="7"/>
  <c r="L334" i="7"/>
  <c r="L333" i="7"/>
  <c r="L332" i="7"/>
  <c r="L331" i="7"/>
  <c r="L330" i="7"/>
  <c r="L329" i="7"/>
  <c r="L660" i="7"/>
  <c r="L659" i="7"/>
  <c r="L658" i="7"/>
  <c r="L657" i="7"/>
  <c r="L656" i="7"/>
  <c r="L655" i="7"/>
  <c r="L654" i="7"/>
  <c r="L653" i="7"/>
  <c r="L652" i="7"/>
  <c r="L312" i="7"/>
  <c r="L311" i="7"/>
  <c r="L310" i="7"/>
  <c r="L309" i="7"/>
  <c r="L308" i="7"/>
  <c r="L307" i="7"/>
  <c r="L306" i="7"/>
  <c r="L305" i="7"/>
  <c r="L540" i="7"/>
  <c r="L534" i="7"/>
  <c r="L435" i="7"/>
  <c r="L420" i="7"/>
  <c r="L419" i="7"/>
  <c r="L418" i="7"/>
  <c r="L417" i="7"/>
  <c r="L416" i="7"/>
  <c r="L415" i="7"/>
  <c r="L284" i="7"/>
  <c r="L283" i="7"/>
  <c r="L282" i="7"/>
  <c r="L281" i="7"/>
  <c r="L280" i="7"/>
  <c r="L279" i="7"/>
  <c r="L299" i="7"/>
  <c r="L36" i="7"/>
  <c r="K446" i="7"/>
  <c r="K467" i="7"/>
  <c r="K471" i="7"/>
  <c r="K495" i="7"/>
  <c r="K499" i="7"/>
  <c r="K38" i="7"/>
  <c r="K304" i="7"/>
  <c r="K355" i="7"/>
  <c r="K442" i="7"/>
  <c r="K441" i="7"/>
  <c r="K445" i="7"/>
  <c r="K469" i="7"/>
  <c r="K473" i="7"/>
  <c r="K493" i="7"/>
  <c r="K497" i="7"/>
  <c r="K466" i="7"/>
  <c r="K470" i="7"/>
  <c r="K494" i="7"/>
  <c r="K498" i="7"/>
  <c r="K436" i="7"/>
  <c r="R60" i="7" l="1"/>
  <c r="AL147" i="1"/>
  <c r="R628" i="7"/>
  <c r="R575" i="7"/>
  <c r="R571" i="7"/>
  <c r="R539" i="7"/>
  <c r="R533" i="7"/>
  <c r="R579" i="7"/>
  <c r="R567" i="7"/>
  <c r="R37" i="7"/>
  <c r="R41" i="7"/>
  <c r="R34" i="7"/>
  <c r="S596" i="7"/>
  <c r="D448" i="7"/>
  <c r="D474" i="7"/>
  <c r="H500" i="7"/>
  <c r="K474" i="7"/>
  <c r="G500" i="7"/>
  <c r="J448" i="7"/>
  <c r="J474" i="7"/>
  <c r="F500" i="7"/>
  <c r="I448" i="7"/>
  <c r="I474" i="7"/>
  <c r="E500" i="7"/>
  <c r="H448" i="7"/>
  <c r="H474" i="7"/>
  <c r="D500" i="7"/>
  <c r="G448" i="7"/>
  <c r="G474" i="7"/>
  <c r="C500" i="7"/>
  <c r="K500" i="7"/>
  <c r="C448" i="7"/>
  <c r="F448" i="7"/>
  <c r="E474" i="7"/>
  <c r="J500" i="7"/>
  <c r="K448" i="7"/>
  <c r="C474" i="7"/>
  <c r="E448" i="7"/>
  <c r="F474" i="7"/>
  <c r="I500" i="7"/>
  <c r="L313" i="7"/>
  <c r="L364" i="7"/>
  <c r="L338" i="7"/>
  <c r="J101" i="7"/>
  <c r="H101" i="7"/>
  <c r="I101" i="7"/>
  <c r="D101" i="7"/>
  <c r="G101" i="7"/>
  <c r="C313" i="7"/>
  <c r="D313" i="7"/>
  <c r="E313" i="7"/>
  <c r="F313" i="7"/>
  <c r="G313" i="7"/>
  <c r="H313" i="7"/>
  <c r="I313" i="7"/>
  <c r="J313" i="7"/>
  <c r="K313" i="7"/>
  <c r="C649" i="7"/>
  <c r="C634" i="7" s="1"/>
  <c r="C98" i="7" s="1"/>
  <c r="C338" i="7"/>
  <c r="D338" i="7"/>
  <c r="E338" i="7"/>
  <c r="F338" i="7"/>
  <c r="G338" i="7"/>
  <c r="H338" i="7"/>
  <c r="I338" i="7"/>
  <c r="J338" i="7"/>
  <c r="K338" i="7"/>
  <c r="C681" i="7"/>
  <c r="C666" i="7" s="1"/>
  <c r="C99" i="7" s="1"/>
  <c r="F101" i="7"/>
  <c r="C364" i="7"/>
  <c r="D364" i="7"/>
  <c r="F364" i="7"/>
  <c r="E364" i="7"/>
  <c r="G364" i="7"/>
  <c r="H364" i="7"/>
  <c r="I364" i="7"/>
  <c r="J364" i="7"/>
  <c r="K364" i="7"/>
  <c r="C713" i="7"/>
  <c r="C698" i="7" s="1"/>
  <c r="C100" i="7" s="1"/>
  <c r="E101" i="7"/>
  <c r="R711" i="7"/>
  <c r="R709" i="7"/>
  <c r="R707" i="7"/>
  <c r="R705" i="7"/>
  <c r="R710" i="7"/>
  <c r="R706" i="7"/>
  <c r="R704" i="7"/>
  <c r="R680" i="7"/>
  <c r="R679" i="7"/>
  <c r="R678" i="7"/>
  <c r="R677" i="7"/>
  <c r="R676" i="7"/>
  <c r="R675" i="7"/>
  <c r="R674" i="7"/>
  <c r="R673" i="7"/>
  <c r="R672" i="7"/>
  <c r="R671" i="7"/>
  <c r="R648" i="7"/>
  <c r="R647" i="7"/>
  <c r="R646" i="7"/>
  <c r="R708" i="7"/>
  <c r="R703" i="7"/>
  <c r="R712" i="7"/>
  <c r="R645" i="7"/>
  <c r="R643" i="7"/>
  <c r="R641" i="7"/>
  <c r="R639" i="7"/>
  <c r="R644" i="7"/>
  <c r="R642" i="7"/>
  <c r="R640" i="7"/>
  <c r="R61" i="7"/>
  <c r="R27" i="7"/>
  <c r="M622" i="7"/>
  <c r="L355" i="7"/>
  <c r="L649" i="7"/>
  <c r="L634" i="7" s="1"/>
  <c r="L98" i="7" s="1"/>
  <c r="L713" i="7"/>
  <c r="L698" i="7" s="1"/>
  <c r="L100" i="7" s="1"/>
  <c r="L304" i="7"/>
  <c r="L38" i="7"/>
  <c r="L681" i="7"/>
  <c r="L666" i="7" s="1"/>
  <c r="L99" i="7" s="1"/>
  <c r="K492" i="7"/>
  <c r="L445" i="7"/>
  <c r="L300" i="7"/>
  <c r="L443" i="7"/>
  <c r="L444" i="7"/>
  <c r="L448" i="7"/>
  <c r="L468" i="7"/>
  <c r="L472" i="7"/>
  <c r="L496" i="7"/>
  <c r="L500" i="7"/>
  <c r="L469" i="7"/>
  <c r="L473" i="7"/>
  <c r="L493" i="7"/>
  <c r="L497" i="7"/>
  <c r="K440" i="7"/>
  <c r="M724" i="7"/>
  <c r="M723" i="7"/>
  <c r="M722" i="7"/>
  <c r="M721" i="7"/>
  <c r="M720" i="7"/>
  <c r="M719" i="7"/>
  <c r="M716" i="7"/>
  <c r="M364" i="7"/>
  <c r="M363" i="7"/>
  <c r="M362" i="7"/>
  <c r="M361" i="7"/>
  <c r="M360" i="7"/>
  <c r="M359" i="7"/>
  <c r="M358" i="7"/>
  <c r="M357" i="7"/>
  <c r="M356" i="7"/>
  <c r="M338" i="7"/>
  <c r="M337" i="7"/>
  <c r="M336" i="7"/>
  <c r="M335" i="7"/>
  <c r="M334" i="7"/>
  <c r="M333" i="7"/>
  <c r="M332" i="7"/>
  <c r="M692" i="7"/>
  <c r="M691" i="7"/>
  <c r="M690" i="7"/>
  <c r="M689" i="7"/>
  <c r="M688" i="7"/>
  <c r="M687" i="7"/>
  <c r="M686" i="7"/>
  <c r="M685" i="7"/>
  <c r="M684" i="7"/>
  <c r="M313" i="7"/>
  <c r="M312" i="7"/>
  <c r="M311" i="7"/>
  <c r="M310" i="7"/>
  <c r="M309" i="7"/>
  <c r="M308" i="7"/>
  <c r="M331" i="7"/>
  <c r="M330" i="7"/>
  <c r="M329" i="7"/>
  <c r="M660" i="7"/>
  <c r="M659" i="7"/>
  <c r="M658" i="7"/>
  <c r="M657" i="7"/>
  <c r="M656" i="7"/>
  <c r="M655" i="7"/>
  <c r="M654" i="7"/>
  <c r="M653" i="7"/>
  <c r="M652" i="7"/>
  <c r="M307" i="7"/>
  <c r="M306" i="7"/>
  <c r="M305" i="7"/>
  <c r="M304" i="7"/>
  <c r="M540" i="7"/>
  <c r="M534" i="7"/>
  <c r="M420" i="7"/>
  <c r="M419" i="7"/>
  <c r="M418" i="7"/>
  <c r="M417" i="7"/>
  <c r="M416" i="7"/>
  <c r="M415" i="7"/>
  <c r="M435" i="7"/>
  <c r="M299" i="7"/>
  <c r="M284" i="7"/>
  <c r="M283" i="7"/>
  <c r="M282" i="7"/>
  <c r="M281" i="7"/>
  <c r="M280" i="7"/>
  <c r="M279" i="7"/>
  <c r="M36" i="7"/>
  <c r="L441" i="7"/>
  <c r="L447" i="7"/>
  <c r="L442" i="7"/>
  <c r="L446" i="7"/>
  <c r="L466" i="7"/>
  <c r="L470" i="7"/>
  <c r="L474" i="7"/>
  <c r="L494" i="7"/>
  <c r="L498" i="7"/>
  <c r="L436" i="7"/>
  <c r="L467" i="7"/>
  <c r="L471" i="7"/>
  <c r="L495" i="7"/>
  <c r="L499" i="7"/>
  <c r="K101" i="7"/>
  <c r="S60" i="7" l="1"/>
  <c r="AM147" i="1"/>
  <c r="S628" i="7"/>
  <c r="S539" i="7"/>
  <c r="S533" i="7"/>
  <c r="S579" i="7"/>
  <c r="S575" i="7"/>
  <c r="S571" i="7"/>
  <c r="S567" i="7"/>
  <c r="S37" i="7"/>
  <c r="S41" i="7"/>
  <c r="S34" i="7"/>
  <c r="T596" i="7"/>
  <c r="H449" i="7"/>
  <c r="J501" i="7"/>
  <c r="E475" i="7"/>
  <c r="G449" i="7"/>
  <c r="L440" i="7"/>
  <c r="I501" i="7"/>
  <c r="D475" i="7"/>
  <c r="F449" i="7"/>
  <c r="F475" i="7"/>
  <c r="L492" i="7"/>
  <c r="H501" i="7"/>
  <c r="K475" i="7"/>
  <c r="C475" i="7"/>
  <c r="E449" i="7"/>
  <c r="L475" i="7"/>
  <c r="G501" i="7"/>
  <c r="J475" i="7"/>
  <c r="D449" i="7"/>
  <c r="L501" i="7"/>
  <c r="C501" i="7"/>
  <c r="E501" i="7"/>
  <c r="I475" i="7"/>
  <c r="K449" i="7"/>
  <c r="C449" i="7"/>
  <c r="L449" i="7"/>
  <c r="K501" i="7"/>
  <c r="F501" i="7"/>
  <c r="H475" i="7"/>
  <c r="J449" i="7"/>
  <c r="D501" i="7"/>
  <c r="G475" i="7"/>
  <c r="I449" i="7"/>
  <c r="C101" i="7"/>
  <c r="S712" i="7"/>
  <c r="S711" i="7"/>
  <c r="S710" i="7"/>
  <c r="S709" i="7"/>
  <c r="S708" i="7"/>
  <c r="S707" i="7"/>
  <c r="S706" i="7"/>
  <c r="S705" i="7"/>
  <c r="S675" i="7"/>
  <c r="S704" i="7"/>
  <c r="S680" i="7"/>
  <c r="S678" i="7"/>
  <c r="S676" i="7"/>
  <c r="S674" i="7"/>
  <c r="S703" i="7"/>
  <c r="S679" i="7"/>
  <c r="S677" i="7"/>
  <c r="S673" i="7"/>
  <c r="S671" i="7"/>
  <c r="S646" i="7"/>
  <c r="S645" i="7"/>
  <c r="S643" i="7"/>
  <c r="S641" i="7"/>
  <c r="S639" i="7"/>
  <c r="S672" i="7"/>
  <c r="S647" i="7"/>
  <c r="S644" i="7"/>
  <c r="S642" i="7"/>
  <c r="S640" i="7"/>
  <c r="S648" i="7"/>
  <c r="S27" i="7"/>
  <c r="S61" i="7"/>
  <c r="N622" i="7"/>
  <c r="M355" i="7"/>
  <c r="L101" i="7"/>
  <c r="M713" i="7"/>
  <c r="M698" i="7" s="1"/>
  <c r="M100" i="7" s="1"/>
  <c r="M38" i="7"/>
  <c r="M441" i="7"/>
  <c r="M470" i="7"/>
  <c r="M474" i="7"/>
  <c r="M493" i="7"/>
  <c r="M448" i="7"/>
  <c r="M497" i="7"/>
  <c r="M501" i="7"/>
  <c r="M444" i="7"/>
  <c r="M446" i="7"/>
  <c r="M443" i="7"/>
  <c r="M447" i="7"/>
  <c r="M467" i="7"/>
  <c r="M471" i="7"/>
  <c r="M475" i="7"/>
  <c r="M495" i="7"/>
  <c r="M499" i="7"/>
  <c r="M468" i="7"/>
  <c r="M472" i="7"/>
  <c r="M496" i="7"/>
  <c r="M500" i="7"/>
  <c r="N724" i="7"/>
  <c r="N723" i="7"/>
  <c r="N722" i="7"/>
  <c r="N721" i="7"/>
  <c r="N720" i="7"/>
  <c r="N719" i="7"/>
  <c r="N716" i="7"/>
  <c r="N364" i="7"/>
  <c r="N363" i="7"/>
  <c r="N362" i="7"/>
  <c r="N361" i="7"/>
  <c r="N360" i="7"/>
  <c r="N359" i="7"/>
  <c r="N358" i="7"/>
  <c r="N357" i="7"/>
  <c r="N356" i="7"/>
  <c r="N355" i="7"/>
  <c r="N692" i="7"/>
  <c r="N691" i="7"/>
  <c r="N690" i="7"/>
  <c r="N689" i="7"/>
  <c r="N688" i="7"/>
  <c r="N687" i="7"/>
  <c r="N686" i="7"/>
  <c r="N685" i="7"/>
  <c r="N684" i="7"/>
  <c r="N338" i="7"/>
  <c r="N337" i="7"/>
  <c r="N336" i="7"/>
  <c r="N335" i="7"/>
  <c r="N334" i="7"/>
  <c r="N333" i="7"/>
  <c r="N332" i="7"/>
  <c r="N331" i="7"/>
  <c r="N330" i="7"/>
  <c r="N329" i="7"/>
  <c r="N660" i="7"/>
  <c r="N659" i="7"/>
  <c r="N658" i="7"/>
  <c r="N657" i="7"/>
  <c r="N656" i="7"/>
  <c r="N655" i="7"/>
  <c r="N654" i="7"/>
  <c r="N653" i="7"/>
  <c r="N652" i="7"/>
  <c r="N313" i="7"/>
  <c r="N312" i="7"/>
  <c r="N311" i="7"/>
  <c r="N310" i="7"/>
  <c r="N309" i="7"/>
  <c r="N308" i="7"/>
  <c r="N307" i="7"/>
  <c r="N306" i="7"/>
  <c r="N305" i="7"/>
  <c r="N304" i="7"/>
  <c r="N540" i="7"/>
  <c r="N534" i="7"/>
  <c r="N435" i="7"/>
  <c r="N420" i="7"/>
  <c r="N419" i="7"/>
  <c r="N418" i="7"/>
  <c r="N417" i="7"/>
  <c r="N416" i="7"/>
  <c r="N415" i="7"/>
  <c r="N284" i="7"/>
  <c r="N283" i="7"/>
  <c r="N282" i="7"/>
  <c r="N281" i="7"/>
  <c r="N280" i="7"/>
  <c r="N279" i="7"/>
  <c r="N299" i="7"/>
  <c r="N36" i="7"/>
  <c r="M300" i="7"/>
  <c r="M440" i="7"/>
  <c r="M442" i="7"/>
  <c r="M445" i="7"/>
  <c r="M449" i="7"/>
  <c r="M469" i="7"/>
  <c r="M473" i="7"/>
  <c r="M466" i="7"/>
  <c r="M494" i="7"/>
  <c r="M498" i="7"/>
  <c r="M436" i="7"/>
  <c r="M649" i="7"/>
  <c r="M634" i="7" s="1"/>
  <c r="M98" i="7" s="1"/>
  <c r="M681" i="7"/>
  <c r="M666" i="7" s="1"/>
  <c r="M99" i="7" s="1"/>
  <c r="T60" i="7" l="1"/>
  <c r="AN147" i="1"/>
  <c r="T628" i="7"/>
  <c r="T575" i="7"/>
  <c r="T567" i="7"/>
  <c r="T539" i="7"/>
  <c r="T533" i="7"/>
  <c r="T579" i="7"/>
  <c r="T571" i="7"/>
  <c r="T37" i="7"/>
  <c r="T41" i="7"/>
  <c r="T34" i="7"/>
  <c r="U596" i="7"/>
  <c r="M492" i="7"/>
  <c r="T711" i="7"/>
  <c r="T709" i="7"/>
  <c r="T707" i="7"/>
  <c r="T705" i="7"/>
  <c r="T703" i="7"/>
  <c r="T704" i="7"/>
  <c r="T710" i="7"/>
  <c r="T680" i="7"/>
  <c r="T678" i="7"/>
  <c r="T676" i="7"/>
  <c r="T712" i="7"/>
  <c r="T706" i="7"/>
  <c r="T708" i="7"/>
  <c r="T679" i="7"/>
  <c r="T677" i="7"/>
  <c r="T675" i="7"/>
  <c r="T673" i="7"/>
  <c r="T671" i="7"/>
  <c r="T647" i="7"/>
  <c r="T645" i="7"/>
  <c r="T644" i="7"/>
  <c r="T643" i="7"/>
  <c r="T642" i="7"/>
  <c r="T641" i="7"/>
  <c r="T640" i="7"/>
  <c r="T639" i="7"/>
  <c r="T672" i="7"/>
  <c r="T674" i="7"/>
  <c r="T648" i="7"/>
  <c r="T646" i="7"/>
  <c r="T27" i="7"/>
  <c r="T61" i="7"/>
  <c r="O622" i="7"/>
  <c r="N469" i="7"/>
  <c r="N445" i="7"/>
  <c r="N447" i="7"/>
  <c r="N493" i="7"/>
  <c r="N497" i="7"/>
  <c r="N501" i="7"/>
  <c r="N473" i="7"/>
  <c r="N443" i="7"/>
  <c r="N300" i="7"/>
  <c r="N441" i="7"/>
  <c r="N449" i="7"/>
  <c r="N442" i="7"/>
  <c r="N446" i="7"/>
  <c r="N466" i="7"/>
  <c r="N470" i="7"/>
  <c r="N474" i="7"/>
  <c r="N494" i="7"/>
  <c r="N498" i="7"/>
  <c r="N436" i="7"/>
  <c r="N467" i="7"/>
  <c r="N471" i="7"/>
  <c r="N475" i="7"/>
  <c r="N495" i="7"/>
  <c r="N499" i="7"/>
  <c r="O724" i="7"/>
  <c r="O723" i="7"/>
  <c r="O722" i="7"/>
  <c r="O721" i="7"/>
  <c r="O720" i="7"/>
  <c r="O718" i="7"/>
  <c r="O364" i="7"/>
  <c r="O363" i="7"/>
  <c r="O362" i="7"/>
  <c r="O361" i="7"/>
  <c r="O360" i="7"/>
  <c r="O359" i="7"/>
  <c r="O358" i="7"/>
  <c r="O357" i="7"/>
  <c r="O716" i="7"/>
  <c r="O355" i="7"/>
  <c r="O338" i="7"/>
  <c r="O337" i="7"/>
  <c r="O336" i="7"/>
  <c r="O335" i="7"/>
  <c r="O334" i="7"/>
  <c r="O333" i="7"/>
  <c r="O332" i="7"/>
  <c r="O356" i="7"/>
  <c r="O692" i="7"/>
  <c r="O691" i="7"/>
  <c r="O690" i="7"/>
  <c r="O689" i="7"/>
  <c r="O688" i="7"/>
  <c r="O687" i="7"/>
  <c r="O686" i="7"/>
  <c r="O685" i="7"/>
  <c r="O684" i="7"/>
  <c r="O313" i="7"/>
  <c r="O312" i="7"/>
  <c r="O311" i="7"/>
  <c r="O310" i="7"/>
  <c r="O309" i="7"/>
  <c r="O308" i="7"/>
  <c r="O331" i="7"/>
  <c r="O330" i="7"/>
  <c r="O329" i="7"/>
  <c r="O660" i="7"/>
  <c r="O659" i="7"/>
  <c r="O658" i="7"/>
  <c r="O657" i="7"/>
  <c r="O656" i="7"/>
  <c r="O655" i="7"/>
  <c r="O654" i="7"/>
  <c r="O653" i="7"/>
  <c r="O306" i="7"/>
  <c r="O307" i="7"/>
  <c r="O305" i="7"/>
  <c r="O540" i="7"/>
  <c r="O534" i="7"/>
  <c r="O420" i="7"/>
  <c r="O419" i="7"/>
  <c r="O418" i="7"/>
  <c r="O417" i="7"/>
  <c r="O416" i="7"/>
  <c r="O415" i="7"/>
  <c r="O435" i="7"/>
  <c r="O299" i="7"/>
  <c r="O284" i="7"/>
  <c r="O283" i="7"/>
  <c r="O282" i="7"/>
  <c r="O281" i="7"/>
  <c r="O280" i="7"/>
  <c r="O279" i="7"/>
  <c r="O36" i="7"/>
  <c r="N440" i="7"/>
  <c r="N444" i="7"/>
  <c r="N448" i="7"/>
  <c r="N468" i="7"/>
  <c r="N472" i="7"/>
  <c r="N492" i="7"/>
  <c r="N496" i="7"/>
  <c r="N500" i="7"/>
  <c r="M101" i="7"/>
  <c r="N38" i="7"/>
  <c r="N649" i="7"/>
  <c r="N634" i="7" s="1"/>
  <c r="N98" i="7" s="1"/>
  <c r="N681" i="7"/>
  <c r="N666" i="7" s="1"/>
  <c r="N99" i="7" s="1"/>
  <c r="N713" i="7"/>
  <c r="N698" i="7" s="1"/>
  <c r="N100" i="7" s="1"/>
  <c r="U60" i="7" l="1"/>
  <c r="AO147" i="1"/>
  <c r="U594" i="7"/>
  <c r="U628" i="7"/>
  <c r="U539" i="7"/>
  <c r="U533" i="7"/>
  <c r="U579" i="7"/>
  <c r="U575" i="7"/>
  <c r="U571" i="7"/>
  <c r="U567" i="7"/>
  <c r="U37" i="7"/>
  <c r="U41" i="7"/>
  <c r="U34" i="7"/>
  <c r="V596" i="7"/>
  <c r="U712" i="7"/>
  <c r="U710" i="7"/>
  <c r="U708" i="7"/>
  <c r="U706" i="7"/>
  <c r="U704" i="7"/>
  <c r="U703" i="7"/>
  <c r="U680" i="7"/>
  <c r="U711" i="7"/>
  <c r="U707" i="7"/>
  <c r="U709" i="7"/>
  <c r="U705" i="7"/>
  <c r="U679" i="7"/>
  <c r="U677" i="7"/>
  <c r="U675" i="7"/>
  <c r="U678" i="7"/>
  <c r="U676" i="7"/>
  <c r="U674" i="7"/>
  <c r="U672" i="7"/>
  <c r="U648" i="7"/>
  <c r="U647" i="7"/>
  <c r="U673" i="7"/>
  <c r="U644" i="7"/>
  <c r="U642" i="7"/>
  <c r="U640" i="7"/>
  <c r="U646" i="7"/>
  <c r="U671" i="7"/>
  <c r="U645" i="7"/>
  <c r="U643" i="7"/>
  <c r="U641" i="7"/>
  <c r="U639" i="7"/>
  <c r="U61" i="7"/>
  <c r="U27" i="7"/>
  <c r="P622" i="7"/>
  <c r="O38" i="7"/>
  <c r="O649" i="7"/>
  <c r="O634" i="7" s="1"/>
  <c r="O98" i="7" s="1"/>
  <c r="O681" i="7"/>
  <c r="O666" i="7" s="1"/>
  <c r="O99" i="7" s="1"/>
  <c r="O468" i="7"/>
  <c r="O447" i="7"/>
  <c r="O496" i="7"/>
  <c r="O443" i="7"/>
  <c r="O471" i="7"/>
  <c r="P724" i="7"/>
  <c r="P723" i="7"/>
  <c r="P722" i="7"/>
  <c r="P721" i="7"/>
  <c r="P720" i="7"/>
  <c r="P718" i="7"/>
  <c r="P716" i="7"/>
  <c r="P364" i="7"/>
  <c r="P363" i="7"/>
  <c r="P362" i="7"/>
  <c r="P361" i="7"/>
  <c r="P360" i="7"/>
  <c r="P359" i="7"/>
  <c r="P358" i="7"/>
  <c r="P357" i="7"/>
  <c r="P356" i="7"/>
  <c r="P355" i="7"/>
  <c r="P692" i="7"/>
  <c r="P691" i="7"/>
  <c r="P690" i="7"/>
  <c r="P689" i="7"/>
  <c r="P688" i="7"/>
  <c r="P687" i="7"/>
  <c r="P686" i="7"/>
  <c r="P685" i="7"/>
  <c r="P684" i="7"/>
  <c r="P338" i="7"/>
  <c r="P337" i="7"/>
  <c r="P336" i="7"/>
  <c r="P335" i="7"/>
  <c r="P334" i="7"/>
  <c r="P333" i="7"/>
  <c r="P332" i="7"/>
  <c r="P331" i="7"/>
  <c r="P330" i="7"/>
  <c r="P329" i="7"/>
  <c r="P660" i="7"/>
  <c r="P659" i="7"/>
  <c r="P658" i="7"/>
  <c r="P657" i="7"/>
  <c r="P656" i="7"/>
  <c r="P655" i="7"/>
  <c r="P654" i="7"/>
  <c r="P653" i="7"/>
  <c r="P313" i="7"/>
  <c r="P312" i="7"/>
  <c r="P311" i="7"/>
  <c r="P310" i="7"/>
  <c r="P309" i="7"/>
  <c r="P308" i="7"/>
  <c r="P307" i="7"/>
  <c r="P306" i="7"/>
  <c r="P305" i="7"/>
  <c r="P540" i="7"/>
  <c r="P534" i="7"/>
  <c r="P435" i="7"/>
  <c r="P420" i="7"/>
  <c r="P419" i="7"/>
  <c r="P418" i="7"/>
  <c r="P417" i="7"/>
  <c r="P416" i="7"/>
  <c r="P415" i="7"/>
  <c r="P284" i="7"/>
  <c r="P283" i="7"/>
  <c r="P282" i="7"/>
  <c r="P281" i="7"/>
  <c r="P280" i="7"/>
  <c r="P279" i="7"/>
  <c r="P299" i="7"/>
  <c r="P36" i="7"/>
  <c r="O444" i="7"/>
  <c r="O445" i="7"/>
  <c r="O469" i="7"/>
  <c r="O493" i="7"/>
  <c r="O497" i="7"/>
  <c r="O501" i="7"/>
  <c r="O470" i="7"/>
  <c r="O474" i="7"/>
  <c r="O498" i="7"/>
  <c r="O436" i="7"/>
  <c r="O446" i="7"/>
  <c r="O448" i="7"/>
  <c r="O467" i="7"/>
  <c r="O475" i="7"/>
  <c r="O495" i="7"/>
  <c r="O499" i="7"/>
  <c r="O472" i="7"/>
  <c r="O492" i="7"/>
  <c r="O500" i="7"/>
  <c r="N101" i="7"/>
  <c r="O304" i="7"/>
  <c r="O713" i="7"/>
  <c r="O698" i="7" s="1"/>
  <c r="O100" i="7" s="1"/>
  <c r="O300" i="7"/>
  <c r="O442" i="7"/>
  <c r="O441" i="7"/>
  <c r="O449" i="7"/>
  <c r="O473" i="7"/>
  <c r="O466" i="7"/>
  <c r="O494" i="7"/>
  <c r="V60" i="7" l="1"/>
  <c r="AP147" i="1"/>
  <c r="V594" i="7"/>
  <c r="V628" i="7"/>
  <c r="V533" i="7"/>
  <c r="V579" i="7"/>
  <c r="V575" i="7"/>
  <c r="V571" i="7"/>
  <c r="V567" i="7"/>
  <c r="V539" i="7"/>
  <c r="V37" i="7"/>
  <c r="V41" i="7"/>
  <c r="V34" i="7"/>
  <c r="W596" i="7"/>
  <c r="V712" i="7"/>
  <c r="V710" i="7"/>
  <c r="V708" i="7"/>
  <c r="V706" i="7"/>
  <c r="V679" i="7"/>
  <c r="V678" i="7"/>
  <c r="V677" i="7"/>
  <c r="V676" i="7"/>
  <c r="V675" i="7"/>
  <c r="V674" i="7"/>
  <c r="V673" i="7"/>
  <c r="V672" i="7"/>
  <c r="V671" i="7"/>
  <c r="V648" i="7"/>
  <c r="V647" i="7"/>
  <c r="V646" i="7"/>
  <c r="V705" i="7"/>
  <c r="V680" i="7"/>
  <c r="V711" i="7"/>
  <c r="V707" i="7"/>
  <c r="V703" i="7"/>
  <c r="V709" i="7"/>
  <c r="V704" i="7"/>
  <c r="V644" i="7"/>
  <c r="V642" i="7"/>
  <c r="V640" i="7"/>
  <c r="V645" i="7"/>
  <c r="V643" i="7"/>
  <c r="V641" i="7"/>
  <c r="V639" i="7"/>
  <c r="V61" i="7"/>
  <c r="V27" i="7"/>
  <c r="Q622" i="7"/>
  <c r="O101" i="7"/>
  <c r="O440" i="7"/>
  <c r="P445" i="7"/>
  <c r="P300" i="7"/>
  <c r="P443" i="7"/>
  <c r="P444" i="7"/>
  <c r="P448" i="7"/>
  <c r="P468" i="7"/>
  <c r="P472" i="7"/>
  <c r="P492" i="7"/>
  <c r="P496" i="7"/>
  <c r="P500" i="7"/>
  <c r="P469" i="7"/>
  <c r="P473" i="7"/>
  <c r="P493" i="7"/>
  <c r="P497" i="7"/>
  <c r="P501" i="7"/>
  <c r="P38" i="7"/>
  <c r="P304" i="7"/>
  <c r="P649" i="7"/>
  <c r="P634" i="7" s="1"/>
  <c r="P98" i="7" s="1"/>
  <c r="P681" i="7"/>
  <c r="P666" i="7" s="1"/>
  <c r="P99" i="7" s="1"/>
  <c r="P713" i="7"/>
  <c r="P698" i="7" s="1"/>
  <c r="P100" i="7" s="1"/>
  <c r="Q724" i="7"/>
  <c r="Q723" i="7"/>
  <c r="Q722" i="7"/>
  <c r="Q721" i="7"/>
  <c r="Q720" i="7"/>
  <c r="Q718" i="7"/>
  <c r="Q716" i="7"/>
  <c r="Q364" i="7"/>
  <c r="Q363" i="7"/>
  <c r="Q362" i="7"/>
  <c r="Q361" i="7"/>
  <c r="Q360" i="7"/>
  <c r="Q359" i="7"/>
  <c r="Q358" i="7"/>
  <c r="Q357" i="7"/>
  <c r="Q356" i="7"/>
  <c r="Q338" i="7"/>
  <c r="Q337" i="7"/>
  <c r="Q336" i="7"/>
  <c r="Q335" i="7"/>
  <c r="Q334" i="7"/>
  <c r="Q333" i="7"/>
  <c r="Q332" i="7"/>
  <c r="Q355" i="7"/>
  <c r="Q692" i="7"/>
  <c r="Q691" i="7"/>
  <c r="Q690" i="7"/>
  <c r="Q689" i="7"/>
  <c r="Q688" i="7"/>
  <c r="Q687" i="7"/>
  <c r="Q686" i="7"/>
  <c r="Q685" i="7"/>
  <c r="Q684" i="7"/>
  <c r="Q331" i="7"/>
  <c r="Q313" i="7"/>
  <c r="Q312" i="7"/>
  <c r="Q311" i="7"/>
  <c r="Q310" i="7"/>
  <c r="Q309" i="7"/>
  <c r="Q308" i="7"/>
  <c r="Q330" i="7"/>
  <c r="Q660" i="7"/>
  <c r="Q659" i="7"/>
  <c r="Q658" i="7"/>
  <c r="Q657" i="7"/>
  <c r="Q656" i="7"/>
  <c r="Q655" i="7"/>
  <c r="Q654" i="7"/>
  <c r="Q653" i="7"/>
  <c r="Q307" i="7"/>
  <c r="Q306" i="7"/>
  <c r="Q305" i="7"/>
  <c r="Q540" i="7"/>
  <c r="Q534" i="7"/>
  <c r="Q420" i="7"/>
  <c r="Q419" i="7"/>
  <c r="Q418" i="7"/>
  <c r="Q417" i="7"/>
  <c r="Q416" i="7"/>
  <c r="Q415" i="7"/>
  <c r="Q435" i="7"/>
  <c r="Q299" i="7"/>
  <c r="Q284" i="7"/>
  <c r="Q283" i="7"/>
  <c r="Q282" i="7"/>
  <c r="Q281" i="7"/>
  <c r="Q280" i="7"/>
  <c r="Q279" i="7"/>
  <c r="Q36" i="7"/>
  <c r="P441" i="7"/>
  <c r="P449" i="7"/>
  <c r="P447" i="7"/>
  <c r="P442" i="7"/>
  <c r="P446" i="7"/>
  <c r="P466" i="7"/>
  <c r="P470" i="7"/>
  <c r="P474" i="7"/>
  <c r="P494" i="7"/>
  <c r="P498" i="7"/>
  <c r="P436" i="7"/>
  <c r="P467" i="7"/>
  <c r="P471" i="7"/>
  <c r="P475" i="7"/>
  <c r="P495" i="7"/>
  <c r="P499" i="7"/>
  <c r="W60" i="7" l="1"/>
  <c r="AQ147" i="1"/>
  <c r="W594" i="7"/>
  <c r="W628" i="7"/>
  <c r="W539" i="7"/>
  <c r="W533" i="7"/>
  <c r="W571" i="7"/>
  <c r="W579" i="7"/>
  <c r="W575" i="7"/>
  <c r="W567" i="7"/>
  <c r="W37" i="7"/>
  <c r="W41" i="7"/>
  <c r="W34" i="7"/>
  <c r="X596" i="7"/>
  <c r="W712" i="7"/>
  <c r="W711" i="7"/>
  <c r="W710" i="7"/>
  <c r="W709" i="7"/>
  <c r="W708" i="7"/>
  <c r="W707" i="7"/>
  <c r="W706" i="7"/>
  <c r="W705" i="7"/>
  <c r="W704" i="7"/>
  <c r="W680" i="7"/>
  <c r="W703" i="7"/>
  <c r="W679" i="7"/>
  <c r="W677" i="7"/>
  <c r="W678" i="7"/>
  <c r="W676" i="7"/>
  <c r="W674" i="7"/>
  <c r="W672" i="7"/>
  <c r="W648" i="7"/>
  <c r="W646" i="7"/>
  <c r="W673" i="7"/>
  <c r="W645" i="7"/>
  <c r="W643" i="7"/>
  <c r="W641" i="7"/>
  <c r="W639" i="7"/>
  <c r="W675" i="7"/>
  <c r="W671" i="7"/>
  <c r="W647" i="7"/>
  <c r="W644" i="7"/>
  <c r="W642" i="7"/>
  <c r="W640" i="7"/>
  <c r="W27" i="7"/>
  <c r="W61" i="7"/>
  <c r="R622" i="7"/>
  <c r="Q304" i="7"/>
  <c r="Q681" i="7"/>
  <c r="Q666" i="7" s="1"/>
  <c r="Q99" i="7" s="1"/>
  <c r="Q38" i="7"/>
  <c r="Q329" i="7"/>
  <c r="Q649" i="7"/>
  <c r="Q634" i="7" s="1"/>
  <c r="Q98" i="7" s="1"/>
  <c r="Q444" i="7"/>
  <c r="Q446" i="7"/>
  <c r="Q443" i="7"/>
  <c r="Q447" i="7"/>
  <c r="Q467" i="7"/>
  <c r="Q471" i="7"/>
  <c r="Q475" i="7"/>
  <c r="Q495" i="7"/>
  <c r="Q499" i="7"/>
  <c r="Q468" i="7"/>
  <c r="Q472" i="7"/>
  <c r="Q492" i="7"/>
  <c r="Q496" i="7"/>
  <c r="Q500" i="7"/>
  <c r="P440" i="7"/>
  <c r="Q713" i="7"/>
  <c r="Q698" i="7" s="1"/>
  <c r="Q100" i="7" s="1"/>
  <c r="P101" i="7"/>
  <c r="R724" i="7"/>
  <c r="R723" i="7"/>
  <c r="R722" i="7"/>
  <c r="R721" i="7"/>
  <c r="R719" i="7"/>
  <c r="R717" i="7"/>
  <c r="R716" i="7"/>
  <c r="R364" i="7"/>
  <c r="R363" i="7"/>
  <c r="R362" i="7"/>
  <c r="R361" i="7"/>
  <c r="R360" i="7"/>
  <c r="R359" i="7"/>
  <c r="R358" i="7"/>
  <c r="R357" i="7"/>
  <c r="R356" i="7"/>
  <c r="R355" i="7"/>
  <c r="R692" i="7"/>
  <c r="R691" i="7"/>
  <c r="R690" i="7"/>
  <c r="R689" i="7"/>
  <c r="R688" i="7"/>
  <c r="R687" i="7"/>
  <c r="R686" i="7"/>
  <c r="R685" i="7"/>
  <c r="R683" i="7"/>
  <c r="R338" i="7"/>
  <c r="R337" i="7"/>
  <c r="R336" i="7"/>
  <c r="R335" i="7"/>
  <c r="R334" i="7"/>
  <c r="R333" i="7"/>
  <c r="R332" i="7"/>
  <c r="R331" i="7"/>
  <c r="R330" i="7"/>
  <c r="R329" i="7"/>
  <c r="R660" i="7"/>
  <c r="R659" i="7"/>
  <c r="R658" i="7"/>
  <c r="R657" i="7"/>
  <c r="R656" i="7"/>
  <c r="R655" i="7"/>
  <c r="R654" i="7"/>
  <c r="R653" i="7"/>
  <c r="R651" i="7"/>
  <c r="R313" i="7"/>
  <c r="R312" i="7"/>
  <c r="R311" i="7"/>
  <c r="R310" i="7"/>
  <c r="R309" i="7"/>
  <c r="R308" i="7"/>
  <c r="R307" i="7"/>
  <c r="R306" i="7"/>
  <c r="R305" i="7"/>
  <c r="R540" i="7"/>
  <c r="R534" i="7"/>
  <c r="R435" i="7"/>
  <c r="R420" i="7"/>
  <c r="R419" i="7"/>
  <c r="R418" i="7"/>
  <c r="R417" i="7"/>
  <c r="R416" i="7"/>
  <c r="R415" i="7"/>
  <c r="R284" i="7"/>
  <c r="R283" i="7"/>
  <c r="R282" i="7"/>
  <c r="R281" i="7"/>
  <c r="R280" i="7"/>
  <c r="R279" i="7"/>
  <c r="R299" i="7"/>
  <c r="R36" i="7"/>
  <c r="Q300" i="7"/>
  <c r="Q448" i="7"/>
  <c r="Q442" i="7"/>
  <c r="Q441" i="7"/>
  <c r="Q445" i="7"/>
  <c r="Q449" i="7"/>
  <c r="Q469" i="7"/>
  <c r="Q473" i="7"/>
  <c r="Q493" i="7"/>
  <c r="Q497" i="7"/>
  <c r="Q501" i="7"/>
  <c r="Q470" i="7"/>
  <c r="Q474" i="7"/>
  <c r="Q494" i="7"/>
  <c r="Q498" i="7"/>
  <c r="Q436" i="7"/>
  <c r="X60" i="7" l="1"/>
  <c r="X594" i="7"/>
  <c r="X628" i="7"/>
  <c r="X571" i="7"/>
  <c r="X539" i="7"/>
  <c r="X533" i="7"/>
  <c r="X579" i="7"/>
  <c r="X575" i="7"/>
  <c r="X567" i="7"/>
  <c r="X37" i="7"/>
  <c r="X41" i="7"/>
  <c r="X34" i="7"/>
  <c r="Y596" i="7"/>
  <c r="Q466" i="7"/>
  <c r="Q440" i="7"/>
  <c r="X711" i="7"/>
  <c r="X709" i="7"/>
  <c r="X707" i="7"/>
  <c r="X705" i="7"/>
  <c r="X712" i="7"/>
  <c r="X708" i="7"/>
  <c r="X704" i="7"/>
  <c r="X710" i="7"/>
  <c r="X703" i="7"/>
  <c r="X679" i="7"/>
  <c r="X677" i="7"/>
  <c r="X673" i="7"/>
  <c r="X706" i="7"/>
  <c r="X678" i="7"/>
  <c r="X676" i="7"/>
  <c r="X674" i="7"/>
  <c r="X680" i="7"/>
  <c r="X645" i="7"/>
  <c r="X644" i="7"/>
  <c r="X643" i="7"/>
  <c r="X642" i="7"/>
  <c r="X641" i="7"/>
  <c r="X640" i="7"/>
  <c r="X639" i="7"/>
  <c r="X675" i="7"/>
  <c r="X671" i="7"/>
  <c r="X648" i="7"/>
  <c r="X646" i="7"/>
  <c r="X647" i="7"/>
  <c r="X672" i="7"/>
  <c r="X27" i="7"/>
  <c r="X61" i="7"/>
  <c r="S622" i="7"/>
  <c r="B410" i="7"/>
  <c r="E389" i="7" s="1"/>
  <c r="E388" i="7" s="1"/>
  <c r="R304" i="7"/>
  <c r="Q101" i="7"/>
  <c r="S724" i="7"/>
  <c r="S723" i="7"/>
  <c r="S722" i="7"/>
  <c r="S721" i="7"/>
  <c r="S719" i="7"/>
  <c r="S717" i="7"/>
  <c r="S364" i="7"/>
  <c r="S363" i="7"/>
  <c r="S362" i="7"/>
  <c r="S361" i="7"/>
  <c r="S360" i="7"/>
  <c r="S359" i="7"/>
  <c r="S358" i="7"/>
  <c r="S357" i="7"/>
  <c r="S716" i="7"/>
  <c r="S355" i="7"/>
  <c r="S338" i="7"/>
  <c r="S337" i="7"/>
  <c r="S336" i="7"/>
  <c r="S335" i="7"/>
  <c r="S334" i="7"/>
  <c r="S333" i="7"/>
  <c r="S332" i="7"/>
  <c r="S356" i="7"/>
  <c r="S692" i="7"/>
  <c r="S691" i="7"/>
  <c r="S690" i="7"/>
  <c r="S689" i="7"/>
  <c r="S688" i="7"/>
  <c r="S687" i="7"/>
  <c r="S686" i="7"/>
  <c r="S685" i="7"/>
  <c r="S683" i="7"/>
  <c r="S313" i="7"/>
  <c r="S312" i="7"/>
  <c r="S311" i="7"/>
  <c r="S310" i="7"/>
  <c r="S309" i="7"/>
  <c r="S308" i="7"/>
  <c r="S331" i="7"/>
  <c r="S330" i="7"/>
  <c r="S329" i="7"/>
  <c r="S660" i="7"/>
  <c r="S659" i="7"/>
  <c r="S658" i="7"/>
  <c r="S657" i="7"/>
  <c r="S656" i="7"/>
  <c r="S655" i="7"/>
  <c r="S654" i="7"/>
  <c r="S653" i="7"/>
  <c r="S651" i="7"/>
  <c r="S306" i="7"/>
  <c r="S307" i="7"/>
  <c r="S305" i="7"/>
  <c r="S540" i="7"/>
  <c r="S534" i="7"/>
  <c r="S420" i="7"/>
  <c r="S419" i="7"/>
  <c r="S418" i="7"/>
  <c r="S417" i="7"/>
  <c r="S416" i="7"/>
  <c r="S415" i="7"/>
  <c r="S435" i="7"/>
  <c r="S299" i="7"/>
  <c r="S284" i="7"/>
  <c r="S283" i="7"/>
  <c r="S282" i="7"/>
  <c r="S281" i="7"/>
  <c r="S280" i="7"/>
  <c r="S279" i="7"/>
  <c r="S36" i="7"/>
  <c r="R447" i="7"/>
  <c r="R445" i="7"/>
  <c r="R444" i="7"/>
  <c r="R448" i="7"/>
  <c r="R468" i="7"/>
  <c r="R472" i="7"/>
  <c r="R492" i="7"/>
  <c r="R496" i="7"/>
  <c r="R500" i="7"/>
  <c r="R469" i="7"/>
  <c r="R473" i="7"/>
  <c r="R493" i="7"/>
  <c r="R497" i="7"/>
  <c r="R501" i="7"/>
  <c r="R38" i="7"/>
  <c r="R649" i="7"/>
  <c r="R634" i="7" s="1"/>
  <c r="R98" i="7" s="1"/>
  <c r="R681" i="7"/>
  <c r="R666" i="7" s="1"/>
  <c r="R99" i="7" s="1"/>
  <c r="R713" i="7"/>
  <c r="R698" i="7" s="1"/>
  <c r="R100" i="7" s="1"/>
  <c r="R443" i="7"/>
  <c r="R300" i="7"/>
  <c r="R441" i="7"/>
  <c r="R449" i="7"/>
  <c r="R442" i="7"/>
  <c r="R446" i="7"/>
  <c r="R466" i="7"/>
  <c r="R470" i="7"/>
  <c r="R474" i="7"/>
  <c r="R494" i="7"/>
  <c r="R498" i="7"/>
  <c r="R436" i="7"/>
  <c r="R467" i="7"/>
  <c r="R471" i="7"/>
  <c r="R475" i="7"/>
  <c r="R495" i="7"/>
  <c r="R499" i="7"/>
  <c r="Y594" i="7" l="1"/>
  <c r="Y628" i="7"/>
  <c r="Y539" i="7"/>
  <c r="Y533" i="7"/>
  <c r="Y579" i="7"/>
  <c r="Y575" i="7"/>
  <c r="Y571" i="7"/>
  <c r="Y567" i="7"/>
  <c r="Y37" i="7"/>
  <c r="Y41" i="7"/>
  <c r="Y34" i="7"/>
  <c r="Z596" i="7"/>
  <c r="E385" i="7"/>
  <c r="B411" i="7"/>
  <c r="E246" i="7"/>
  <c r="E249" i="7"/>
  <c r="E251" i="7"/>
  <c r="E250" i="7"/>
  <c r="E247" i="7"/>
  <c r="E248" i="7"/>
  <c r="R440" i="7"/>
  <c r="Y60" i="7"/>
  <c r="Y703" i="7"/>
  <c r="Y680" i="7"/>
  <c r="Y711" i="7"/>
  <c r="Y709" i="7"/>
  <c r="Y707" i="7"/>
  <c r="Y705" i="7"/>
  <c r="Y706" i="7"/>
  <c r="Y712" i="7"/>
  <c r="Y678" i="7"/>
  <c r="Y676" i="7"/>
  <c r="Y708" i="7"/>
  <c r="Y704" i="7"/>
  <c r="Y710" i="7"/>
  <c r="Y679" i="7"/>
  <c r="Y677" i="7"/>
  <c r="Y675" i="7"/>
  <c r="Y673" i="7"/>
  <c r="Y671" i="7"/>
  <c r="Y647" i="7"/>
  <c r="Y648" i="7"/>
  <c r="Y646" i="7"/>
  <c r="Y645" i="7"/>
  <c r="Y643" i="7"/>
  <c r="Y641" i="7"/>
  <c r="Y639" i="7"/>
  <c r="Y674" i="7"/>
  <c r="Y672" i="7"/>
  <c r="Y644" i="7"/>
  <c r="Y642" i="7"/>
  <c r="Y640" i="7"/>
  <c r="Y61" i="7"/>
  <c r="Y27" i="7"/>
  <c r="C189" i="7"/>
  <c r="T622" i="7"/>
  <c r="S304" i="7"/>
  <c r="T724" i="7"/>
  <c r="T723" i="7"/>
  <c r="T722" i="7"/>
  <c r="T721" i="7"/>
  <c r="T719" i="7"/>
  <c r="T717" i="7"/>
  <c r="T716" i="7"/>
  <c r="T364" i="7"/>
  <c r="T363" i="7"/>
  <c r="T362" i="7"/>
  <c r="T361" i="7"/>
  <c r="T360" i="7"/>
  <c r="T359" i="7"/>
  <c r="T358" i="7"/>
  <c r="T357" i="7"/>
  <c r="T356" i="7"/>
  <c r="T355" i="7"/>
  <c r="T692" i="7"/>
  <c r="T691" i="7"/>
  <c r="T690" i="7"/>
  <c r="T689" i="7"/>
  <c r="T688" i="7"/>
  <c r="T687" i="7"/>
  <c r="T686" i="7"/>
  <c r="T685" i="7"/>
  <c r="T683" i="7"/>
  <c r="T338" i="7"/>
  <c r="T337" i="7"/>
  <c r="T336" i="7"/>
  <c r="T335" i="7"/>
  <c r="T334" i="7"/>
  <c r="T333" i="7"/>
  <c r="T332" i="7"/>
  <c r="T331" i="7"/>
  <c r="T330" i="7"/>
  <c r="T329" i="7"/>
  <c r="T660" i="7"/>
  <c r="T659" i="7"/>
  <c r="T658" i="7"/>
  <c r="T657" i="7"/>
  <c r="T656" i="7"/>
  <c r="T655" i="7"/>
  <c r="T654" i="7"/>
  <c r="T653" i="7"/>
  <c r="T651" i="7"/>
  <c r="T313" i="7"/>
  <c r="T312" i="7"/>
  <c r="T311" i="7"/>
  <c r="T310" i="7"/>
  <c r="T309" i="7"/>
  <c r="T308" i="7"/>
  <c r="T307" i="7"/>
  <c r="T306" i="7"/>
  <c r="T305" i="7"/>
  <c r="T540" i="7"/>
  <c r="T534" i="7"/>
  <c r="T435" i="7"/>
  <c r="T420" i="7"/>
  <c r="T419" i="7"/>
  <c r="T418" i="7"/>
  <c r="T417" i="7"/>
  <c r="T416" i="7"/>
  <c r="T415" i="7"/>
  <c r="T284" i="7"/>
  <c r="T283" i="7"/>
  <c r="T282" i="7"/>
  <c r="T281" i="7"/>
  <c r="T280" i="7"/>
  <c r="T279" i="7"/>
  <c r="T299" i="7"/>
  <c r="T36" i="7"/>
  <c r="S300" i="7"/>
  <c r="S442" i="7"/>
  <c r="S444" i="7"/>
  <c r="S441" i="7"/>
  <c r="S445" i="7"/>
  <c r="S449" i="7"/>
  <c r="S469" i="7"/>
  <c r="S473" i="7"/>
  <c r="S493" i="7"/>
  <c r="S497" i="7"/>
  <c r="S501" i="7"/>
  <c r="S466" i="7"/>
  <c r="S470" i="7"/>
  <c r="S474" i="7"/>
  <c r="S494" i="7"/>
  <c r="S498" i="7"/>
  <c r="S436" i="7"/>
  <c r="R101" i="7"/>
  <c r="S38" i="7"/>
  <c r="S649" i="7"/>
  <c r="S634" i="7" s="1"/>
  <c r="S98" i="7" s="1"/>
  <c r="S681" i="7"/>
  <c r="S666" i="7" s="1"/>
  <c r="S99" i="7" s="1"/>
  <c r="S446" i="7"/>
  <c r="S448" i="7"/>
  <c r="S443" i="7"/>
  <c r="S447" i="7"/>
  <c r="S467" i="7"/>
  <c r="S471" i="7"/>
  <c r="S475" i="7"/>
  <c r="S495" i="7"/>
  <c r="S499" i="7"/>
  <c r="S468" i="7"/>
  <c r="S472" i="7"/>
  <c r="S492" i="7"/>
  <c r="S496" i="7"/>
  <c r="S500" i="7"/>
  <c r="S713" i="7"/>
  <c r="S698" i="7" s="1"/>
  <c r="S100" i="7" s="1"/>
  <c r="Z60" i="7" l="1"/>
  <c r="Z594" i="7"/>
  <c r="Z628" i="7"/>
  <c r="Z539" i="7"/>
  <c r="Z567" i="7"/>
  <c r="Z533" i="7"/>
  <c r="Z579" i="7"/>
  <c r="Z575" i="7"/>
  <c r="Z571" i="7"/>
  <c r="Z37" i="7"/>
  <c r="Z41" i="7"/>
  <c r="Z34" i="7"/>
  <c r="AA596" i="7"/>
  <c r="E382" i="7"/>
  <c r="E384" i="7"/>
  <c r="E383" i="7"/>
  <c r="E387" i="7"/>
  <c r="E386" i="7"/>
  <c r="S440" i="7"/>
  <c r="Z712" i="7"/>
  <c r="Z710" i="7"/>
  <c r="Z708" i="7"/>
  <c r="Z706" i="7"/>
  <c r="Z704" i="7"/>
  <c r="Z709" i="7"/>
  <c r="Z705" i="7"/>
  <c r="Z703" i="7"/>
  <c r="Z679" i="7"/>
  <c r="Z678" i="7"/>
  <c r="Z677" i="7"/>
  <c r="Z676" i="7"/>
  <c r="Z675" i="7"/>
  <c r="Z674" i="7"/>
  <c r="Z673" i="7"/>
  <c r="Z672" i="7"/>
  <c r="Z671" i="7"/>
  <c r="Z648" i="7"/>
  <c r="Z647" i="7"/>
  <c r="Z646" i="7"/>
  <c r="Z711" i="7"/>
  <c r="Z707" i="7"/>
  <c r="Z680" i="7"/>
  <c r="Z639" i="7"/>
  <c r="Z644" i="7"/>
  <c r="Z642" i="7"/>
  <c r="Z640" i="7"/>
  <c r="Z645" i="7"/>
  <c r="Z643" i="7"/>
  <c r="Z641" i="7"/>
  <c r="Z61" i="7"/>
  <c r="Z27" i="7"/>
  <c r="U622" i="7"/>
  <c r="T304" i="7"/>
  <c r="T713" i="7"/>
  <c r="T698" i="7" s="1"/>
  <c r="T100" i="7" s="1"/>
  <c r="U724" i="7"/>
  <c r="U723" i="7"/>
  <c r="U722" i="7"/>
  <c r="U720" i="7"/>
  <c r="U719" i="7"/>
  <c r="U717" i="7"/>
  <c r="U716" i="7"/>
  <c r="U364" i="7"/>
  <c r="U363" i="7"/>
  <c r="U362" i="7"/>
  <c r="U361" i="7"/>
  <c r="U360" i="7"/>
  <c r="U359" i="7"/>
  <c r="U358" i="7"/>
  <c r="U357" i="7"/>
  <c r="U356" i="7"/>
  <c r="U338" i="7"/>
  <c r="U337" i="7"/>
  <c r="U336" i="7"/>
  <c r="U335" i="7"/>
  <c r="U334" i="7"/>
  <c r="U333" i="7"/>
  <c r="U332" i="7"/>
  <c r="U355" i="7"/>
  <c r="U692" i="7"/>
  <c r="U691" i="7"/>
  <c r="U690" i="7"/>
  <c r="U689" i="7"/>
  <c r="U688" i="7"/>
  <c r="U687" i="7"/>
  <c r="U686" i="7"/>
  <c r="U685" i="7"/>
  <c r="U683" i="7"/>
  <c r="U331" i="7"/>
  <c r="U313" i="7"/>
  <c r="U312" i="7"/>
  <c r="U311" i="7"/>
  <c r="U310" i="7"/>
  <c r="U309" i="7"/>
  <c r="U308" i="7"/>
  <c r="U330" i="7"/>
  <c r="U329" i="7"/>
  <c r="U660" i="7"/>
  <c r="U659" i="7"/>
  <c r="U658" i="7"/>
  <c r="U657" i="7"/>
  <c r="U656" i="7"/>
  <c r="U655" i="7"/>
  <c r="U654" i="7"/>
  <c r="U653" i="7"/>
  <c r="U651" i="7"/>
  <c r="U307" i="7"/>
  <c r="U306" i="7"/>
  <c r="U305" i="7"/>
  <c r="U540" i="7"/>
  <c r="U534" i="7"/>
  <c r="U420" i="7"/>
  <c r="U419" i="7"/>
  <c r="U418" i="7"/>
  <c r="U417" i="7"/>
  <c r="U416" i="7"/>
  <c r="U415" i="7"/>
  <c r="U435" i="7"/>
  <c r="U299" i="7"/>
  <c r="U284" i="7"/>
  <c r="U283" i="7"/>
  <c r="U282" i="7"/>
  <c r="U281" i="7"/>
  <c r="U280" i="7"/>
  <c r="U279" i="7"/>
  <c r="U36" i="7"/>
  <c r="T445" i="7"/>
  <c r="T300" i="7"/>
  <c r="T443" i="7"/>
  <c r="T444" i="7"/>
  <c r="T448" i="7"/>
  <c r="T468" i="7"/>
  <c r="T472" i="7"/>
  <c r="T492" i="7"/>
  <c r="T496" i="7"/>
  <c r="T500" i="7"/>
  <c r="T469" i="7"/>
  <c r="T473" i="7"/>
  <c r="T493" i="7"/>
  <c r="T497" i="7"/>
  <c r="T501" i="7"/>
  <c r="T38" i="7"/>
  <c r="T649" i="7"/>
  <c r="T634" i="7" s="1"/>
  <c r="T98" i="7" s="1"/>
  <c r="T681" i="7"/>
  <c r="T666" i="7" s="1"/>
  <c r="T99" i="7" s="1"/>
  <c r="T441" i="7"/>
  <c r="T449" i="7"/>
  <c r="T447" i="7"/>
  <c r="T442" i="7"/>
  <c r="T446" i="7"/>
  <c r="T466" i="7"/>
  <c r="T470" i="7"/>
  <c r="T474" i="7"/>
  <c r="T494" i="7"/>
  <c r="T498" i="7"/>
  <c r="T436" i="7"/>
  <c r="T467" i="7"/>
  <c r="T471" i="7"/>
  <c r="T475" i="7"/>
  <c r="T495" i="7"/>
  <c r="T499" i="7"/>
  <c r="S101" i="7"/>
  <c r="AA60" i="7" l="1"/>
  <c r="AA594" i="7"/>
  <c r="AA539" i="7"/>
  <c r="AA533" i="7"/>
  <c r="AA579" i="7"/>
  <c r="AA575" i="7"/>
  <c r="AA571" i="7"/>
  <c r="AA567" i="7"/>
  <c r="AA37" i="7"/>
  <c r="AA41" i="7"/>
  <c r="AA34" i="7"/>
  <c r="AB596" i="7"/>
  <c r="T440" i="7"/>
  <c r="AA712" i="7"/>
  <c r="AA711" i="7"/>
  <c r="AA710" i="7"/>
  <c r="AA709" i="7"/>
  <c r="AA708" i="7"/>
  <c r="AA707" i="7"/>
  <c r="AA706" i="7"/>
  <c r="AA705" i="7"/>
  <c r="AA704" i="7"/>
  <c r="AA680" i="7"/>
  <c r="AA679" i="7"/>
  <c r="AA677" i="7"/>
  <c r="AA675" i="7"/>
  <c r="AA703" i="7"/>
  <c r="AA678" i="7"/>
  <c r="AA676" i="7"/>
  <c r="AA674" i="7"/>
  <c r="AA672" i="7"/>
  <c r="AA648" i="7"/>
  <c r="AA644" i="7"/>
  <c r="AA642" i="7"/>
  <c r="AA640" i="7"/>
  <c r="AA671" i="7"/>
  <c r="AA647" i="7"/>
  <c r="AA645" i="7"/>
  <c r="AA643" i="7"/>
  <c r="AA641" i="7"/>
  <c r="AA639" i="7"/>
  <c r="AA673" i="7"/>
  <c r="AA646" i="7"/>
  <c r="AA27" i="7"/>
  <c r="AA61" i="7"/>
  <c r="V622" i="7"/>
  <c r="U304" i="7"/>
  <c r="U713" i="7"/>
  <c r="U698" i="7" s="1"/>
  <c r="U100" i="7" s="1"/>
  <c r="V724" i="7"/>
  <c r="V723" i="7"/>
  <c r="V722" i="7"/>
  <c r="V720" i="7"/>
  <c r="V719" i="7"/>
  <c r="V717" i="7"/>
  <c r="V716" i="7"/>
  <c r="V364" i="7"/>
  <c r="V363" i="7"/>
  <c r="V362" i="7"/>
  <c r="V361" i="7"/>
  <c r="V360" i="7"/>
  <c r="V359" i="7"/>
  <c r="V358" i="7"/>
  <c r="V357" i="7"/>
  <c r="V356" i="7"/>
  <c r="V355" i="7"/>
  <c r="V692" i="7"/>
  <c r="V691" i="7"/>
  <c r="V690" i="7"/>
  <c r="V689" i="7"/>
  <c r="V688" i="7"/>
  <c r="V687" i="7"/>
  <c r="V686" i="7"/>
  <c r="V685" i="7"/>
  <c r="V683" i="7"/>
  <c r="V338" i="7"/>
  <c r="V337" i="7"/>
  <c r="V336" i="7"/>
  <c r="V335" i="7"/>
  <c r="V334" i="7"/>
  <c r="V333" i="7"/>
  <c r="V332" i="7"/>
  <c r="V331" i="7"/>
  <c r="V330" i="7"/>
  <c r="V329" i="7"/>
  <c r="V660" i="7"/>
  <c r="V659" i="7"/>
  <c r="V658" i="7"/>
  <c r="V657" i="7"/>
  <c r="V656" i="7"/>
  <c r="V655" i="7"/>
  <c r="V654" i="7"/>
  <c r="V653" i="7"/>
  <c r="V651" i="7"/>
  <c r="V313" i="7"/>
  <c r="V312" i="7"/>
  <c r="V311" i="7"/>
  <c r="V310" i="7"/>
  <c r="V309" i="7"/>
  <c r="V308" i="7"/>
  <c r="V307" i="7"/>
  <c r="V306" i="7"/>
  <c r="V305" i="7"/>
  <c r="V540" i="7"/>
  <c r="V534" i="7"/>
  <c r="V435" i="7"/>
  <c r="V420" i="7"/>
  <c r="V419" i="7"/>
  <c r="V418" i="7"/>
  <c r="V417" i="7"/>
  <c r="V416" i="7"/>
  <c r="V415" i="7"/>
  <c r="V284" i="7"/>
  <c r="V283" i="7"/>
  <c r="V282" i="7"/>
  <c r="V281" i="7"/>
  <c r="V280" i="7"/>
  <c r="V279" i="7"/>
  <c r="V299" i="7"/>
  <c r="V36" i="7"/>
  <c r="U300" i="7"/>
  <c r="U448" i="7"/>
  <c r="U442" i="7"/>
  <c r="U441" i="7"/>
  <c r="U445" i="7"/>
  <c r="U449" i="7"/>
  <c r="U469" i="7"/>
  <c r="U473" i="7"/>
  <c r="U493" i="7"/>
  <c r="U497" i="7"/>
  <c r="U501" i="7"/>
  <c r="U466" i="7"/>
  <c r="U470" i="7"/>
  <c r="U474" i="7"/>
  <c r="U494" i="7"/>
  <c r="U498" i="7"/>
  <c r="U436" i="7"/>
  <c r="T101" i="7"/>
  <c r="U38" i="7"/>
  <c r="U649" i="7"/>
  <c r="U634" i="7" s="1"/>
  <c r="U98" i="7" s="1"/>
  <c r="U681" i="7"/>
  <c r="U666" i="7" s="1"/>
  <c r="U99" i="7" s="1"/>
  <c r="U444" i="7"/>
  <c r="U446" i="7"/>
  <c r="U443" i="7"/>
  <c r="U447" i="7"/>
  <c r="U467" i="7"/>
  <c r="U471" i="7"/>
  <c r="U475" i="7"/>
  <c r="U495" i="7"/>
  <c r="U499" i="7"/>
  <c r="U468" i="7"/>
  <c r="U472" i="7"/>
  <c r="U492" i="7"/>
  <c r="U496" i="7"/>
  <c r="U500" i="7"/>
  <c r="AB429" i="7" l="1"/>
  <c r="AB293" i="7"/>
  <c r="AB594" i="7"/>
  <c r="AB628" i="7"/>
  <c r="AB575" i="7"/>
  <c r="AB567" i="7"/>
  <c r="AB539" i="7"/>
  <c r="AB533" i="7"/>
  <c r="AB579" i="7"/>
  <c r="AB571" i="7"/>
  <c r="AB37" i="7"/>
  <c r="AB34" i="7"/>
  <c r="AB41" i="7"/>
  <c r="AC596" i="7"/>
  <c r="U440" i="7"/>
  <c r="AB60" i="7"/>
  <c r="AB712" i="7"/>
  <c r="AB710" i="7"/>
  <c r="AB708" i="7"/>
  <c r="AB706" i="7"/>
  <c r="AB680" i="7"/>
  <c r="AB707" i="7"/>
  <c r="AB704" i="7"/>
  <c r="AB679" i="7"/>
  <c r="AB677" i="7"/>
  <c r="AB709" i="7"/>
  <c r="AB703" i="7"/>
  <c r="AB711" i="7"/>
  <c r="AB705" i="7"/>
  <c r="AB678" i="7"/>
  <c r="AB676" i="7"/>
  <c r="AB674" i="7"/>
  <c r="AB672" i="7"/>
  <c r="AB648" i="7"/>
  <c r="AB646" i="7"/>
  <c r="AB645" i="7"/>
  <c r="AB644" i="7"/>
  <c r="AB643" i="7"/>
  <c r="AB642" i="7"/>
  <c r="AB641" i="7"/>
  <c r="AB640" i="7"/>
  <c r="AB639" i="7"/>
  <c r="AB671" i="7"/>
  <c r="AB647" i="7"/>
  <c r="AB675" i="7"/>
  <c r="AB673" i="7"/>
  <c r="AB27" i="7"/>
  <c r="AB61" i="7"/>
  <c r="W622" i="7"/>
  <c r="W593" i="7"/>
  <c r="V649" i="7"/>
  <c r="V634" i="7" s="1"/>
  <c r="V98" i="7" s="1"/>
  <c r="V713" i="7"/>
  <c r="V698" i="7" s="1"/>
  <c r="V100" i="7" s="1"/>
  <c r="V304" i="7"/>
  <c r="V38" i="7"/>
  <c r="V681" i="7"/>
  <c r="V666" i="7" s="1"/>
  <c r="V99" i="7" s="1"/>
  <c r="W724" i="7"/>
  <c r="W723" i="7"/>
  <c r="W722" i="7"/>
  <c r="W720" i="7"/>
  <c r="W718" i="7"/>
  <c r="W717" i="7"/>
  <c r="W364" i="7"/>
  <c r="W363" i="7"/>
  <c r="W362" i="7"/>
  <c r="W361" i="7"/>
  <c r="W360" i="7"/>
  <c r="W359" i="7"/>
  <c r="W358" i="7"/>
  <c r="W357" i="7"/>
  <c r="W715" i="7"/>
  <c r="W355" i="7"/>
  <c r="W338" i="7"/>
  <c r="W337" i="7"/>
  <c r="W336" i="7"/>
  <c r="W335" i="7"/>
  <c r="W334" i="7"/>
  <c r="W333" i="7"/>
  <c r="W332" i="7"/>
  <c r="W356" i="7"/>
  <c r="W692" i="7"/>
  <c r="W691" i="7"/>
  <c r="W690" i="7"/>
  <c r="W689" i="7"/>
  <c r="W688" i="7"/>
  <c r="W687" i="7"/>
  <c r="W686" i="7"/>
  <c r="W685" i="7"/>
  <c r="W683" i="7"/>
  <c r="W313" i="7"/>
  <c r="W312" i="7"/>
  <c r="W311" i="7"/>
  <c r="W310" i="7"/>
  <c r="W309" i="7"/>
  <c r="W308" i="7"/>
  <c r="W331" i="7"/>
  <c r="W330" i="7"/>
  <c r="W329" i="7"/>
  <c r="W660" i="7"/>
  <c r="W659" i="7"/>
  <c r="W658" i="7"/>
  <c r="W657" i="7"/>
  <c r="W656" i="7"/>
  <c r="W655" i="7"/>
  <c r="W654" i="7"/>
  <c r="W653" i="7"/>
  <c r="W651" i="7"/>
  <c r="W306" i="7"/>
  <c r="W307" i="7"/>
  <c r="W305" i="7"/>
  <c r="W540" i="7"/>
  <c r="W534" i="7"/>
  <c r="W420" i="7"/>
  <c r="W419" i="7"/>
  <c r="W418" i="7"/>
  <c r="W417" i="7"/>
  <c r="W416" i="7"/>
  <c r="W415" i="7"/>
  <c r="W435" i="7"/>
  <c r="W299" i="7"/>
  <c r="W284" i="7"/>
  <c r="W283" i="7"/>
  <c r="W282" i="7"/>
  <c r="W281" i="7"/>
  <c r="W280" i="7"/>
  <c r="W279" i="7"/>
  <c r="W36" i="7"/>
  <c r="V443" i="7"/>
  <c r="V300" i="7"/>
  <c r="V441" i="7"/>
  <c r="V449" i="7"/>
  <c r="V442" i="7"/>
  <c r="V446" i="7"/>
  <c r="V466" i="7"/>
  <c r="V470" i="7"/>
  <c r="V474" i="7"/>
  <c r="V494" i="7"/>
  <c r="V498" i="7"/>
  <c r="V436" i="7"/>
  <c r="V467" i="7"/>
  <c r="V471" i="7"/>
  <c r="V475" i="7"/>
  <c r="V495" i="7"/>
  <c r="V499" i="7"/>
  <c r="V447" i="7"/>
  <c r="V445" i="7"/>
  <c r="V444" i="7"/>
  <c r="V448" i="7"/>
  <c r="V468" i="7"/>
  <c r="V472" i="7"/>
  <c r="V492" i="7"/>
  <c r="V496" i="7"/>
  <c r="V500" i="7"/>
  <c r="V469" i="7"/>
  <c r="V473" i="7"/>
  <c r="V493" i="7"/>
  <c r="V497" i="7"/>
  <c r="V501" i="7"/>
  <c r="U101" i="7"/>
  <c r="AB92" i="7" l="1"/>
  <c r="AC60" i="7"/>
  <c r="AC429" i="7"/>
  <c r="AC293" i="7"/>
  <c r="AC594" i="7"/>
  <c r="AC628" i="7"/>
  <c r="AC539" i="7"/>
  <c r="AC533" i="7"/>
  <c r="AC579" i="7"/>
  <c r="AC575" i="7"/>
  <c r="AC571" i="7"/>
  <c r="AC567" i="7"/>
  <c r="AC37" i="7"/>
  <c r="AC41" i="7"/>
  <c r="AC34" i="7"/>
  <c r="AD596" i="7"/>
  <c r="V440" i="7"/>
  <c r="AC711" i="7"/>
  <c r="AC709" i="7"/>
  <c r="AC707" i="7"/>
  <c r="AC705" i="7"/>
  <c r="AC703" i="7"/>
  <c r="AC680" i="7"/>
  <c r="AC710" i="7"/>
  <c r="AC706" i="7"/>
  <c r="AC712" i="7"/>
  <c r="AC704" i="7"/>
  <c r="AC671" i="7"/>
  <c r="AC708" i="7"/>
  <c r="AC678" i="7"/>
  <c r="AC676" i="7"/>
  <c r="AC674" i="7"/>
  <c r="AC679" i="7"/>
  <c r="AC677" i="7"/>
  <c r="AC675" i="7"/>
  <c r="AC673" i="7"/>
  <c r="AC672" i="7"/>
  <c r="AC645" i="7"/>
  <c r="AC643" i="7"/>
  <c r="AC641" i="7"/>
  <c r="AC639" i="7"/>
  <c r="AC646" i="7"/>
  <c r="AC648" i="7"/>
  <c r="AC647" i="7"/>
  <c r="AC644" i="7"/>
  <c r="AC642" i="7"/>
  <c r="AC640" i="7"/>
  <c r="AC61" i="7"/>
  <c r="AC27" i="7"/>
  <c r="W595" i="7"/>
  <c r="W597" i="7" s="1"/>
  <c r="X622" i="7"/>
  <c r="X593" i="7"/>
  <c r="W205" i="7"/>
  <c r="W168" i="7"/>
  <c r="W76" i="7"/>
  <c r="W90" i="7"/>
  <c r="V101" i="7"/>
  <c r="W304" i="7"/>
  <c r="W38" i="7"/>
  <c r="W681" i="7"/>
  <c r="W666" i="7" s="1"/>
  <c r="W99" i="7" s="1"/>
  <c r="W649" i="7"/>
  <c r="W634" i="7" s="1"/>
  <c r="W98" i="7" s="1"/>
  <c r="W446" i="7"/>
  <c r="W448" i="7"/>
  <c r="W443" i="7"/>
  <c r="W447" i="7"/>
  <c r="W467" i="7"/>
  <c r="W471" i="7"/>
  <c r="W475" i="7"/>
  <c r="W495" i="7"/>
  <c r="W499" i="7"/>
  <c r="W468" i="7"/>
  <c r="W472" i="7"/>
  <c r="W492" i="7"/>
  <c r="W496" i="7"/>
  <c r="W500" i="7"/>
  <c r="X614" i="7"/>
  <c r="W713" i="7"/>
  <c r="W698" i="7" s="1"/>
  <c r="W100" i="7" s="1"/>
  <c r="X724" i="7"/>
  <c r="X723" i="7"/>
  <c r="X721" i="7"/>
  <c r="X720" i="7"/>
  <c r="X718" i="7"/>
  <c r="X717" i="7"/>
  <c r="X715" i="7"/>
  <c r="X364" i="7"/>
  <c r="X363" i="7"/>
  <c r="X362" i="7"/>
  <c r="X361" i="7"/>
  <c r="X360" i="7"/>
  <c r="X358" i="7"/>
  <c r="X357" i="7"/>
  <c r="X356" i="7"/>
  <c r="X355" i="7"/>
  <c r="X692" i="7"/>
  <c r="X691" i="7"/>
  <c r="X690" i="7"/>
  <c r="X689" i="7"/>
  <c r="X688" i="7"/>
  <c r="X687" i="7"/>
  <c r="X686" i="7"/>
  <c r="X685" i="7"/>
  <c r="X683" i="7"/>
  <c r="X338" i="7"/>
  <c r="X337" i="7"/>
  <c r="X336" i="7"/>
  <c r="X335" i="7"/>
  <c r="X334" i="7"/>
  <c r="X333" i="7"/>
  <c r="X332" i="7"/>
  <c r="X331" i="7"/>
  <c r="X330" i="7"/>
  <c r="X329" i="7"/>
  <c r="X660" i="7"/>
  <c r="X659" i="7"/>
  <c r="X658" i="7"/>
  <c r="X657" i="7"/>
  <c r="X656" i="7"/>
  <c r="X655" i="7"/>
  <c r="X654" i="7"/>
  <c r="X653" i="7"/>
  <c r="X651" i="7"/>
  <c r="X313" i="7"/>
  <c r="X312" i="7"/>
  <c r="X311" i="7"/>
  <c r="X310" i="7"/>
  <c r="X309" i="7"/>
  <c r="X308" i="7"/>
  <c r="X307" i="7"/>
  <c r="X306" i="7"/>
  <c r="X305" i="7"/>
  <c r="X540" i="7"/>
  <c r="X534" i="7"/>
  <c r="X435" i="7"/>
  <c r="X420" i="7"/>
  <c r="X419" i="7"/>
  <c r="X418" i="7"/>
  <c r="X417" i="7"/>
  <c r="X416" i="7"/>
  <c r="X415" i="7"/>
  <c r="X359" i="7"/>
  <c r="X284" i="7"/>
  <c r="X283" i="7"/>
  <c r="X282" i="7"/>
  <c r="X281" i="7"/>
  <c r="X280" i="7"/>
  <c r="X279" i="7"/>
  <c r="X299" i="7"/>
  <c r="X36" i="7"/>
  <c r="W300" i="7"/>
  <c r="W442" i="7"/>
  <c r="W444" i="7"/>
  <c r="W441" i="7"/>
  <c r="W445" i="7"/>
  <c r="W449" i="7"/>
  <c r="W469" i="7"/>
  <c r="W473" i="7"/>
  <c r="W493" i="7"/>
  <c r="W497" i="7"/>
  <c r="W501" i="7"/>
  <c r="W466" i="7"/>
  <c r="W470" i="7"/>
  <c r="W474" i="7"/>
  <c r="W494" i="7"/>
  <c r="W498" i="7"/>
  <c r="W436" i="7"/>
  <c r="AD60" i="7" l="1"/>
  <c r="AD429" i="7"/>
  <c r="AD293" i="7"/>
  <c r="AC92" i="7"/>
  <c r="AD594" i="7"/>
  <c r="AD628" i="7"/>
  <c r="AD579" i="7"/>
  <c r="AD575" i="7"/>
  <c r="AD571" i="7"/>
  <c r="AD567" i="7"/>
  <c r="AD539" i="7"/>
  <c r="AD533" i="7"/>
  <c r="AD37" i="7"/>
  <c r="AD41" i="7"/>
  <c r="AD34" i="7"/>
  <c r="AE596" i="7"/>
  <c r="W440" i="7"/>
  <c r="AD711" i="7"/>
  <c r="AD709" i="7"/>
  <c r="AD707" i="7"/>
  <c r="AD705" i="7"/>
  <c r="AD704" i="7"/>
  <c r="AD679" i="7"/>
  <c r="AD678" i="7"/>
  <c r="AD677" i="7"/>
  <c r="AD676" i="7"/>
  <c r="AD675" i="7"/>
  <c r="AD674" i="7"/>
  <c r="AD673" i="7"/>
  <c r="AD672" i="7"/>
  <c r="AD671" i="7"/>
  <c r="AD648" i="7"/>
  <c r="AD647" i="7"/>
  <c r="AD646" i="7"/>
  <c r="AD708" i="7"/>
  <c r="AD703" i="7"/>
  <c r="AD710" i="7"/>
  <c r="AD712" i="7"/>
  <c r="AD706" i="7"/>
  <c r="AD680" i="7"/>
  <c r="AD645" i="7"/>
  <c r="AD643" i="7"/>
  <c r="AD641" i="7"/>
  <c r="AD639" i="7"/>
  <c r="AD644" i="7"/>
  <c r="AD642" i="7"/>
  <c r="AD640" i="7"/>
  <c r="AD61" i="7"/>
  <c r="AD27" i="7"/>
  <c r="X595" i="7"/>
  <c r="X597" i="7" s="1"/>
  <c r="Y622" i="7"/>
  <c r="Y593" i="7"/>
  <c r="X205" i="7"/>
  <c r="X168" i="7"/>
  <c r="X76" i="7"/>
  <c r="X304" i="7"/>
  <c r="W101" i="7"/>
  <c r="X445" i="7"/>
  <c r="X300" i="7"/>
  <c r="X443" i="7"/>
  <c r="X444" i="7"/>
  <c r="X448" i="7"/>
  <c r="X468" i="7"/>
  <c r="X472" i="7"/>
  <c r="X492" i="7"/>
  <c r="X496" i="7"/>
  <c r="X500" i="7"/>
  <c r="X469" i="7"/>
  <c r="X473" i="7"/>
  <c r="X493" i="7"/>
  <c r="X497" i="7"/>
  <c r="X501" i="7"/>
  <c r="Y614" i="7"/>
  <c r="X38" i="7"/>
  <c r="X90" i="7"/>
  <c r="X649" i="7"/>
  <c r="X634" i="7" s="1"/>
  <c r="X98" i="7" s="1"/>
  <c r="X681" i="7"/>
  <c r="X666" i="7" s="1"/>
  <c r="X99" i="7" s="1"/>
  <c r="X713" i="7"/>
  <c r="X698" i="7" s="1"/>
  <c r="X100" i="7" s="1"/>
  <c r="Y724" i="7"/>
  <c r="Y723" i="7"/>
  <c r="Y721" i="7"/>
  <c r="Y720" i="7"/>
  <c r="Y718" i="7"/>
  <c r="Y717" i="7"/>
  <c r="Y364" i="7"/>
  <c r="Y363" i="7"/>
  <c r="Y362" i="7"/>
  <c r="Y361" i="7"/>
  <c r="Y360" i="7"/>
  <c r="Y359" i="7"/>
  <c r="Y358" i="7"/>
  <c r="Y357" i="7"/>
  <c r="Y715" i="7"/>
  <c r="Y356" i="7"/>
  <c r="Y338" i="7"/>
  <c r="Y337" i="7"/>
  <c r="Y336" i="7"/>
  <c r="Y335" i="7"/>
  <c r="Y334" i="7"/>
  <c r="Y333" i="7"/>
  <c r="Y332" i="7"/>
  <c r="Y355" i="7"/>
  <c r="Y692" i="7"/>
  <c r="Y691" i="7"/>
  <c r="Y690" i="7"/>
  <c r="Y689" i="7"/>
  <c r="Y688" i="7"/>
  <c r="Y687" i="7"/>
  <c r="Y686" i="7"/>
  <c r="Y685" i="7"/>
  <c r="Y683" i="7"/>
  <c r="Y331" i="7"/>
  <c r="Y313" i="7"/>
  <c r="Y312" i="7"/>
  <c r="Y311" i="7"/>
  <c r="Y310" i="7"/>
  <c r="Y309" i="7"/>
  <c r="Y308" i="7"/>
  <c r="Y330" i="7"/>
  <c r="Y329" i="7"/>
  <c r="Y660" i="7"/>
  <c r="Y659" i="7"/>
  <c r="Y658" i="7"/>
  <c r="Y657" i="7"/>
  <c r="Y656" i="7"/>
  <c r="Y655" i="7"/>
  <c r="Y654" i="7"/>
  <c r="Y653" i="7"/>
  <c r="Y651" i="7"/>
  <c r="Y307" i="7"/>
  <c r="Y306" i="7"/>
  <c r="Y305" i="7"/>
  <c r="Y540" i="7"/>
  <c r="Y534" i="7"/>
  <c r="Y420" i="7"/>
  <c r="Y419" i="7"/>
  <c r="Y418" i="7"/>
  <c r="Y417" i="7"/>
  <c r="Y416" i="7"/>
  <c r="Y415" i="7"/>
  <c r="Y435" i="7"/>
  <c r="Y299" i="7"/>
  <c r="Y284" i="7"/>
  <c r="Y283" i="7"/>
  <c r="Y282" i="7"/>
  <c r="Y281" i="7"/>
  <c r="Y280" i="7"/>
  <c r="Y279" i="7"/>
  <c r="Y36" i="7"/>
  <c r="X441" i="7"/>
  <c r="X449" i="7"/>
  <c r="X447" i="7"/>
  <c r="X442" i="7"/>
  <c r="X446" i="7"/>
  <c r="X466" i="7"/>
  <c r="X470" i="7"/>
  <c r="X474" i="7"/>
  <c r="X494" i="7"/>
  <c r="X498" i="7"/>
  <c r="X436" i="7"/>
  <c r="X467" i="7"/>
  <c r="X471" i="7"/>
  <c r="X475" i="7"/>
  <c r="X495" i="7"/>
  <c r="X499" i="7"/>
  <c r="AD92" i="7" l="1"/>
  <c r="AE60" i="7"/>
  <c r="AE429" i="7"/>
  <c r="AE293" i="7"/>
  <c r="AE594" i="7"/>
  <c r="AE628" i="7"/>
  <c r="AE539" i="7"/>
  <c r="AE533" i="7"/>
  <c r="AE579" i="7"/>
  <c r="AE575" i="7"/>
  <c r="AE567" i="7"/>
  <c r="AE571" i="7"/>
  <c r="AE37" i="7"/>
  <c r="AE41" i="7"/>
  <c r="AE34" i="7"/>
  <c r="AF596" i="7"/>
  <c r="W111" i="7"/>
  <c r="W112" i="7" s="1"/>
  <c r="X440" i="7"/>
  <c r="AE712" i="7"/>
  <c r="AE711" i="7"/>
  <c r="AE710" i="7"/>
  <c r="AE709" i="7"/>
  <c r="AE708" i="7"/>
  <c r="AE707" i="7"/>
  <c r="AE706" i="7"/>
  <c r="AE705" i="7"/>
  <c r="AE704" i="7"/>
  <c r="AE703" i="7"/>
  <c r="AE678" i="7"/>
  <c r="AE676" i="7"/>
  <c r="AE680" i="7"/>
  <c r="AE679" i="7"/>
  <c r="AE677" i="7"/>
  <c r="AE675" i="7"/>
  <c r="AE673" i="7"/>
  <c r="AE671" i="7"/>
  <c r="AE647" i="7"/>
  <c r="AE639" i="7"/>
  <c r="AE674" i="7"/>
  <c r="AE672" i="7"/>
  <c r="AE646" i="7"/>
  <c r="AE644" i="7"/>
  <c r="AE642" i="7"/>
  <c r="AE640" i="7"/>
  <c r="AE648" i="7"/>
  <c r="AE645" i="7"/>
  <c r="AE643" i="7"/>
  <c r="AE641" i="7"/>
  <c r="AE27" i="7"/>
  <c r="AE61" i="7"/>
  <c r="Y595" i="7"/>
  <c r="Y597" i="7" s="1"/>
  <c r="Z622" i="7"/>
  <c r="Y304" i="7"/>
  <c r="Z593" i="7"/>
  <c r="Y205" i="7"/>
  <c r="Y168" i="7"/>
  <c r="Y76" i="7"/>
  <c r="Y713" i="7"/>
  <c r="Y698" i="7" s="1"/>
  <c r="Y100" i="7" s="1"/>
  <c r="Y38" i="7"/>
  <c r="Z724" i="7"/>
  <c r="Z723" i="7"/>
  <c r="Z721" i="7"/>
  <c r="Z720" i="7"/>
  <c r="Z718" i="7"/>
  <c r="Z717" i="7"/>
  <c r="Z715" i="7"/>
  <c r="Z364" i="7"/>
  <c r="Z363" i="7"/>
  <c r="Z362" i="7"/>
  <c r="Z361" i="7"/>
  <c r="Z360" i="7"/>
  <c r="Z359" i="7"/>
  <c r="Z358" i="7"/>
  <c r="Z357" i="7"/>
  <c r="Z356" i="7"/>
  <c r="Z355" i="7"/>
  <c r="Z692" i="7"/>
  <c r="Z691" i="7"/>
  <c r="Z690" i="7"/>
  <c r="Z689" i="7"/>
  <c r="Z688" i="7"/>
  <c r="Z687" i="7"/>
  <c r="Z686" i="7"/>
  <c r="Z685" i="7"/>
  <c r="Z683" i="7"/>
  <c r="Z338" i="7"/>
  <c r="Z337" i="7"/>
  <c r="Z336" i="7"/>
  <c r="Z335" i="7"/>
  <c r="Z334" i="7"/>
  <c r="Z333" i="7"/>
  <c r="Z332" i="7"/>
  <c r="Z331" i="7"/>
  <c r="Z330" i="7"/>
  <c r="Z329" i="7"/>
  <c r="Z660" i="7"/>
  <c r="Z659" i="7"/>
  <c r="Z658" i="7"/>
  <c r="Z657" i="7"/>
  <c r="Z656" i="7"/>
  <c r="Z655" i="7"/>
  <c r="Z654" i="7"/>
  <c r="Z653" i="7"/>
  <c r="Z651" i="7"/>
  <c r="Z313" i="7"/>
  <c r="Z312" i="7"/>
  <c r="Z311" i="7"/>
  <c r="Z310" i="7"/>
  <c r="Z309" i="7"/>
  <c r="Z308" i="7"/>
  <c r="Z307" i="7"/>
  <c r="Z306" i="7"/>
  <c r="Z305" i="7"/>
  <c r="Z540" i="7"/>
  <c r="Z534" i="7"/>
  <c r="Z435" i="7"/>
  <c r="Z420" i="7"/>
  <c r="Z419" i="7"/>
  <c r="Z418" i="7"/>
  <c r="Z417" i="7"/>
  <c r="Z416" i="7"/>
  <c r="Z415" i="7"/>
  <c r="Z284" i="7"/>
  <c r="Z283" i="7"/>
  <c r="Z282" i="7"/>
  <c r="Z281" i="7"/>
  <c r="Z280" i="7"/>
  <c r="Z279" i="7"/>
  <c r="Z299" i="7"/>
  <c r="Z36" i="7"/>
  <c r="Y300" i="7"/>
  <c r="Y448" i="7"/>
  <c r="Y442" i="7"/>
  <c r="Y441" i="7"/>
  <c r="Y445" i="7"/>
  <c r="Y449" i="7"/>
  <c r="Y469" i="7"/>
  <c r="Y473" i="7"/>
  <c r="Y493" i="7"/>
  <c r="Y497" i="7"/>
  <c r="Y501" i="7"/>
  <c r="Y466" i="7"/>
  <c r="Y470" i="7"/>
  <c r="Y474" i="7"/>
  <c r="Y494" i="7"/>
  <c r="Y498" i="7"/>
  <c r="Y436" i="7"/>
  <c r="Y90" i="7"/>
  <c r="Y649" i="7"/>
  <c r="Y634" i="7" s="1"/>
  <c r="Y98" i="7" s="1"/>
  <c r="Y681" i="7"/>
  <c r="Y666" i="7" s="1"/>
  <c r="Y99" i="7" s="1"/>
  <c r="X101" i="7"/>
  <c r="Y444" i="7"/>
  <c r="Y446" i="7"/>
  <c r="Y443" i="7"/>
  <c r="Y447" i="7"/>
  <c r="Y467" i="7"/>
  <c r="Y471" i="7"/>
  <c r="Y475" i="7"/>
  <c r="Y495" i="7"/>
  <c r="Y499" i="7"/>
  <c r="Y468" i="7"/>
  <c r="Y472" i="7"/>
  <c r="Y492" i="7"/>
  <c r="Y496" i="7"/>
  <c r="Y500" i="7"/>
  <c r="Z614" i="7"/>
  <c r="AF60" i="7" l="1"/>
  <c r="AF429" i="7"/>
  <c r="AF293" i="7"/>
  <c r="AE92" i="7"/>
  <c r="AF594" i="7"/>
  <c r="AF628" i="7"/>
  <c r="W614" i="7"/>
  <c r="AF571" i="7"/>
  <c r="AF539" i="7"/>
  <c r="AF533" i="7"/>
  <c r="AF579" i="7"/>
  <c r="AF575" i="7"/>
  <c r="AF567" i="7"/>
  <c r="AF37" i="7"/>
  <c r="AF41" i="7"/>
  <c r="AF34" i="7"/>
  <c r="AG596" i="7"/>
  <c r="Y440" i="7"/>
  <c r="AF712" i="7"/>
  <c r="AF710" i="7"/>
  <c r="AF708" i="7"/>
  <c r="AF706" i="7"/>
  <c r="AF704" i="7"/>
  <c r="AF711" i="7"/>
  <c r="AF707" i="7"/>
  <c r="AF703" i="7"/>
  <c r="AF678" i="7"/>
  <c r="AF676" i="7"/>
  <c r="AF674" i="7"/>
  <c r="AF672" i="7"/>
  <c r="AF648" i="7"/>
  <c r="AF709" i="7"/>
  <c r="AF705" i="7"/>
  <c r="AF680" i="7"/>
  <c r="AF679" i="7"/>
  <c r="AF677" i="7"/>
  <c r="AF675" i="7"/>
  <c r="AF645" i="7"/>
  <c r="AF644" i="7"/>
  <c r="AF643" i="7"/>
  <c r="AF642" i="7"/>
  <c r="AF641" i="7"/>
  <c r="AF640" i="7"/>
  <c r="AF639" i="7"/>
  <c r="AF646" i="7"/>
  <c r="AF673" i="7"/>
  <c r="AF647" i="7"/>
  <c r="AF671" i="7"/>
  <c r="AF27" i="7"/>
  <c r="AF61" i="7"/>
  <c r="X111" i="7"/>
  <c r="X112" i="7" s="1"/>
  <c r="Z595" i="7"/>
  <c r="Z597" i="7" s="1"/>
  <c r="Z304" i="7"/>
  <c r="AA593" i="7"/>
  <c r="Z205" i="7"/>
  <c r="Z168" i="7"/>
  <c r="Z76" i="7"/>
  <c r="AA724" i="7"/>
  <c r="AA722" i="7"/>
  <c r="AA721" i="7"/>
  <c r="AA720" i="7"/>
  <c r="AA718" i="7"/>
  <c r="AA717" i="7"/>
  <c r="AA364" i="7"/>
  <c r="AA363" i="7"/>
  <c r="AA362" i="7"/>
  <c r="AA361" i="7"/>
  <c r="AA360" i="7"/>
  <c r="AA359" i="7"/>
  <c r="AA358" i="7"/>
  <c r="AA357" i="7"/>
  <c r="AA715" i="7"/>
  <c r="AA355" i="7"/>
  <c r="AA338" i="7"/>
  <c r="AA337" i="7"/>
  <c r="AA336" i="7"/>
  <c r="AA335" i="7"/>
  <c r="AA334" i="7"/>
  <c r="AA333" i="7"/>
  <c r="AA332" i="7"/>
  <c r="AA356" i="7"/>
  <c r="AA692" i="7"/>
  <c r="AA691" i="7"/>
  <c r="AA690" i="7"/>
  <c r="AA689" i="7"/>
  <c r="AA688" i="7"/>
  <c r="AA687" i="7"/>
  <c r="AA686" i="7"/>
  <c r="AA685" i="7"/>
  <c r="AA683" i="7"/>
  <c r="AA313" i="7"/>
  <c r="AA312" i="7"/>
  <c r="AA311" i="7"/>
  <c r="AA310" i="7"/>
  <c r="AA309" i="7"/>
  <c r="AA308" i="7"/>
  <c r="AA331" i="7"/>
  <c r="AA330" i="7"/>
  <c r="AA329" i="7"/>
  <c r="AA660" i="7"/>
  <c r="AA659" i="7"/>
  <c r="AA658" i="7"/>
  <c r="AA657" i="7"/>
  <c r="AA656" i="7"/>
  <c r="AA655" i="7"/>
  <c r="AA654" i="7"/>
  <c r="AA651" i="7"/>
  <c r="AA306" i="7"/>
  <c r="AA307" i="7"/>
  <c r="AA305" i="7"/>
  <c r="AA540" i="7"/>
  <c r="AA534" i="7"/>
  <c r="AA420" i="7"/>
  <c r="AA419" i="7"/>
  <c r="AA418" i="7"/>
  <c r="AA417" i="7"/>
  <c r="AA416" i="7"/>
  <c r="AA415" i="7"/>
  <c r="AA435" i="7"/>
  <c r="AA299" i="7"/>
  <c r="AA284" i="7"/>
  <c r="AA283" i="7"/>
  <c r="AA282" i="7"/>
  <c r="AA281" i="7"/>
  <c r="AA280" i="7"/>
  <c r="AA279" i="7"/>
  <c r="AA36" i="7"/>
  <c r="Z447" i="7"/>
  <c r="Z445" i="7"/>
  <c r="Z444" i="7"/>
  <c r="Z448" i="7"/>
  <c r="Z468" i="7"/>
  <c r="Z472" i="7"/>
  <c r="Z492" i="7"/>
  <c r="Z496" i="7"/>
  <c r="Z500" i="7"/>
  <c r="Z469" i="7"/>
  <c r="Z473" i="7"/>
  <c r="Z493" i="7"/>
  <c r="Z497" i="7"/>
  <c r="Z501" i="7"/>
  <c r="AA614" i="7"/>
  <c r="Z38" i="7"/>
  <c r="Z90" i="7"/>
  <c r="Z649" i="7"/>
  <c r="Z634" i="7" s="1"/>
  <c r="Z98" i="7" s="1"/>
  <c r="Z681" i="7"/>
  <c r="Z666" i="7" s="1"/>
  <c r="Z99" i="7" s="1"/>
  <c r="Z713" i="7"/>
  <c r="Z698" i="7" s="1"/>
  <c r="Z100" i="7" s="1"/>
  <c r="Z443" i="7"/>
  <c r="Z300" i="7"/>
  <c r="Z441" i="7"/>
  <c r="Z449" i="7"/>
  <c r="Z442" i="7"/>
  <c r="Z446" i="7"/>
  <c r="Z466" i="7"/>
  <c r="Z470" i="7"/>
  <c r="Z474" i="7"/>
  <c r="Z494" i="7"/>
  <c r="Z498" i="7"/>
  <c r="Z436" i="7"/>
  <c r="Z467" i="7"/>
  <c r="Z471" i="7"/>
  <c r="Z475" i="7"/>
  <c r="Z495" i="7"/>
  <c r="Z499" i="7"/>
  <c r="Y101" i="7"/>
  <c r="AG60" i="7" l="1"/>
  <c r="AG429" i="7"/>
  <c r="AG293" i="7"/>
  <c r="AF92" i="7"/>
  <c r="AG594" i="7"/>
  <c r="AG628" i="7"/>
  <c r="AG539" i="7"/>
  <c r="AG533" i="7"/>
  <c r="AG579" i="7"/>
  <c r="AG575" i="7"/>
  <c r="AG571" i="7"/>
  <c r="AG567" i="7"/>
  <c r="AG37" i="7"/>
  <c r="AG41" i="7"/>
  <c r="AG34" i="7"/>
  <c r="AH596" i="7"/>
  <c r="Z111" i="7"/>
  <c r="Z112" i="7" s="1"/>
  <c r="Z440" i="7"/>
  <c r="Y111" i="7"/>
  <c r="Y112" i="7" s="1"/>
  <c r="AG703" i="7"/>
  <c r="AG680" i="7"/>
  <c r="AG712" i="7"/>
  <c r="AG710" i="7"/>
  <c r="AG708" i="7"/>
  <c r="AG706" i="7"/>
  <c r="AG709" i="7"/>
  <c r="AG705" i="7"/>
  <c r="AG679" i="7"/>
  <c r="AG677" i="7"/>
  <c r="AG675" i="7"/>
  <c r="AG711" i="7"/>
  <c r="AG707" i="7"/>
  <c r="AG704" i="7"/>
  <c r="AG678" i="7"/>
  <c r="AG676" i="7"/>
  <c r="AG674" i="7"/>
  <c r="AG672" i="7"/>
  <c r="AG648" i="7"/>
  <c r="AG646" i="7"/>
  <c r="AG673" i="7"/>
  <c r="AG644" i="7"/>
  <c r="AG642" i="7"/>
  <c r="AG640" i="7"/>
  <c r="AG647" i="7"/>
  <c r="AG671" i="7"/>
  <c r="AG645" i="7"/>
  <c r="AG643" i="7"/>
  <c r="AG641" i="7"/>
  <c r="AG639" i="7"/>
  <c r="AG729" i="7"/>
  <c r="AG61" i="7"/>
  <c r="AG27" i="7"/>
  <c r="AA304" i="7"/>
  <c r="AA595" i="7"/>
  <c r="AA597" i="7" s="1"/>
  <c r="AB622" i="7"/>
  <c r="AB593" i="7"/>
  <c r="AA205" i="7"/>
  <c r="AA168" i="7"/>
  <c r="AA76" i="7"/>
  <c r="AA681" i="7"/>
  <c r="AA666" i="7" s="1"/>
  <c r="AA99" i="7" s="1"/>
  <c r="AA649" i="7"/>
  <c r="AA634" i="7" s="1"/>
  <c r="AA98" i="7" s="1"/>
  <c r="AA90" i="7"/>
  <c r="AB724" i="7"/>
  <c r="AB722" i="7"/>
  <c r="AB721" i="7"/>
  <c r="AB719" i="7"/>
  <c r="AB718" i="7"/>
  <c r="AB717" i="7"/>
  <c r="AB715" i="7"/>
  <c r="AB364" i="7"/>
  <c r="AB363" i="7"/>
  <c r="AB362" i="7"/>
  <c r="AB361" i="7"/>
  <c r="AB360" i="7"/>
  <c r="AB359" i="7"/>
  <c r="AB358" i="7"/>
  <c r="AB357" i="7"/>
  <c r="AB356" i="7"/>
  <c r="AB355" i="7"/>
  <c r="AB692" i="7"/>
  <c r="AB691" i="7"/>
  <c r="AB690" i="7"/>
  <c r="AB689" i="7"/>
  <c r="AB688" i="7"/>
  <c r="AB687" i="7"/>
  <c r="AB686" i="7"/>
  <c r="AB685" i="7"/>
  <c r="AB683" i="7"/>
  <c r="AB338" i="7"/>
  <c r="AB337" i="7"/>
  <c r="AB336" i="7"/>
  <c r="AB335" i="7"/>
  <c r="AB334" i="7"/>
  <c r="AB333" i="7"/>
  <c r="AB332" i="7"/>
  <c r="AB331" i="7"/>
  <c r="AB330" i="7"/>
  <c r="AB329" i="7"/>
  <c r="AB660" i="7"/>
  <c r="AB659" i="7"/>
  <c r="AB658" i="7"/>
  <c r="AB657" i="7"/>
  <c r="AB656" i="7"/>
  <c r="AB655" i="7"/>
  <c r="AB654" i="7"/>
  <c r="AB652" i="7"/>
  <c r="AB651" i="7"/>
  <c r="AB313" i="7"/>
  <c r="AB312" i="7"/>
  <c r="AB311" i="7"/>
  <c r="AB310" i="7"/>
  <c r="AB309" i="7"/>
  <c r="AB308" i="7"/>
  <c r="AB307" i="7"/>
  <c r="AB306" i="7"/>
  <c r="AB305" i="7"/>
  <c r="AB304" i="7"/>
  <c r="AB540" i="7"/>
  <c r="AB534" i="7"/>
  <c r="AB435" i="7"/>
  <c r="AB420" i="7"/>
  <c r="AB419" i="7"/>
  <c r="AB418" i="7"/>
  <c r="AB417" i="7"/>
  <c r="AB416" i="7"/>
  <c r="AB415" i="7"/>
  <c r="AB299" i="7"/>
  <c r="AB284" i="7"/>
  <c r="AB283" i="7"/>
  <c r="AB282" i="7"/>
  <c r="AB281" i="7"/>
  <c r="AB280" i="7"/>
  <c r="AB279" i="7"/>
  <c r="AB36" i="7"/>
  <c r="AA446" i="7"/>
  <c r="AA448" i="7"/>
  <c r="AA443" i="7"/>
  <c r="AA447" i="7"/>
  <c r="AA467" i="7"/>
  <c r="AA471" i="7"/>
  <c r="AA475" i="7"/>
  <c r="AA495" i="7"/>
  <c r="AA499" i="7"/>
  <c r="AA468" i="7"/>
  <c r="AA472" i="7"/>
  <c r="AA492" i="7"/>
  <c r="AA496" i="7"/>
  <c r="AA500" i="7"/>
  <c r="AB614" i="7"/>
  <c r="Z101" i="7"/>
  <c r="AA38" i="7"/>
  <c r="AA713" i="7"/>
  <c r="AA698" i="7" s="1"/>
  <c r="AA100" i="7" s="1"/>
  <c r="AA300" i="7"/>
  <c r="AA442" i="7"/>
  <c r="AA444" i="7"/>
  <c r="AA441" i="7"/>
  <c r="AA445" i="7"/>
  <c r="AA449" i="7"/>
  <c r="AA469" i="7"/>
  <c r="AA473" i="7"/>
  <c r="AA493" i="7"/>
  <c r="AA497" i="7"/>
  <c r="AA501" i="7"/>
  <c r="AA466" i="7"/>
  <c r="AA470" i="7"/>
  <c r="AA474" i="7"/>
  <c r="AA494" i="7"/>
  <c r="AA498" i="7"/>
  <c r="AA436" i="7"/>
  <c r="AG92" i="7" l="1"/>
  <c r="AH60" i="7"/>
  <c r="AH429" i="7"/>
  <c r="AH293" i="7"/>
  <c r="AH594" i="7"/>
  <c r="AH628" i="7"/>
  <c r="AH533" i="7"/>
  <c r="AH571" i="7"/>
  <c r="AH539" i="7"/>
  <c r="AH579" i="7"/>
  <c r="AH575" i="7"/>
  <c r="AH567" i="7"/>
  <c r="AH37" i="7"/>
  <c r="AH41" i="7"/>
  <c r="AH34" i="7"/>
  <c r="AI596" i="7"/>
  <c r="AA440" i="7"/>
  <c r="AH711" i="7"/>
  <c r="AH709" i="7"/>
  <c r="AH707" i="7"/>
  <c r="AH705" i="7"/>
  <c r="AH712" i="7"/>
  <c r="AH708" i="7"/>
  <c r="AH680" i="7"/>
  <c r="AH679" i="7"/>
  <c r="AH678" i="7"/>
  <c r="AH677" i="7"/>
  <c r="AH676" i="7"/>
  <c r="AH675" i="7"/>
  <c r="AH674" i="7"/>
  <c r="AH673" i="7"/>
  <c r="AH672" i="7"/>
  <c r="AH671" i="7"/>
  <c r="AH648" i="7"/>
  <c r="AH647" i="7"/>
  <c r="AH646" i="7"/>
  <c r="AH710" i="7"/>
  <c r="AH706" i="7"/>
  <c r="AH704" i="7"/>
  <c r="AH703" i="7"/>
  <c r="AH645" i="7"/>
  <c r="AH643" i="7"/>
  <c r="AH641" i="7"/>
  <c r="AH639" i="7"/>
  <c r="AH644" i="7"/>
  <c r="AH642" i="7"/>
  <c r="AH640" i="7"/>
  <c r="AH729" i="7"/>
  <c r="AH61" i="7"/>
  <c r="AH27" i="7"/>
  <c r="AB595" i="7"/>
  <c r="AB597" i="7" s="1"/>
  <c r="AC622" i="7"/>
  <c r="AC593" i="7"/>
  <c r="AB205" i="7"/>
  <c r="AB168" i="7"/>
  <c r="AB76" i="7"/>
  <c r="AA101" i="7"/>
  <c r="AB649" i="7"/>
  <c r="AB634" i="7" s="1"/>
  <c r="AB98" i="7" s="1"/>
  <c r="AB713" i="7"/>
  <c r="AB698" i="7" s="1"/>
  <c r="AB100" i="7" s="1"/>
  <c r="AB38" i="7"/>
  <c r="AB681" i="7"/>
  <c r="AB666" i="7" s="1"/>
  <c r="AB99" i="7" s="1"/>
  <c r="AB90" i="7"/>
  <c r="AC724" i="7"/>
  <c r="AC722" i="7"/>
  <c r="AC721" i="7"/>
  <c r="AC719" i="7"/>
  <c r="AC718" i="7"/>
  <c r="AC717" i="7"/>
  <c r="AC364" i="7"/>
  <c r="AC363" i="7"/>
  <c r="AC362" i="7"/>
  <c r="AC361" i="7"/>
  <c r="AC360" i="7"/>
  <c r="AC359" i="7"/>
  <c r="AC358" i="7"/>
  <c r="AC357" i="7"/>
  <c r="AC715" i="7"/>
  <c r="AC356" i="7"/>
  <c r="AC338" i="7"/>
  <c r="AC337" i="7"/>
  <c r="AC336" i="7"/>
  <c r="AC335" i="7"/>
  <c r="AC334" i="7"/>
  <c r="AC333" i="7"/>
  <c r="AC332" i="7"/>
  <c r="AC355" i="7"/>
  <c r="AC692" i="7"/>
  <c r="AC691" i="7"/>
  <c r="AC690" i="7"/>
  <c r="AC689" i="7"/>
  <c r="AC688" i="7"/>
  <c r="AC687" i="7"/>
  <c r="AC686" i="7"/>
  <c r="AC685" i="7"/>
  <c r="AC683" i="7"/>
  <c r="AC331" i="7"/>
  <c r="AC313" i="7"/>
  <c r="AC312" i="7"/>
  <c r="AC311" i="7"/>
  <c r="AC310" i="7"/>
  <c r="AC309" i="7"/>
  <c r="AC308" i="7"/>
  <c r="AC330" i="7"/>
  <c r="AC329" i="7"/>
  <c r="AC660" i="7"/>
  <c r="AC659" i="7"/>
  <c r="AC658" i="7"/>
  <c r="AC657" i="7"/>
  <c r="AC656" i="7"/>
  <c r="AC655" i="7"/>
  <c r="AC654" i="7"/>
  <c r="AC652" i="7"/>
  <c r="AC651" i="7"/>
  <c r="AC307" i="7"/>
  <c r="AC306" i="7"/>
  <c r="AC305" i="7"/>
  <c r="AC304" i="7"/>
  <c r="AC540" i="7"/>
  <c r="AC534" i="7"/>
  <c r="AC420" i="7"/>
  <c r="AC419" i="7"/>
  <c r="AC418" i="7"/>
  <c r="AC417" i="7"/>
  <c r="AC416" i="7"/>
  <c r="AC415" i="7"/>
  <c r="AC435" i="7"/>
  <c r="AC299" i="7"/>
  <c r="AC284" i="7"/>
  <c r="AC283" i="7"/>
  <c r="AC282" i="7"/>
  <c r="AC281" i="7"/>
  <c r="AC280" i="7"/>
  <c r="AC279" i="7"/>
  <c r="AC36" i="7"/>
  <c r="AB445" i="7"/>
  <c r="AB300" i="7"/>
  <c r="AB443" i="7"/>
  <c r="AB442" i="7"/>
  <c r="AB446" i="7"/>
  <c r="AB466" i="7"/>
  <c r="AB470" i="7"/>
  <c r="AB474" i="7"/>
  <c r="AB494" i="7"/>
  <c r="AB498" i="7"/>
  <c r="AB436" i="7"/>
  <c r="AB467" i="7"/>
  <c r="AB471" i="7"/>
  <c r="AB475" i="7"/>
  <c r="AB495" i="7"/>
  <c r="AB499" i="7"/>
  <c r="AB441" i="7"/>
  <c r="AB449" i="7"/>
  <c r="AB447" i="7"/>
  <c r="AB440" i="7"/>
  <c r="AB444" i="7"/>
  <c r="AB448" i="7"/>
  <c r="AB468" i="7"/>
  <c r="AB472" i="7"/>
  <c r="AB492" i="7"/>
  <c r="AB496" i="7"/>
  <c r="AB500" i="7"/>
  <c r="AB469" i="7"/>
  <c r="AB473" i="7"/>
  <c r="AB493" i="7"/>
  <c r="AB497" i="7"/>
  <c r="AB501" i="7"/>
  <c r="AC614" i="7"/>
  <c r="AI60" i="7" l="1"/>
  <c r="AI429" i="7"/>
  <c r="AI293" i="7"/>
  <c r="AH92" i="7"/>
  <c r="AI594" i="7"/>
  <c r="AI628" i="7"/>
  <c r="AI539" i="7"/>
  <c r="AI533" i="7"/>
  <c r="AI579" i="7"/>
  <c r="AI575" i="7"/>
  <c r="AI571" i="7"/>
  <c r="AI567" i="7"/>
  <c r="AI37" i="7"/>
  <c r="AI41" i="7"/>
  <c r="AI34" i="7"/>
  <c r="AJ596" i="7"/>
  <c r="AB111" i="7"/>
  <c r="AB112" i="7" s="1"/>
  <c r="AA111" i="7"/>
  <c r="AA112" i="7" s="1"/>
  <c r="AI712" i="7"/>
  <c r="AI711" i="7"/>
  <c r="AI710" i="7"/>
  <c r="AI709" i="7"/>
  <c r="AI708" i="7"/>
  <c r="AI707" i="7"/>
  <c r="AI706" i="7"/>
  <c r="AI705" i="7"/>
  <c r="AI704" i="7"/>
  <c r="AI679" i="7"/>
  <c r="AI675" i="7"/>
  <c r="AI680" i="7"/>
  <c r="AI703" i="7"/>
  <c r="AI678" i="7"/>
  <c r="AI676" i="7"/>
  <c r="AI674" i="7"/>
  <c r="AI677" i="7"/>
  <c r="AI673" i="7"/>
  <c r="AI671" i="7"/>
  <c r="AI647" i="7"/>
  <c r="AI645" i="7"/>
  <c r="AI643" i="7"/>
  <c r="AI641" i="7"/>
  <c r="AI639" i="7"/>
  <c r="AI648" i="7"/>
  <c r="AI644" i="7"/>
  <c r="AI642" i="7"/>
  <c r="AI640" i="7"/>
  <c r="AI672" i="7"/>
  <c r="AI646" i="7"/>
  <c r="AI729" i="7"/>
  <c r="AI27" i="7"/>
  <c r="AI61" i="7"/>
  <c r="AC595" i="7"/>
  <c r="AC597" i="7" s="1"/>
  <c r="AD622" i="7"/>
  <c r="AD593" i="7"/>
  <c r="AC205" i="7"/>
  <c r="AC168" i="7"/>
  <c r="AC76" i="7"/>
  <c r="AB101" i="7"/>
  <c r="AC713" i="7"/>
  <c r="AC698" i="7" s="1"/>
  <c r="AC100" i="7" s="1"/>
  <c r="AC38" i="7"/>
  <c r="AD723" i="7"/>
  <c r="AD722" i="7"/>
  <c r="AD721" i="7"/>
  <c r="AD719" i="7"/>
  <c r="AD718" i="7"/>
  <c r="AD717" i="7"/>
  <c r="AD715" i="7"/>
  <c r="AD364" i="7"/>
  <c r="AD363" i="7"/>
  <c r="AD362" i="7"/>
  <c r="AD361" i="7"/>
  <c r="AD360" i="7"/>
  <c r="AD359" i="7"/>
  <c r="AD358" i="7"/>
  <c r="AD357" i="7"/>
  <c r="AD356" i="7"/>
  <c r="AD355" i="7"/>
  <c r="AD692" i="7"/>
  <c r="AD691" i="7"/>
  <c r="AD690" i="7"/>
  <c r="AD689" i="7"/>
  <c r="AD688" i="7"/>
  <c r="AD687" i="7"/>
  <c r="AD686" i="7"/>
  <c r="AD685" i="7"/>
  <c r="AD683" i="7"/>
  <c r="AD338" i="7"/>
  <c r="AD337" i="7"/>
  <c r="AD336" i="7"/>
  <c r="AD335" i="7"/>
  <c r="AD334" i="7"/>
  <c r="AD333" i="7"/>
  <c r="AD332" i="7"/>
  <c r="AD331" i="7"/>
  <c r="AD330" i="7"/>
  <c r="AD329" i="7"/>
  <c r="AD660" i="7"/>
  <c r="AD659" i="7"/>
  <c r="AD658" i="7"/>
  <c r="AD657" i="7"/>
  <c r="AD656" i="7"/>
  <c r="AD655" i="7"/>
  <c r="AD654" i="7"/>
  <c r="AD652" i="7"/>
  <c r="AD651" i="7"/>
  <c r="AD313" i="7"/>
  <c r="AD312" i="7"/>
  <c r="AD311" i="7"/>
  <c r="AD310" i="7"/>
  <c r="AD309" i="7"/>
  <c r="AD308" i="7"/>
  <c r="AD307" i="7"/>
  <c r="AD306" i="7"/>
  <c r="AD305" i="7"/>
  <c r="AD304" i="7"/>
  <c r="AD540" i="7"/>
  <c r="AD534" i="7"/>
  <c r="AD435" i="7"/>
  <c r="AD420" i="7"/>
  <c r="AD419" i="7"/>
  <c r="AD418" i="7"/>
  <c r="AD417" i="7"/>
  <c r="AD416" i="7"/>
  <c r="AD415" i="7"/>
  <c r="AD299" i="7"/>
  <c r="AD284" i="7"/>
  <c r="AD283" i="7"/>
  <c r="AD282" i="7"/>
  <c r="AD281" i="7"/>
  <c r="AD280" i="7"/>
  <c r="AD279" i="7"/>
  <c r="AD36" i="7"/>
  <c r="AC300" i="7"/>
  <c r="AC444" i="7"/>
  <c r="AC442" i="7"/>
  <c r="AC441" i="7"/>
  <c r="AC445" i="7"/>
  <c r="AC449" i="7"/>
  <c r="AC469" i="7"/>
  <c r="AC473" i="7"/>
  <c r="AC493" i="7"/>
  <c r="AC497" i="7"/>
  <c r="AC501" i="7"/>
  <c r="AC466" i="7"/>
  <c r="AC470" i="7"/>
  <c r="AC474" i="7"/>
  <c r="AC494" i="7"/>
  <c r="AC498" i="7"/>
  <c r="AC436" i="7"/>
  <c r="AC90" i="7"/>
  <c r="AC649" i="7"/>
  <c r="AC634" i="7" s="1"/>
  <c r="AC98" i="7" s="1"/>
  <c r="AC681" i="7"/>
  <c r="AC666" i="7" s="1"/>
  <c r="AC99" i="7" s="1"/>
  <c r="AC440" i="7"/>
  <c r="AC448" i="7"/>
  <c r="AC446" i="7"/>
  <c r="AC443" i="7"/>
  <c r="AC447" i="7"/>
  <c r="AC467" i="7"/>
  <c r="AC471" i="7"/>
  <c r="AC475" i="7"/>
  <c r="AC495" i="7"/>
  <c r="AC499" i="7"/>
  <c r="AC468" i="7"/>
  <c r="AC472" i="7"/>
  <c r="AC492" i="7"/>
  <c r="AC496" i="7"/>
  <c r="AC500" i="7"/>
  <c r="AD614" i="7"/>
  <c r="AI92" i="7" l="1"/>
  <c r="AJ60" i="7"/>
  <c r="AJ429" i="7"/>
  <c r="AJ293" i="7"/>
  <c r="AJ594" i="7"/>
  <c r="AJ628" i="7"/>
  <c r="AJ575" i="7"/>
  <c r="AJ571" i="7"/>
  <c r="AJ567" i="7"/>
  <c r="AJ539" i="7"/>
  <c r="AJ533" i="7"/>
  <c r="AJ579" i="7"/>
  <c r="AJ37" i="7"/>
  <c r="AJ41" i="7"/>
  <c r="AJ34" i="7"/>
  <c r="AK596" i="7"/>
  <c r="AJ711" i="7"/>
  <c r="AJ709" i="7"/>
  <c r="AJ707" i="7"/>
  <c r="AJ705" i="7"/>
  <c r="AJ703" i="7"/>
  <c r="AJ710" i="7"/>
  <c r="AJ680" i="7"/>
  <c r="AJ706" i="7"/>
  <c r="AJ704" i="7"/>
  <c r="AJ678" i="7"/>
  <c r="AJ676" i="7"/>
  <c r="AJ712" i="7"/>
  <c r="AJ708" i="7"/>
  <c r="AJ679" i="7"/>
  <c r="AJ677" i="7"/>
  <c r="AJ675" i="7"/>
  <c r="AJ673" i="7"/>
  <c r="AJ671" i="7"/>
  <c r="AJ647" i="7"/>
  <c r="AJ645" i="7"/>
  <c r="AJ644" i="7"/>
  <c r="AJ643" i="7"/>
  <c r="AJ642" i="7"/>
  <c r="AJ641" i="7"/>
  <c r="AJ640" i="7"/>
  <c r="AJ639" i="7"/>
  <c r="AJ648" i="7"/>
  <c r="AJ672" i="7"/>
  <c r="AJ646" i="7"/>
  <c r="AJ674" i="7"/>
  <c r="AJ729" i="7"/>
  <c r="AJ27" i="7"/>
  <c r="AJ61" i="7"/>
  <c r="AD595" i="7"/>
  <c r="AD597" i="7" s="1"/>
  <c r="AE622" i="7"/>
  <c r="AE593" i="7"/>
  <c r="AD205" i="7"/>
  <c r="AD168" i="7"/>
  <c r="AD76" i="7"/>
  <c r="AE723" i="7"/>
  <c r="AE722" i="7"/>
  <c r="AE721" i="7"/>
  <c r="AE719" i="7"/>
  <c r="AE718" i="7"/>
  <c r="AE717" i="7"/>
  <c r="AE715" i="7"/>
  <c r="AE364" i="7"/>
  <c r="AE363" i="7"/>
  <c r="AE362" i="7"/>
  <c r="AE361" i="7"/>
  <c r="AE360" i="7"/>
  <c r="AE359" i="7"/>
  <c r="AE358" i="7"/>
  <c r="AE357" i="7"/>
  <c r="AE355" i="7"/>
  <c r="AE338" i="7"/>
  <c r="AE337" i="7"/>
  <c r="AE336" i="7"/>
  <c r="AE335" i="7"/>
  <c r="AE334" i="7"/>
  <c r="AE333" i="7"/>
  <c r="AE332" i="7"/>
  <c r="AE356" i="7"/>
  <c r="AE692" i="7"/>
  <c r="AE691" i="7"/>
  <c r="AE690" i="7"/>
  <c r="AE689" i="7"/>
  <c r="AE688" i="7"/>
  <c r="AE687" i="7"/>
  <c r="AE686" i="7"/>
  <c r="AE685" i="7"/>
  <c r="AE683" i="7"/>
  <c r="AE313" i="7"/>
  <c r="AE312" i="7"/>
  <c r="AE311" i="7"/>
  <c r="AE310" i="7"/>
  <c r="AE309" i="7"/>
  <c r="AE308" i="7"/>
  <c r="AE331" i="7"/>
  <c r="AE330" i="7"/>
  <c r="AE329" i="7"/>
  <c r="AE660" i="7"/>
  <c r="AE659" i="7"/>
  <c r="AE658" i="7"/>
  <c r="AE657" i="7"/>
  <c r="AE656" i="7"/>
  <c r="AE655" i="7"/>
  <c r="AE654" i="7"/>
  <c r="AE652" i="7"/>
  <c r="AE651" i="7"/>
  <c r="AE306" i="7"/>
  <c r="AE307" i="7"/>
  <c r="AE305" i="7"/>
  <c r="AE304" i="7"/>
  <c r="AE540" i="7"/>
  <c r="AE534" i="7"/>
  <c r="AE420" i="7"/>
  <c r="AE419" i="7"/>
  <c r="AE418" i="7"/>
  <c r="AE417" i="7"/>
  <c r="AE416" i="7"/>
  <c r="AE415" i="7"/>
  <c r="AE435" i="7"/>
  <c r="AE299" i="7"/>
  <c r="AE284" i="7"/>
  <c r="AE283" i="7"/>
  <c r="AE282" i="7"/>
  <c r="AE281" i="7"/>
  <c r="AE280" i="7"/>
  <c r="AE279" i="7"/>
  <c r="AE36" i="7"/>
  <c r="AD443" i="7"/>
  <c r="AD300" i="7"/>
  <c r="AD441" i="7"/>
  <c r="AD449" i="7"/>
  <c r="AD440" i="7"/>
  <c r="AD444" i="7"/>
  <c r="AD448" i="7"/>
  <c r="AD468" i="7"/>
  <c r="AD472" i="7"/>
  <c r="AD492" i="7"/>
  <c r="AD496" i="7"/>
  <c r="AD500" i="7"/>
  <c r="AD469" i="7"/>
  <c r="AD473" i="7"/>
  <c r="AD493" i="7"/>
  <c r="AD497" i="7"/>
  <c r="AD501" i="7"/>
  <c r="AE614" i="7"/>
  <c r="AD38" i="7"/>
  <c r="AD90" i="7"/>
  <c r="AD649" i="7"/>
  <c r="AD634" i="7" s="1"/>
  <c r="AD98" i="7" s="1"/>
  <c r="AD681" i="7"/>
  <c r="AD666" i="7" s="1"/>
  <c r="AD99" i="7" s="1"/>
  <c r="AD713" i="7"/>
  <c r="AD698" i="7" s="1"/>
  <c r="AD100" i="7" s="1"/>
  <c r="AD447" i="7"/>
  <c r="AD445" i="7"/>
  <c r="AD442" i="7"/>
  <c r="AD446" i="7"/>
  <c r="AD466" i="7"/>
  <c r="AD470" i="7"/>
  <c r="AD474" i="7"/>
  <c r="AD494" i="7"/>
  <c r="AD498" i="7"/>
  <c r="AD436" i="7"/>
  <c r="AD467" i="7"/>
  <c r="AD471" i="7"/>
  <c r="AD475" i="7"/>
  <c r="AD495" i="7"/>
  <c r="AD499" i="7"/>
  <c r="AC101" i="7"/>
  <c r="AK60" i="7" l="1"/>
  <c r="AK429" i="7"/>
  <c r="AK293" i="7"/>
  <c r="AJ92" i="7"/>
  <c r="AK594" i="7"/>
  <c r="AK628" i="7"/>
  <c r="AK539" i="7"/>
  <c r="AK533" i="7"/>
  <c r="AK579" i="7"/>
  <c r="AK575" i="7"/>
  <c r="AK571" i="7"/>
  <c r="AK567" i="7"/>
  <c r="AK37" i="7"/>
  <c r="AK41" i="7"/>
  <c r="AK34" i="7"/>
  <c r="AL596" i="7"/>
  <c r="AC111" i="7"/>
  <c r="AC112" i="7" s="1"/>
  <c r="AK712" i="7"/>
  <c r="AK710" i="7"/>
  <c r="AK708" i="7"/>
  <c r="AK706" i="7"/>
  <c r="AK704" i="7"/>
  <c r="AK703" i="7"/>
  <c r="AK680" i="7"/>
  <c r="AK709" i="7"/>
  <c r="AK705" i="7"/>
  <c r="AK711" i="7"/>
  <c r="AK707" i="7"/>
  <c r="AK679" i="7"/>
  <c r="AK677" i="7"/>
  <c r="AK675" i="7"/>
  <c r="AK678" i="7"/>
  <c r="AK676" i="7"/>
  <c r="AK674" i="7"/>
  <c r="AK672" i="7"/>
  <c r="AK648" i="7"/>
  <c r="AK671" i="7"/>
  <c r="AK646" i="7"/>
  <c r="AK644" i="7"/>
  <c r="AK642" i="7"/>
  <c r="AK640" i="7"/>
  <c r="AK673" i="7"/>
  <c r="AK647" i="7"/>
  <c r="AK645" i="7"/>
  <c r="AK643" i="7"/>
  <c r="AK641" i="7"/>
  <c r="AK639" i="7"/>
  <c r="AK729" i="7"/>
  <c r="AK61" i="7"/>
  <c r="AK27" i="7"/>
  <c r="AE595" i="7"/>
  <c r="AE597" i="7" s="1"/>
  <c r="AF593" i="7"/>
  <c r="AE205" i="7"/>
  <c r="AE168" i="7"/>
  <c r="AE76" i="7"/>
  <c r="AE649" i="7"/>
  <c r="AE634" i="7" s="1"/>
  <c r="AE98" i="7" s="1"/>
  <c r="AE681" i="7"/>
  <c r="AE666" i="7" s="1"/>
  <c r="AE99" i="7" s="1"/>
  <c r="AE90" i="7"/>
  <c r="AE446" i="7"/>
  <c r="AE440" i="7"/>
  <c r="AE448" i="7"/>
  <c r="AE443" i="7"/>
  <c r="AE447" i="7"/>
  <c r="AE467" i="7"/>
  <c r="AE471" i="7"/>
  <c r="AE475" i="7"/>
  <c r="AE495" i="7"/>
  <c r="AE499" i="7"/>
  <c r="AE468" i="7"/>
  <c r="AE472" i="7"/>
  <c r="AE492" i="7"/>
  <c r="AE496" i="7"/>
  <c r="AE500" i="7"/>
  <c r="AF614" i="7"/>
  <c r="AE38" i="7"/>
  <c r="AE713" i="7"/>
  <c r="AE698" i="7" s="1"/>
  <c r="AE100" i="7" s="1"/>
  <c r="AF723" i="7"/>
  <c r="AF722" i="7"/>
  <c r="AF721" i="7"/>
  <c r="AF719" i="7"/>
  <c r="AF718" i="7"/>
  <c r="AF717" i="7"/>
  <c r="AF715" i="7"/>
  <c r="AF364" i="7"/>
  <c r="AF363" i="7"/>
  <c r="AF362" i="7"/>
  <c r="AF361" i="7"/>
  <c r="AF360" i="7"/>
  <c r="AF359" i="7"/>
  <c r="AF358" i="7"/>
  <c r="AF357" i="7"/>
  <c r="AF356" i="7"/>
  <c r="AF355" i="7"/>
  <c r="AF692" i="7"/>
  <c r="AF691" i="7"/>
  <c r="AF690" i="7"/>
  <c r="AF689" i="7"/>
  <c r="AF688" i="7"/>
  <c r="AF687" i="7"/>
  <c r="AF686" i="7"/>
  <c r="AF685" i="7"/>
  <c r="AF683" i="7"/>
  <c r="AF338" i="7"/>
  <c r="AF337" i="7"/>
  <c r="AF336" i="7"/>
  <c r="AF335" i="7"/>
  <c r="AF334" i="7"/>
  <c r="AF333" i="7"/>
  <c r="AF332" i="7"/>
  <c r="AF331" i="7"/>
  <c r="AF330" i="7"/>
  <c r="AF329" i="7"/>
  <c r="AF660" i="7"/>
  <c r="AF659" i="7"/>
  <c r="AF658" i="7"/>
  <c r="AF657" i="7"/>
  <c r="AF656" i="7"/>
  <c r="AF655" i="7"/>
  <c r="AF654" i="7"/>
  <c r="AF652" i="7"/>
  <c r="AF651" i="7"/>
  <c r="AF313" i="7"/>
  <c r="AF312" i="7"/>
  <c r="AF311" i="7"/>
  <c r="AF310" i="7"/>
  <c r="AF309" i="7"/>
  <c r="AF308" i="7"/>
  <c r="AF307" i="7"/>
  <c r="AF306" i="7"/>
  <c r="AF305" i="7"/>
  <c r="AF304" i="7"/>
  <c r="AF540" i="7"/>
  <c r="AF534" i="7"/>
  <c r="AF435" i="7"/>
  <c r="AF420" i="7"/>
  <c r="AF419" i="7"/>
  <c r="AF418" i="7"/>
  <c r="AF417" i="7"/>
  <c r="AF416" i="7"/>
  <c r="AF415" i="7"/>
  <c r="AF299" i="7"/>
  <c r="AF284" i="7"/>
  <c r="AF283" i="7"/>
  <c r="AF282" i="7"/>
  <c r="AF281" i="7"/>
  <c r="AF280" i="7"/>
  <c r="AF279" i="7"/>
  <c r="AF36" i="7"/>
  <c r="AE300" i="7"/>
  <c r="AE442" i="7"/>
  <c r="AE444" i="7"/>
  <c r="AE441" i="7"/>
  <c r="AE445" i="7"/>
  <c r="AE449" i="7"/>
  <c r="AE469" i="7"/>
  <c r="AE473" i="7"/>
  <c r="AE493" i="7"/>
  <c r="AE497" i="7"/>
  <c r="AE501" i="7"/>
  <c r="AE466" i="7"/>
  <c r="AE470" i="7"/>
  <c r="AE474" i="7"/>
  <c r="AE494" i="7"/>
  <c r="AE498" i="7"/>
  <c r="AE436" i="7"/>
  <c r="AD101" i="7"/>
  <c r="AK92" i="7" l="1"/>
  <c r="AL60" i="7"/>
  <c r="AL429" i="7"/>
  <c r="AL293" i="7"/>
  <c r="AL594" i="7"/>
  <c r="AL628" i="7"/>
  <c r="AL579" i="7"/>
  <c r="AL575" i="7"/>
  <c r="AL571" i="7"/>
  <c r="AL567" i="7"/>
  <c r="AL539" i="7"/>
  <c r="AL533" i="7"/>
  <c r="AL37" i="7"/>
  <c r="AL41" i="7"/>
  <c r="AL34" i="7"/>
  <c r="AM596" i="7"/>
  <c r="AE111" i="7"/>
  <c r="AE112" i="7" s="1"/>
  <c r="AD111" i="7"/>
  <c r="AD112" i="7" s="1"/>
  <c r="AL712" i="7"/>
  <c r="AL710" i="7"/>
  <c r="AL708" i="7"/>
  <c r="AL706" i="7"/>
  <c r="AL704" i="7"/>
  <c r="AL679" i="7"/>
  <c r="AL678" i="7"/>
  <c r="AL677" i="7"/>
  <c r="AL676" i="7"/>
  <c r="AL675" i="7"/>
  <c r="AL674" i="7"/>
  <c r="AL673" i="7"/>
  <c r="AL672" i="7"/>
  <c r="AL671" i="7"/>
  <c r="AL648" i="7"/>
  <c r="AL647" i="7"/>
  <c r="AL646" i="7"/>
  <c r="AL711" i="7"/>
  <c r="AL705" i="7"/>
  <c r="AL707" i="7"/>
  <c r="AL703" i="7"/>
  <c r="AL709" i="7"/>
  <c r="AL680" i="7"/>
  <c r="AL644" i="7"/>
  <c r="AL642" i="7"/>
  <c r="AL640" i="7"/>
  <c r="AL645" i="7"/>
  <c r="AL643" i="7"/>
  <c r="AL641" i="7"/>
  <c r="AL639" i="7"/>
  <c r="AL729" i="7"/>
  <c r="AL61" i="7"/>
  <c r="AL27" i="7"/>
  <c r="AF595" i="7"/>
  <c r="AF597" i="7" s="1"/>
  <c r="AG622" i="7"/>
  <c r="C420" i="7"/>
  <c r="C284" i="7"/>
  <c r="AG593" i="7"/>
  <c r="AF205" i="7"/>
  <c r="AF168" i="7"/>
  <c r="AF76" i="7"/>
  <c r="AE101" i="7"/>
  <c r="AF681" i="7"/>
  <c r="AF666" i="7" s="1"/>
  <c r="AF99" i="7" s="1"/>
  <c r="AF38" i="7"/>
  <c r="AF649" i="7"/>
  <c r="AF634" i="7" s="1"/>
  <c r="AF98" i="7" s="1"/>
  <c r="AF713" i="7"/>
  <c r="AF698" i="7" s="1"/>
  <c r="AF100" i="7" s="1"/>
  <c r="AF90" i="7"/>
  <c r="AG724" i="7"/>
  <c r="AG723" i="7"/>
  <c r="AG722" i="7"/>
  <c r="AG720" i="7"/>
  <c r="AG719" i="7"/>
  <c r="AG718" i="7"/>
  <c r="AG717" i="7"/>
  <c r="AG364" i="7"/>
  <c r="AG362" i="7"/>
  <c r="AG361" i="7"/>
  <c r="AG360" i="7"/>
  <c r="AG359" i="7"/>
  <c r="AG358" i="7"/>
  <c r="AG357" i="7"/>
  <c r="AG715" i="7"/>
  <c r="AG356" i="7"/>
  <c r="AG338" i="7"/>
  <c r="AG337" i="7"/>
  <c r="AG336" i="7"/>
  <c r="AG335" i="7"/>
  <c r="AG334" i="7"/>
  <c r="AG333" i="7"/>
  <c r="AG332" i="7"/>
  <c r="AG355" i="7"/>
  <c r="AG692" i="7"/>
  <c r="AG691" i="7"/>
  <c r="AG690" i="7"/>
  <c r="AG689" i="7"/>
  <c r="AG688" i="7"/>
  <c r="AG687" i="7"/>
  <c r="AG686" i="7"/>
  <c r="AG684" i="7"/>
  <c r="AG683" i="7"/>
  <c r="AG331" i="7"/>
  <c r="AG313" i="7"/>
  <c r="AG312" i="7"/>
  <c r="AG311" i="7"/>
  <c r="AG310" i="7"/>
  <c r="AG309" i="7"/>
  <c r="AG308" i="7"/>
  <c r="AG330" i="7"/>
  <c r="AG329" i="7"/>
  <c r="AG660" i="7"/>
  <c r="AG659" i="7"/>
  <c r="AG658" i="7"/>
  <c r="AG657" i="7"/>
  <c r="AG656" i="7"/>
  <c r="AG655" i="7"/>
  <c r="AG654" i="7"/>
  <c r="AG652" i="7"/>
  <c r="AG651" i="7"/>
  <c r="AG307" i="7"/>
  <c r="AG306" i="7"/>
  <c r="AG305" i="7"/>
  <c r="AG304" i="7"/>
  <c r="AG540" i="7"/>
  <c r="AG534" i="7"/>
  <c r="AG420" i="7"/>
  <c r="AG419" i="7"/>
  <c r="AG418" i="7"/>
  <c r="AG417" i="7"/>
  <c r="AG416" i="7"/>
  <c r="AG415" i="7"/>
  <c r="AG363" i="7"/>
  <c r="AG435" i="7"/>
  <c r="AG299" i="7"/>
  <c r="AG284" i="7"/>
  <c r="AG283" i="7"/>
  <c r="AG282" i="7"/>
  <c r="AG281" i="7"/>
  <c r="AG280" i="7"/>
  <c r="AG279" i="7"/>
  <c r="AG36" i="7"/>
  <c r="AF445" i="7"/>
  <c r="AF300" i="7"/>
  <c r="AF443" i="7"/>
  <c r="AF442" i="7"/>
  <c r="AF446" i="7"/>
  <c r="AF466" i="7"/>
  <c r="AF470" i="7"/>
  <c r="AF474" i="7"/>
  <c r="AF494" i="7"/>
  <c r="AF498" i="7"/>
  <c r="AF436" i="7"/>
  <c r="AF467" i="7"/>
  <c r="AF471" i="7"/>
  <c r="AF475" i="7"/>
  <c r="AF495" i="7"/>
  <c r="AF499" i="7"/>
  <c r="AF441" i="7"/>
  <c r="AF449" i="7"/>
  <c r="AF447" i="7"/>
  <c r="AF440" i="7"/>
  <c r="AF444" i="7"/>
  <c r="AF448" i="7"/>
  <c r="AF468" i="7"/>
  <c r="AF472" i="7"/>
  <c r="AF492" i="7"/>
  <c r="AF496" i="7"/>
  <c r="AF500" i="7"/>
  <c r="AF469" i="7"/>
  <c r="AF473" i="7"/>
  <c r="AF493" i="7"/>
  <c r="AF497" i="7"/>
  <c r="AF501" i="7"/>
  <c r="AG614" i="7"/>
  <c r="AM60" i="7" l="1"/>
  <c r="AM429" i="7"/>
  <c r="AM293" i="7"/>
  <c r="AL92" i="7"/>
  <c r="AM594" i="7"/>
  <c r="AM628" i="7"/>
  <c r="AM533" i="7"/>
  <c r="AM539" i="7"/>
  <c r="AM571" i="7"/>
  <c r="AM579" i="7"/>
  <c r="AM575" i="7"/>
  <c r="AM567" i="7"/>
  <c r="AM37" i="7"/>
  <c r="AM41" i="7"/>
  <c r="AM34" i="7"/>
  <c r="AN596" i="7"/>
  <c r="AF111" i="7"/>
  <c r="AF112" i="7" s="1"/>
  <c r="AM712" i="7"/>
  <c r="AM711" i="7"/>
  <c r="AM710" i="7"/>
  <c r="AM709" i="7"/>
  <c r="AM708" i="7"/>
  <c r="AM707" i="7"/>
  <c r="AM706" i="7"/>
  <c r="AM705" i="7"/>
  <c r="AM704" i="7"/>
  <c r="AM680" i="7"/>
  <c r="AM703" i="7"/>
  <c r="AM679" i="7"/>
  <c r="AM677" i="7"/>
  <c r="AM675" i="7"/>
  <c r="AM678" i="7"/>
  <c r="AM676" i="7"/>
  <c r="AM674" i="7"/>
  <c r="AM672" i="7"/>
  <c r="AM648" i="7"/>
  <c r="AM646" i="7"/>
  <c r="AM642" i="7"/>
  <c r="AM671" i="7"/>
  <c r="AM645" i="7"/>
  <c r="AM643" i="7"/>
  <c r="AM641" i="7"/>
  <c r="AM639" i="7"/>
  <c r="AM673" i="7"/>
  <c r="AM647" i="7"/>
  <c r="AM644" i="7"/>
  <c r="AM640" i="7"/>
  <c r="AM729" i="7"/>
  <c r="AM27" i="7"/>
  <c r="AM61" i="7"/>
  <c r="AG595" i="7"/>
  <c r="AG597" i="7" s="1"/>
  <c r="AH622" i="7"/>
  <c r="AH593" i="7"/>
  <c r="AG205" i="7"/>
  <c r="AG168" i="7"/>
  <c r="AG76" i="7"/>
  <c r="AG713" i="7"/>
  <c r="AG698" i="7" s="1"/>
  <c r="AG100" i="7" s="1"/>
  <c r="AF101" i="7"/>
  <c r="AH724" i="7"/>
  <c r="AH723" i="7"/>
  <c r="AH722" i="7"/>
  <c r="AH720" i="7"/>
  <c r="AH719" i="7"/>
  <c r="AH718" i="7"/>
  <c r="AH717" i="7"/>
  <c r="AH715" i="7"/>
  <c r="AH364" i="7"/>
  <c r="AH363" i="7"/>
  <c r="AH362" i="7"/>
  <c r="AH361" i="7"/>
  <c r="AH360" i="7"/>
  <c r="AH358" i="7"/>
  <c r="AH357" i="7"/>
  <c r="AH356" i="7"/>
  <c r="AH355" i="7"/>
  <c r="AH692" i="7"/>
  <c r="AH691" i="7"/>
  <c r="AH690" i="7"/>
  <c r="AH689" i="7"/>
  <c r="AH688" i="7"/>
  <c r="AH687" i="7"/>
  <c r="AH686" i="7"/>
  <c r="AH684" i="7"/>
  <c r="AH683" i="7"/>
  <c r="AH338" i="7"/>
  <c r="AH337" i="7"/>
  <c r="AH336" i="7"/>
  <c r="AH335" i="7"/>
  <c r="AH334" i="7"/>
  <c r="AH333" i="7"/>
  <c r="AH332" i="7"/>
  <c r="AH331" i="7"/>
  <c r="AH330" i="7"/>
  <c r="AH329" i="7"/>
  <c r="AH660" i="7"/>
  <c r="AH659" i="7"/>
  <c r="AH658" i="7"/>
  <c r="AH657" i="7"/>
  <c r="AH656" i="7"/>
  <c r="AH655" i="7"/>
  <c r="AH654" i="7"/>
  <c r="AH652" i="7"/>
  <c r="AH651" i="7"/>
  <c r="AH313" i="7"/>
  <c r="AH312" i="7"/>
  <c r="AH311" i="7"/>
  <c r="AH310" i="7"/>
  <c r="AH309" i="7"/>
  <c r="AH308" i="7"/>
  <c r="AH307" i="7"/>
  <c r="AH306" i="7"/>
  <c r="AH305" i="7"/>
  <c r="AH304" i="7"/>
  <c r="AH540" i="7"/>
  <c r="AH534" i="7"/>
  <c r="AH435" i="7"/>
  <c r="AH420" i="7"/>
  <c r="AH419" i="7"/>
  <c r="AH418" i="7"/>
  <c r="AH417" i="7"/>
  <c r="AH416" i="7"/>
  <c r="AH415" i="7"/>
  <c r="AH359" i="7"/>
  <c r="AH299" i="7"/>
  <c r="AH284" i="7"/>
  <c r="AH283" i="7"/>
  <c r="AH282" i="7"/>
  <c r="AH281" i="7"/>
  <c r="AH280" i="7"/>
  <c r="AH279" i="7"/>
  <c r="AH36" i="7"/>
  <c r="AG300" i="7"/>
  <c r="AG444" i="7"/>
  <c r="AG442" i="7"/>
  <c r="AG441" i="7"/>
  <c r="AG445" i="7"/>
  <c r="AG449" i="7"/>
  <c r="AG469" i="7"/>
  <c r="AG473" i="7"/>
  <c r="AG493" i="7"/>
  <c r="AG497" i="7"/>
  <c r="AG501" i="7"/>
  <c r="AG466" i="7"/>
  <c r="AG470" i="7"/>
  <c r="AG474" i="7"/>
  <c r="AG494" i="7"/>
  <c r="AG498" i="7"/>
  <c r="AG436" i="7"/>
  <c r="AG38" i="7"/>
  <c r="AG90" i="7"/>
  <c r="AG649" i="7"/>
  <c r="AG634" i="7" s="1"/>
  <c r="AG98" i="7" s="1"/>
  <c r="AG681" i="7"/>
  <c r="AG666" i="7" s="1"/>
  <c r="AG99" i="7" s="1"/>
  <c r="AG440" i="7"/>
  <c r="AG448" i="7"/>
  <c r="AG446" i="7"/>
  <c r="AG443" i="7"/>
  <c r="AG447" i="7"/>
  <c r="AG467" i="7"/>
  <c r="AG471" i="7"/>
  <c r="AG475" i="7"/>
  <c r="AG495" i="7"/>
  <c r="AG499" i="7"/>
  <c r="AG468" i="7"/>
  <c r="AG472" i="7"/>
  <c r="AG492" i="7"/>
  <c r="AG496" i="7"/>
  <c r="AG500" i="7"/>
  <c r="AH614" i="7"/>
  <c r="AN60" i="7" l="1"/>
  <c r="AN429" i="7"/>
  <c r="AN293" i="7"/>
  <c r="AM92" i="7"/>
  <c r="AN594" i="7"/>
  <c r="AN628" i="7"/>
  <c r="AN539" i="7"/>
  <c r="AN533" i="7"/>
  <c r="AN579" i="7"/>
  <c r="AN575" i="7"/>
  <c r="AN571" i="7"/>
  <c r="AN567" i="7"/>
  <c r="AN37" i="7"/>
  <c r="AN41" i="7"/>
  <c r="AN34" i="7"/>
  <c r="AO596" i="7"/>
  <c r="AN711" i="7"/>
  <c r="AN709" i="7"/>
  <c r="AN707" i="7"/>
  <c r="AN705" i="7"/>
  <c r="AN710" i="7"/>
  <c r="AN706" i="7"/>
  <c r="AN704" i="7"/>
  <c r="AN677" i="7"/>
  <c r="AN673" i="7"/>
  <c r="AN671" i="7"/>
  <c r="AN712" i="7"/>
  <c r="AN708" i="7"/>
  <c r="AN680" i="7"/>
  <c r="AN678" i="7"/>
  <c r="AN676" i="7"/>
  <c r="AN674" i="7"/>
  <c r="AN703" i="7"/>
  <c r="AN645" i="7"/>
  <c r="AN644" i="7"/>
  <c r="AN643" i="7"/>
  <c r="AN642" i="7"/>
  <c r="AN641" i="7"/>
  <c r="AN640" i="7"/>
  <c r="AN639" i="7"/>
  <c r="AN679" i="7"/>
  <c r="AN675" i="7"/>
  <c r="AN647" i="7"/>
  <c r="AN646" i="7"/>
  <c r="AN672" i="7"/>
  <c r="AN648" i="7"/>
  <c r="AN729" i="7"/>
  <c r="AN27" i="7"/>
  <c r="AN61" i="7"/>
  <c r="AH595" i="7"/>
  <c r="AH597" i="7" s="1"/>
  <c r="AI622" i="7"/>
  <c r="AI593" i="7"/>
  <c r="AH205" i="7"/>
  <c r="AH168" i="7"/>
  <c r="AH76" i="7"/>
  <c r="AH38" i="7"/>
  <c r="AH649" i="7"/>
  <c r="AH634" i="7" s="1"/>
  <c r="AH98" i="7" s="1"/>
  <c r="AH90" i="7"/>
  <c r="AI724" i="7"/>
  <c r="AI723" i="7"/>
  <c r="AI722" i="7"/>
  <c r="AI720" i="7"/>
  <c r="AI719" i="7"/>
  <c r="AI718" i="7"/>
  <c r="AI717" i="7"/>
  <c r="AI715" i="7"/>
  <c r="AI364" i="7"/>
  <c r="AI363" i="7"/>
  <c r="AI362" i="7"/>
  <c r="AI361" i="7"/>
  <c r="AI360" i="7"/>
  <c r="AI359" i="7"/>
  <c r="AI358" i="7"/>
  <c r="AI357" i="7"/>
  <c r="AI355" i="7"/>
  <c r="AI338" i="7"/>
  <c r="AI337" i="7"/>
  <c r="AI336" i="7"/>
  <c r="AI335" i="7"/>
  <c r="AI334" i="7"/>
  <c r="AI333" i="7"/>
  <c r="AI332" i="7"/>
  <c r="AI356" i="7"/>
  <c r="AI692" i="7"/>
  <c r="AI691" i="7"/>
  <c r="AI690" i="7"/>
  <c r="AI689" i="7"/>
  <c r="AI688" i="7"/>
  <c r="AI687" i="7"/>
  <c r="AI686" i="7"/>
  <c r="AI684" i="7"/>
  <c r="AI683" i="7"/>
  <c r="AI313" i="7"/>
  <c r="AI312" i="7"/>
  <c r="AI311" i="7"/>
  <c r="AI310" i="7"/>
  <c r="AI309" i="7"/>
  <c r="AI308" i="7"/>
  <c r="AI331" i="7"/>
  <c r="AI330" i="7"/>
  <c r="AI329" i="7"/>
  <c r="AI660" i="7"/>
  <c r="AI659" i="7"/>
  <c r="AI658" i="7"/>
  <c r="AI657" i="7"/>
  <c r="AI656" i="7"/>
  <c r="AI655" i="7"/>
  <c r="AI654" i="7"/>
  <c r="AI652" i="7"/>
  <c r="AI651" i="7"/>
  <c r="AI306" i="7"/>
  <c r="AI307" i="7"/>
  <c r="AI305" i="7"/>
  <c r="AI304" i="7"/>
  <c r="AI540" i="7"/>
  <c r="AI534" i="7"/>
  <c r="AI420" i="7"/>
  <c r="AI419" i="7"/>
  <c r="AI418" i="7"/>
  <c r="AI417" i="7"/>
  <c r="AI416" i="7"/>
  <c r="AI415" i="7"/>
  <c r="AI435" i="7"/>
  <c r="AI299" i="7"/>
  <c r="AI284" i="7"/>
  <c r="AI283" i="7"/>
  <c r="AI282" i="7"/>
  <c r="AI281" i="7"/>
  <c r="AI280" i="7"/>
  <c r="AI279" i="7"/>
  <c r="AI36" i="7"/>
  <c r="AH447" i="7"/>
  <c r="AH445" i="7"/>
  <c r="AH442" i="7"/>
  <c r="AH446" i="7"/>
  <c r="AH466" i="7"/>
  <c r="AH470" i="7"/>
  <c r="AH474" i="7"/>
  <c r="AH494" i="7"/>
  <c r="AH498" i="7"/>
  <c r="AH436" i="7"/>
  <c r="AH467" i="7"/>
  <c r="AH471" i="7"/>
  <c r="AH475" i="7"/>
  <c r="AH495" i="7"/>
  <c r="AH499" i="7"/>
  <c r="AG101" i="7"/>
  <c r="AH443" i="7"/>
  <c r="AH300" i="7"/>
  <c r="AH441" i="7"/>
  <c r="AH449" i="7"/>
  <c r="AH440" i="7"/>
  <c r="AH444" i="7"/>
  <c r="AH448" i="7"/>
  <c r="AH468" i="7"/>
  <c r="AH472" i="7"/>
  <c r="AH492" i="7"/>
  <c r="AH496" i="7"/>
  <c r="AH500" i="7"/>
  <c r="AH469" i="7"/>
  <c r="AH473" i="7"/>
  <c r="AH493" i="7"/>
  <c r="AH497" i="7"/>
  <c r="AH501" i="7"/>
  <c r="AI614" i="7"/>
  <c r="AH681" i="7"/>
  <c r="AH666" i="7" s="1"/>
  <c r="AH99" i="7" s="1"/>
  <c r="AH713" i="7"/>
  <c r="AH698" i="7" s="1"/>
  <c r="AH100" i="7" s="1"/>
  <c r="AO60" i="7" l="1"/>
  <c r="AO429" i="7"/>
  <c r="AO293" i="7"/>
  <c r="AN92" i="7"/>
  <c r="AO594" i="7"/>
  <c r="AO628" i="7"/>
  <c r="AO539" i="7"/>
  <c r="AO533" i="7"/>
  <c r="AO579" i="7"/>
  <c r="AO575" i="7"/>
  <c r="AO571" i="7"/>
  <c r="AO567" i="7"/>
  <c r="AO37" i="7"/>
  <c r="AO41" i="7"/>
  <c r="AO34" i="7"/>
  <c r="AP596" i="7"/>
  <c r="AG111" i="7"/>
  <c r="AG112" i="7" s="1"/>
  <c r="AO703" i="7"/>
  <c r="AO680" i="7"/>
  <c r="AO711" i="7"/>
  <c r="AO709" i="7"/>
  <c r="AO707" i="7"/>
  <c r="AO705" i="7"/>
  <c r="AO712" i="7"/>
  <c r="AO706" i="7"/>
  <c r="AO708" i="7"/>
  <c r="AO678" i="7"/>
  <c r="AO676" i="7"/>
  <c r="AO710" i="7"/>
  <c r="AO704" i="7"/>
  <c r="AO679" i="7"/>
  <c r="AO677" i="7"/>
  <c r="AO675" i="7"/>
  <c r="AO673" i="7"/>
  <c r="AO671" i="7"/>
  <c r="AO647" i="7"/>
  <c r="AO672" i="7"/>
  <c r="AO645" i="7"/>
  <c r="AO643" i="7"/>
  <c r="AO641" i="7"/>
  <c r="AO639" i="7"/>
  <c r="AO674" i="7"/>
  <c r="AO648" i="7"/>
  <c r="AO644" i="7"/>
  <c r="AO642" i="7"/>
  <c r="AO640" i="7"/>
  <c r="AO646" i="7"/>
  <c r="AO729" i="7"/>
  <c r="AO61" i="7"/>
  <c r="AO27" i="7"/>
  <c r="AI595" i="7"/>
  <c r="AI597" i="7" s="1"/>
  <c r="AJ622" i="7"/>
  <c r="AJ593" i="7"/>
  <c r="AI205" i="7"/>
  <c r="AI168" i="7"/>
  <c r="AI76" i="7"/>
  <c r="AH101" i="7"/>
  <c r="AJ724" i="7"/>
  <c r="AJ723" i="7"/>
  <c r="AJ722" i="7"/>
  <c r="AJ720" i="7"/>
  <c r="AJ719" i="7"/>
  <c r="AJ718" i="7"/>
  <c r="AJ717" i="7"/>
  <c r="AJ715" i="7"/>
  <c r="AJ364" i="7"/>
  <c r="AJ363" i="7"/>
  <c r="AJ362" i="7"/>
  <c r="AJ361" i="7"/>
  <c r="AJ360" i="7"/>
  <c r="AJ359" i="7"/>
  <c r="AJ358" i="7"/>
  <c r="AJ357" i="7"/>
  <c r="AJ356" i="7"/>
  <c r="AJ692" i="7"/>
  <c r="AJ691" i="7"/>
  <c r="AJ690" i="7"/>
  <c r="AJ689" i="7"/>
  <c r="AJ688" i="7"/>
  <c r="AJ687" i="7"/>
  <c r="AJ686" i="7"/>
  <c r="AJ684" i="7"/>
  <c r="AJ683" i="7"/>
  <c r="AJ338" i="7"/>
  <c r="AJ337" i="7"/>
  <c r="AJ336" i="7"/>
  <c r="AJ335" i="7"/>
  <c r="AJ334" i="7"/>
  <c r="AJ333" i="7"/>
  <c r="AJ332" i="7"/>
  <c r="AJ331" i="7"/>
  <c r="AJ330" i="7"/>
  <c r="AJ329" i="7"/>
  <c r="AJ660" i="7"/>
  <c r="AJ659" i="7"/>
  <c r="AJ658" i="7"/>
  <c r="AJ657" i="7"/>
  <c r="AJ656" i="7"/>
  <c r="AJ655" i="7"/>
  <c r="AJ654" i="7"/>
  <c r="AJ652" i="7"/>
  <c r="AJ651" i="7"/>
  <c r="AJ313" i="7"/>
  <c r="AJ312" i="7"/>
  <c r="AJ311" i="7"/>
  <c r="AJ310" i="7"/>
  <c r="AJ309" i="7"/>
  <c r="AJ308" i="7"/>
  <c r="AJ307" i="7"/>
  <c r="AJ306" i="7"/>
  <c r="AJ305" i="7"/>
  <c r="AJ304" i="7"/>
  <c r="AJ540" i="7"/>
  <c r="AJ534" i="7"/>
  <c r="AJ435" i="7"/>
  <c r="AJ420" i="7"/>
  <c r="AJ419" i="7"/>
  <c r="AJ418" i="7"/>
  <c r="AJ417" i="7"/>
  <c r="AJ416" i="7"/>
  <c r="AJ415" i="7"/>
  <c r="AJ355" i="7"/>
  <c r="AJ299" i="7"/>
  <c r="AJ284" i="7"/>
  <c r="AJ283" i="7"/>
  <c r="AJ282" i="7"/>
  <c r="AJ281" i="7"/>
  <c r="AJ280" i="7"/>
  <c r="AJ279" i="7"/>
  <c r="AJ36" i="7"/>
  <c r="AI300" i="7"/>
  <c r="AI442" i="7"/>
  <c r="AI444" i="7"/>
  <c r="AI441" i="7"/>
  <c r="AI445" i="7"/>
  <c r="AI449" i="7"/>
  <c r="AI469" i="7"/>
  <c r="AI473" i="7"/>
  <c r="AI493" i="7"/>
  <c r="AI497" i="7"/>
  <c r="AI501" i="7"/>
  <c r="AI466" i="7"/>
  <c r="AI470" i="7"/>
  <c r="AI474" i="7"/>
  <c r="AI494" i="7"/>
  <c r="AI498" i="7"/>
  <c r="AI436" i="7"/>
  <c r="AI38" i="7"/>
  <c r="AI90" i="7"/>
  <c r="AI649" i="7"/>
  <c r="AI634" i="7" s="1"/>
  <c r="AI98" i="7" s="1"/>
  <c r="AI681" i="7"/>
  <c r="AI666" i="7" s="1"/>
  <c r="AI99" i="7" s="1"/>
  <c r="AI446" i="7"/>
  <c r="AI440" i="7"/>
  <c r="AI448" i="7"/>
  <c r="AI443" i="7"/>
  <c r="AI447" i="7"/>
  <c r="AI467" i="7"/>
  <c r="AI471" i="7"/>
  <c r="AI475" i="7"/>
  <c r="AI495" i="7"/>
  <c r="AI499" i="7"/>
  <c r="AI468" i="7"/>
  <c r="AI472" i="7"/>
  <c r="AI492" i="7"/>
  <c r="AI496" i="7"/>
  <c r="AI500" i="7"/>
  <c r="AJ614" i="7"/>
  <c r="AI713" i="7"/>
  <c r="AI698" i="7" s="1"/>
  <c r="AI100" i="7" s="1"/>
  <c r="AO92" i="7" l="1"/>
  <c r="AP60" i="7"/>
  <c r="AP429" i="7"/>
  <c r="AP293" i="7"/>
  <c r="AP594" i="7"/>
  <c r="AP628" i="7"/>
  <c r="AP539" i="7"/>
  <c r="AP575" i="7"/>
  <c r="AP571" i="7"/>
  <c r="AP567" i="7"/>
  <c r="AP533" i="7"/>
  <c r="AP579" i="7"/>
  <c r="AP37" i="7"/>
  <c r="AP41" i="7"/>
  <c r="AP34" i="7"/>
  <c r="AH111" i="7"/>
  <c r="AH112" i="7" s="1"/>
  <c r="AP712" i="7"/>
  <c r="AP710" i="7"/>
  <c r="AP708" i="7"/>
  <c r="AP706" i="7"/>
  <c r="AP704" i="7"/>
  <c r="AP711" i="7"/>
  <c r="AP707" i="7"/>
  <c r="AP703" i="7"/>
  <c r="AP679" i="7"/>
  <c r="AP678" i="7"/>
  <c r="AP677" i="7"/>
  <c r="AP676" i="7"/>
  <c r="AP675" i="7"/>
  <c r="AP674" i="7"/>
  <c r="AP673" i="7"/>
  <c r="AP672" i="7"/>
  <c r="AP671" i="7"/>
  <c r="AP648" i="7"/>
  <c r="AP647" i="7"/>
  <c r="AP646" i="7"/>
  <c r="AP680" i="7"/>
  <c r="AP709" i="7"/>
  <c r="AP705" i="7"/>
  <c r="AP644" i="7"/>
  <c r="AP642" i="7"/>
  <c r="AP640" i="7"/>
  <c r="AP645" i="7"/>
  <c r="AP643" i="7"/>
  <c r="AP641" i="7"/>
  <c r="AP639" i="7"/>
  <c r="AP729" i="7"/>
  <c r="AP61" i="7"/>
  <c r="AP27" i="7"/>
  <c r="AJ595" i="7"/>
  <c r="AJ597" i="7" s="1"/>
  <c r="AK622" i="7"/>
  <c r="AK593" i="7"/>
  <c r="AJ205" i="7"/>
  <c r="AJ168" i="7"/>
  <c r="AJ76" i="7"/>
  <c r="AK724" i="7"/>
  <c r="AK723" i="7"/>
  <c r="AK722" i="7"/>
  <c r="AK720" i="7"/>
  <c r="AK719" i="7"/>
  <c r="AK718" i="7"/>
  <c r="AK717" i="7"/>
  <c r="AK364" i="7"/>
  <c r="AK362" i="7"/>
  <c r="AK361" i="7"/>
  <c r="AK360" i="7"/>
  <c r="AK359" i="7"/>
  <c r="AK358" i="7"/>
  <c r="AK357" i="7"/>
  <c r="AK715" i="7"/>
  <c r="AK356" i="7"/>
  <c r="AK338" i="7"/>
  <c r="AK337" i="7"/>
  <c r="AK336" i="7"/>
  <c r="AK335" i="7"/>
  <c r="AK334" i="7"/>
  <c r="AK333" i="7"/>
  <c r="AK332" i="7"/>
  <c r="AK355" i="7"/>
  <c r="AK692" i="7"/>
  <c r="AK691" i="7"/>
  <c r="AK690" i="7"/>
  <c r="AK689" i="7"/>
  <c r="AK688" i="7"/>
  <c r="AK687" i="7"/>
  <c r="AK686" i="7"/>
  <c r="AK684" i="7"/>
  <c r="AK683" i="7"/>
  <c r="AK331" i="7"/>
  <c r="AK313" i="7"/>
  <c r="AK312" i="7"/>
  <c r="AK311" i="7"/>
  <c r="AK310" i="7"/>
  <c r="AK309" i="7"/>
  <c r="AK308" i="7"/>
  <c r="AK330" i="7"/>
  <c r="AK329" i="7"/>
  <c r="AK660" i="7"/>
  <c r="AK659" i="7"/>
  <c r="AK658" i="7"/>
  <c r="AK657" i="7"/>
  <c r="AK656" i="7"/>
  <c r="AK655" i="7"/>
  <c r="AK654" i="7"/>
  <c r="AK652" i="7"/>
  <c r="AK651" i="7"/>
  <c r="AK307" i="7"/>
  <c r="AK306" i="7"/>
  <c r="AK305" i="7"/>
  <c r="AK304" i="7"/>
  <c r="AK540" i="7"/>
  <c r="AK534" i="7"/>
  <c r="AK420" i="7"/>
  <c r="AK419" i="7"/>
  <c r="AK418" i="7"/>
  <c r="AK417" i="7"/>
  <c r="AK416" i="7"/>
  <c r="AK415" i="7"/>
  <c r="AK363" i="7"/>
  <c r="AK435" i="7"/>
  <c r="AK299" i="7"/>
  <c r="AK284" i="7"/>
  <c r="AK283" i="7"/>
  <c r="AK282" i="7"/>
  <c r="AK281" i="7"/>
  <c r="AK280" i="7"/>
  <c r="AK279" i="7"/>
  <c r="AK36" i="7"/>
  <c r="AJ441" i="7"/>
  <c r="AJ449" i="7"/>
  <c r="AJ447" i="7"/>
  <c r="AJ440" i="7"/>
  <c r="AJ444" i="7"/>
  <c r="AJ448" i="7"/>
  <c r="AJ468" i="7"/>
  <c r="AJ472" i="7"/>
  <c r="AJ492" i="7"/>
  <c r="AJ496" i="7"/>
  <c r="AJ500" i="7"/>
  <c r="AJ469" i="7"/>
  <c r="AJ473" i="7"/>
  <c r="AJ493" i="7"/>
  <c r="AJ497" i="7"/>
  <c r="AJ501" i="7"/>
  <c r="AK614" i="7"/>
  <c r="AJ38" i="7"/>
  <c r="AJ90" i="7"/>
  <c r="AJ649" i="7"/>
  <c r="AJ634" i="7" s="1"/>
  <c r="AJ98" i="7" s="1"/>
  <c r="AJ681" i="7"/>
  <c r="AJ666" i="7" s="1"/>
  <c r="AJ99" i="7" s="1"/>
  <c r="AJ713" i="7"/>
  <c r="AJ698" i="7" s="1"/>
  <c r="AJ100" i="7" s="1"/>
  <c r="AJ445" i="7"/>
  <c r="AJ300" i="7"/>
  <c r="AJ443" i="7"/>
  <c r="AJ442" i="7"/>
  <c r="AJ446" i="7"/>
  <c r="AJ466" i="7"/>
  <c r="AJ470" i="7"/>
  <c r="AJ474" i="7"/>
  <c r="AJ494" i="7"/>
  <c r="AJ498" i="7"/>
  <c r="AJ436" i="7"/>
  <c r="AJ467" i="7"/>
  <c r="AJ471" i="7"/>
  <c r="AJ475" i="7"/>
  <c r="AJ495" i="7"/>
  <c r="AJ499" i="7"/>
  <c r="AI101" i="7"/>
  <c r="AP92" i="7" l="1"/>
  <c r="AI111" i="7"/>
  <c r="AI112" i="7" s="1"/>
  <c r="AK595" i="7"/>
  <c r="AK597" i="7" s="1"/>
  <c r="AL622" i="7"/>
  <c r="AL593" i="7"/>
  <c r="AK205" i="7"/>
  <c r="AK168" i="7"/>
  <c r="AK76" i="7"/>
  <c r="AK713" i="7"/>
  <c r="AK698" i="7" s="1"/>
  <c r="AK100" i="7" s="1"/>
  <c r="AK38" i="7"/>
  <c r="AK440" i="7"/>
  <c r="AK448" i="7"/>
  <c r="AK446" i="7"/>
  <c r="AK443" i="7"/>
  <c r="AK447" i="7"/>
  <c r="AK467" i="7"/>
  <c r="AK471" i="7"/>
  <c r="AK475" i="7"/>
  <c r="AK495" i="7"/>
  <c r="AK499" i="7"/>
  <c r="AK468" i="7"/>
  <c r="AK472" i="7"/>
  <c r="AK492" i="7"/>
  <c r="AK496" i="7"/>
  <c r="AK500" i="7"/>
  <c r="AL614" i="7"/>
  <c r="AL724" i="7"/>
  <c r="AL723" i="7"/>
  <c r="AL721" i="7"/>
  <c r="AL720" i="7"/>
  <c r="AL719" i="7"/>
  <c r="AL718" i="7"/>
  <c r="AL717" i="7"/>
  <c r="AL715" i="7"/>
  <c r="AL364" i="7"/>
  <c r="AL362" i="7"/>
  <c r="AL361" i="7"/>
  <c r="AL360" i="7"/>
  <c r="AL359" i="7"/>
  <c r="AL358" i="7"/>
  <c r="AL357" i="7"/>
  <c r="AL356" i="7"/>
  <c r="AL355" i="7"/>
  <c r="AL692" i="7"/>
  <c r="AL691" i="7"/>
  <c r="AL690" i="7"/>
  <c r="AL689" i="7"/>
  <c r="AL688" i="7"/>
  <c r="AL687" i="7"/>
  <c r="AL686" i="7"/>
  <c r="AL684" i="7"/>
  <c r="AL683" i="7"/>
  <c r="AL338" i="7"/>
  <c r="AL337" i="7"/>
  <c r="AL336" i="7"/>
  <c r="AL335" i="7"/>
  <c r="AL334" i="7"/>
  <c r="AL333" i="7"/>
  <c r="AL332" i="7"/>
  <c r="AL331" i="7"/>
  <c r="AL330" i="7"/>
  <c r="AL329" i="7"/>
  <c r="AL660" i="7"/>
  <c r="AL659" i="7"/>
  <c r="AL658" i="7"/>
  <c r="AL657" i="7"/>
  <c r="AL656" i="7"/>
  <c r="AL655" i="7"/>
  <c r="AL654" i="7"/>
  <c r="AL652" i="7"/>
  <c r="AL651" i="7"/>
  <c r="AL313" i="7"/>
  <c r="AL312" i="7"/>
  <c r="AL311" i="7"/>
  <c r="AL310" i="7"/>
  <c r="AL309" i="7"/>
  <c r="AL308" i="7"/>
  <c r="AL307" i="7"/>
  <c r="AL306" i="7"/>
  <c r="AL305" i="7"/>
  <c r="AL304" i="7"/>
  <c r="AL540" i="7"/>
  <c r="AL534" i="7"/>
  <c r="AL435" i="7"/>
  <c r="AL420" i="7"/>
  <c r="AL419" i="7"/>
  <c r="AL418" i="7"/>
  <c r="AL417" i="7"/>
  <c r="AL416" i="7"/>
  <c r="AL415" i="7"/>
  <c r="AL363" i="7"/>
  <c r="AL299" i="7"/>
  <c r="AL284" i="7"/>
  <c r="AL283" i="7"/>
  <c r="AL282" i="7"/>
  <c r="AL281" i="7"/>
  <c r="AL280" i="7"/>
  <c r="AL279" i="7"/>
  <c r="AL36" i="7"/>
  <c r="AK300" i="7"/>
  <c r="AK444" i="7"/>
  <c r="AK442" i="7"/>
  <c r="AK441" i="7"/>
  <c r="AK445" i="7"/>
  <c r="AK449" i="7"/>
  <c r="AK469" i="7"/>
  <c r="AK473" i="7"/>
  <c r="AK493" i="7"/>
  <c r="AK497" i="7"/>
  <c r="AK501" i="7"/>
  <c r="AK466" i="7"/>
  <c r="AK470" i="7"/>
  <c r="AK474" i="7"/>
  <c r="AK494" i="7"/>
  <c r="AK498" i="7"/>
  <c r="AK436" i="7"/>
  <c r="AJ101" i="7"/>
  <c r="AK90" i="7"/>
  <c r="AK649" i="7"/>
  <c r="AK634" i="7" s="1"/>
  <c r="AK98" i="7" s="1"/>
  <c r="AK681" i="7"/>
  <c r="AK666" i="7" s="1"/>
  <c r="AK99" i="7" s="1"/>
  <c r="AJ111" i="7" l="1"/>
  <c r="AJ112" i="7" s="1"/>
  <c r="AL595" i="7"/>
  <c r="AL597" i="7" s="1"/>
  <c r="AM622" i="7"/>
  <c r="AM593" i="7"/>
  <c r="AL205" i="7"/>
  <c r="AL168" i="7"/>
  <c r="AL76" i="7"/>
  <c r="AL649" i="7"/>
  <c r="AL634" i="7" s="1"/>
  <c r="AL98" i="7" s="1"/>
  <c r="AL713" i="7"/>
  <c r="AL698" i="7" s="1"/>
  <c r="AL100" i="7" s="1"/>
  <c r="AL38" i="7"/>
  <c r="AL681" i="7"/>
  <c r="AL666" i="7" s="1"/>
  <c r="AL99" i="7" s="1"/>
  <c r="AL90" i="7"/>
  <c r="AM724" i="7"/>
  <c r="AM723" i="7"/>
  <c r="AM721" i="7"/>
  <c r="AM720" i="7"/>
  <c r="AM719" i="7"/>
  <c r="AM718" i="7"/>
  <c r="AM717" i="7"/>
  <c r="AM715" i="7"/>
  <c r="AM364" i="7"/>
  <c r="AM363" i="7"/>
  <c r="AM362" i="7"/>
  <c r="AM361" i="7"/>
  <c r="AM360" i="7"/>
  <c r="AM359" i="7"/>
  <c r="AM358" i="7"/>
  <c r="AM357" i="7"/>
  <c r="AM355" i="7"/>
  <c r="AM338" i="7"/>
  <c r="AM337" i="7"/>
  <c r="AM336" i="7"/>
  <c r="AM335" i="7"/>
  <c r="AM334" i="7"/>
  <c r="AM333" i="7"/>
  <c r="AM332" i="7"/>
  <c r="AM356" i="7"/>
  <c r="AM692" i="7"/>
  <c r="AM691" i="7"/>
  <c r="AM690" i="7"/>
  <c r="AM689" i="7"/>
  <c r="AM688" i="7"/>
  <c r="AM687" i="7"/>
  <c r="AM686" i="7"/>
  <c r="AM684" i="7"/>
  <c r="AM683" i="7"/>
  <c r="AM313" i="7"/>
  <c r="AM312" i="7"/>
  <c r="AM311" i="7"/>
  <c r="AM310" i="7"/>
  <c r="AM309" i="7"/>
  <c r="AM308" i="7"/>
  <c r="AM331" i="7"/>
  <c r="AM330" i="7"/>
  <c r="AM329" i="7"/>
  <c r="AM660" i="7"/>
  <c r="AM659" i="7"/>
  <c r="AM658" i="7"/>
  <c r="AM657" i="7"/>
  <c r="AM656" i="7"/>
  <c r="AM655" i="7"/>
  <c r="AM653" i="7"/>
  <c r="AM652" i="7"/>
  <c r="AM651" i="7"/>
  <c r="AM306" i="7"/>
  <c r="AM307" i="7"/>
  <c r="AM305" i="7"/>
  <c r="AM304" i="7"/>
  <c r="AM540" i="7"/>
  <c r="AM534" i="7"/>
  <c r="AM420" i="7"/>
  <c r="AM419" i="7"/>
  <c r="AM418" i="7"/>
  <c r="AM417" i="7"/>
  <c r="AM416" i="7"/>
  <c r="AM415" i="7"/>
  <c r="AM435" i="7"/>
  <c r="AM299" i="7"/>
  <c r="AM284" i="7"/>
  <c r="AM283" i="7"/>
  <c r="AM282" i="7"/>
  <c r="AM281" i="7"/>
  <c r="AM280" i="7"/>
  <c r="AM279" i="7"/>
  <c r="AM36" i="7"/>
  <c r="AL447" i="7"/>
  <c r="AL445" i="7"/>
  <c r="AL442" i="7"/>
  <c r="AL446" i="7"/>
  <c r="AL466" i="7"/>
  <c r="AL470" i="7"/>
  <c r="AL474" i="7"/>
  <c r="AL494" i="7"/>
  <c r="AL498" i="7"/>
  <c r="AL436" i="7"/>
  <c r="AL467" i="7"/>
  <c r="AL471" i="7"/>
  <c r="AL475" i="7"/>
  <c r="AL495" i="7"/>
  <c r="AL499" i="7"/>
  <c r="AK101" i="7"/>
  <c r="AL443" i="7"/>
  <c r="AL300" i="7"/>
  <c r="AL441" i="7"/>
  <c r="AL449" i="7"/>
  <c r="AL440" i="7"/>
  <c r="AL444" i="7"/>
  <c r="AL448" i="7"/>
  <c r="AL468" i="7"/>
  <c r="AL472" i="7"/>
  <c r="AL492" i="7"/>
  <c r="AL496" i="7"/>
  <c r="AL500" i="7"/>
  <c r="AL469" i="7"/>
  <c r="AL473" i="7"/>
  <c r="AL493" i="7"/>
  <c r="AL497" i="7"/>
  <c r="AL501" i="7"/>
  <c r="AM614" i="7"/>
  <c r="AK111" i="7" l="1"/>
  <c r="AK112" i="7" s="1"/>
  <c r="AM595" i="7"/>
  <c r="AM597" i="7" s="1"/>
  <c r="AN622" i="7"/>
  <c r="AN593" i="7"/>
  <c r="AM205" i="7"/>
  <c r="AM168" i="7"/>
  <c r="AM76" i="7"/>
  <c r="AL101" i="7"/>
  <c r="AM38" i="7"/>
  <c r="AM649" i="7"/>
  <c r="AM634" i="7" s="1"/>
  <c r="AM98" i="7" s="1"/>
  <c r="AM681" i="7"/>
  <c r="AM666" i="7" s="1"/>
  <c r="AM99" i="7" s="1"/>
  <c r="AM90" i="7"/>
  <c r="AM446" i="7"/>
  <c r="AM440" i="7"/>
  <c r="AM448" i="7"/>
  <c r="AM443" i="7"/>
  <c r="AM447" i="7"/>
  <c r="AM467" i="7"/>
  <c r="AM471" i="7"/>
  <c r="AM475" i="7"/>
  <c r="AM495" i="7"/>
  <c r="AM499" i="7"/>
  <c r="AM468" i="7"/>
  <c r="AM472" i="7"/>
  <c r="AM492" i="7"/>
  <c r="AM496" i="7"/>
  <c r="AM500" i="7"/>
  <c r="AN614" i="7"/>
  <c r="AM713" i="7"/>
  <c r="AM698" i="7" s="1"/>
  <c r="AM100" i="7" s="1"/>
  <c r="AN724" i="7"/>
  <c r="AN723" i="7"/>
  <c r="AN721" i="7"/>
  <c r="AN720" i="7"/>
  <c r="AN719" i="7"/>
  <c r="AN718" i="7"/>
  <c r="AN717" i="7"/>
  <c r="AN715" i="7"/>
  <c r="AN364" i="7"/>
  <c r="AN363" i="7"/>
  <c r="AN362" i="7"/>
  <c r="AN361" i="7"/>
  <c r="AN360" i="7"/>
  <c r="AN359" i="7"/>
  <c r="AN358" i="7"/>
  <c r="AN357" i="7"/>
  <c r="AN356" i="7"/>
  <c r="AN355" i="7"/>
  <c r="AN692" i="7"/>
  <c r="AN691" i="7"/>
  <c r="AN690" i="7"/>
  <c r="AN689" i="7"/>
  <c r="AN688" i="7"/>
  <c r="AN687" i="7"/>
  <c r="AN686" i="7"/>
  <c r="AN684" i="7"/>
  <c r="AN683" i="7"/>
  <c r="AN337" i="7"/>
  <c r="AN336" i="7"/>
  <c r="AN335" i="7"/>
  <c r="AN334" i="7"/>
  <c r="AN333" i="7"/>
  <c r="AN332" i="7"/>
  <c r="AN331" i="7"/>
  <c r="AN330" i="7"/>
  <c r="AN329" i="7"/>
  <c r="AN660" i="7"/>
  <c r="AN659" i="7"/>
  <c r="AN658" i="7"/>
  <c r="AN657" i="7"/>
  <c r="AN656" i="7"/>
  <c r="AN655" i="7"/>
  <c r="AN653" i="7"/>
  <c r="AN652" i="7"/>
  <c r="AN651" i="7"/>
  <c r="AN313" i="7"/>
  <c r="AN312" i="7"/>
  <c r="AN311" i="7"/>
  <c r="AN310" i="7"/>
  <c r="AN309" i="7"/>
  <c r="AN308" i="7"/>
  <c r="AN307" i="7"/>
  <c r="AN306" i="7"/>
  <c r="AN305" i="7"/>
  <c r="AN304" i="7"/>
  <c r="AN540" i="7"/>
  <c r="AN534" i="7"/>
  <c r="AN435" i="7"/>
  <c r="AN338" i="7"/>
  <c r="AN420" i="7"/>
  <c r="AN419" i="7"/>
  <c r="AN418" i="7"/>
  <c r="AN417" i="7"/>
  <c r="AN416" i="7"/>
  <c r="AN415" i="7"/>
  <c r="AN299" i="7"/>
  <c r="AN284" i="7"/>
  <c r="AN283" i="7"/>
  <c r="AN282" i="7"/>
  <c r="AN281" i="7"/>
  <c r="AN280" i="7"/>
  <c r="AN279" i="7"/>
  <c r="AN36" i="7"/>
  <c r="AM300" i="7"/>
  <c r="AM442" i="7"/>
  <c r="AM444" i="7"/>
  <c r="AM441" i="7"/>
  <c r="AM445" i="7"/>
  <c r="AM449" i="7"/>
  <c r="AM469" i="7"/>
  <c r="AM473" i="7"/>
  <c r="AM493" i="7"/>
  <c r="AM497" i="7"/>
  <c r="AM501" i="7"/>
  <c r="AM466" i="7"/>
  <c r="AM470" i="7"/>
  <c r="AM474" i="7"/>
  <c r="AM494" i="7"/>
  <c r="AM498" i="7"/>
  <c r="AM436" i="7"/>
  <c r="AL111" i="7" l="1"/>
  <c r="AL112" i="7" s="1"/>
  <c r="AN595" i="7"/>
  <c r="AN597" i="7" s="1"/>
  <c r="AO622" i="7"/>
  <c r="AO593" i="7"/>
  <c r="AN205" i="7"/>
  <c r="AN168" i="7"/>
  <c r="AN76" i="7"/>
  <c r="AM101" i="7"/>
  <c r="AN445" i="7"/>
  <c r="AN300" i="7"/>
  <c r="AN443" i="7"/>
  <c r="AN442" i="7"/>
  <c r="AN446" i="7"/>
  <c r="AN466" i="7"/>
  <c r="AN470" i="7"/>
  <c r="AN474" i="7"/>
  <c r="AN494" i="7"/>
  <c r="AN498" i="7"/>
  <c r="AN436" i="7"/>
  <c r="AN467" i="7"/>
  <c r="AN471" i="7"/>
  <c r="AN475" i="7"/>
  <c r="AN495" i="7"/>
  <c r="AN499" i="7"/>
  <c r="AO724" i="7"/>
  <c r="AO723" i="7"/>
  <c r="AO721" i="7"/>
  <c r="AO720" i="7"/>
  <c r="AO719" i="7"/>
  <c r="AO718" i="7"/>
  <c r="AO717" i="7"/>
  <c r="AO364" i="7"/>
  <c r="AO362" i="7"/>
  <c r="AO361" i="7"/>
  <c r="AO360" i="7"/>
  <c r="AO359" i="7"/>
  <c r="AO358" i="7"/>
  <c r="AO357" i="7"/>
  <c r="AO715" i="7"/>
  <c r="AO356" i="7"/>
  <c r="AO338" i="7"/>
  <c r="AO337" i="7"/>
  <c r="AO336" i="7"/>
  <c r="AO335" i="7"/>
  <c r="AO334" i="7"/>
  <c r="AO333" i="7"/>
  <c r="AO332" i="7"/>
  <c r="AO355" i="7"/>
  <c r="AO692" i="7"/>
  <c r="AO691" i="7"/>
  <c r="AO690" i="7"/>
  <c r="AO689" i="7"/>
  <c r="AO688" i="7"/>
  <c r="AO687" i="7"/>
  <c r="AO686" i="7"/>
  <c r="AO684" i="7"/>
  <c r="AO683" i="7"/>
  <c r="AO331" i="7"/>
  <c r="AO313" i="7"/>
  <c r="AO312" i="7"/>
  <c r="AO311" i="7"/>
  <c r="AO310" i="7"/>
  <c r="AO309" i="7"/>
  <c r="AO308" i="7"/>
  <c r="AO330" i="7"/>
  <c r="AO329" i="7"/>
  <c r="AO660" i="7"/>
  <c r="AO659" i="7"/>
  <c r="AO658" i="7"/>
  <c r="AO657" i="7"/>
  <c r="AO656" i="7"/>
  <c r="AO655" i="7"/>
  <c r="AO653" i="7"/>
  <c r="AO652" i="7"/>
  <c r="AO651" i="7"/>
  <c r="AO307" i="7"/>
  <c r="AO306" i="7"/>
  <c r="AO305" i="7"/>
  <c r="AO304" i="7"/>
  <c r="AO540" i="7"/>
  <c r="AO534" i="7"/>
  <c r="AO420" i="7"/>
  <c r="AO419" i="7"/>
  <c r="AO418" i="7"/>
  <c r="AO417" i="7"/>
  <c r="AO416" i="7"/>
  <c r="AO415" i="7"/>
  <c r="AO363" i="7"/>
  <c r="AO435" i="7"/>
  <c r="AO299" i="7"/>
  <c r="AO284" i="7"/>
  <c r="AO283" i="7"/>
  <c r="AO282" i="7"/>
  <c r="AO281" i="7"/>
  <c r="AO280" i="7"/>
  <c r="AO279" i="7"/>
  <c r="AO36" i="7"/>
  <c r="AN441" i="7"/>
  <c r="AN449" i="7"/>
  <c r="AN447" i="7"/>
  <c r="AN440" i="7"/>
  <c r="AN444" i="7"/>
  <c r="AN448" i="7"/>
  <c r="AN468" i="7"/>
  <c r="AN472" i="7"/>
  <c r="AN492" i="7"/>
  <c r="AN496" i="7"/>
  <c r="AN500" i="7"/>
  <c r="AN469" i="7"/>
  <c r="AN473" i="7"/>
  <c r="AN493" i="7"/>
  <c r="AN497" i="7"/>
  <c r="AN501" i="7"/>
  <c r="AO614" i="7"/>
  <c r="AN38" i="7"/>
  <c r="AN90" i="7"/>
  <c r="AN649" i="7"/>
  <c r="AN634" i="7" s="1"/>
  <c r="AN98" i="7" s="1"/>
  <c r="AN681" i="7"/>
  <c r="AN666" i="7" s="1"/>
  <c r="AN99" i="7" s="1"/>
  <c r="AN713" i="7"/>
  <c r="AN698" i="7" s="1"/>
  <c r="AN100" i="7" s="1"/>
  <c r="AM111" i="7" l="1"/>
  <c r="AM112" i="7" s="1"/>
  <c r="AO595" i="7"/>
  <c r="AO597" i="7" s="1"/>
  <c r="AP593" i="7"/>
  <c r="AO205" i="7"/>
  <c r="AO168" i="7"/>
  <c r="AO76" i="7"/>
  <c r="AO38" i="7"/>
  <c r="AO649" i="7"/>
  <c r="AO634" i="7" s="1"/>
  <c r="AO98" i="7" s="1"/>
  <c r="AO681" i="7"/>
  <c r="AO666" i="7" s="1"/>
  <c r="AO99" i="7" s="1"/>
  <c r="AO90" i="7"/>
  <c r="AO440" i="7"/>
  <c r="AO448" i="7"/>
  <c r="AO446" i="7"/>
  <c r="AO443" i="7"/>
  <c r="AO447" i="7"/>
  <c r="AO467" i="7"/>
  <c r="AO471" i="7"/>
  <c r="AO475" i="7"/>
  <c r="AO495" i="7"/>
  <c r="AO499" i="7"/>
  <c r="AO468" i="7"/>
  <c r="AO472" i="7"/>
  <c r="AO492" i="7"/>
  <c r="AO496" i="7"/>
  <c r="AO500" i="7"/>
  <c r="AP614" i="7"/>
  <c r="AO713" i="7"/>
  <c r="AO698" i="7" s="1"/>
  <c r="AO100" i="7" s="1"/>
  <c r="AP724" i="7"/>
  <c r="AP723" i="7"/>
  <c r="AP721" i="7"/>
  <c r="AP720" i="7"/>
  <c r="AP719" i="7"/>
  <c r="AP718" i="7"/>
  <c r="AP717" i="7"/>
  <c r="AP715" i="7"/>
  <c r="B712" i="7"/>
  <c r="B711" i="7"/>
  <c r="B710" i="7"/>
  <c r="B709" i="7"/>
  <c r="B708" i="7"/>
  <c r="B707" i="7"/>
  <c r="B706" i="7"/>
  <c r="B705" i="7"/>
  <c r="B704" i="7"/>
  <c r="AP355" i="7"/>
  <c r="AP692" i="7"/>
  <c r="B692" i="7" s="1"/>
  <c r="AP691" i="7"/>
  <c r="B691" i="7" s="1"/>
  <c r="AP690" i="7"/>
  <c r="B690" i="7" s="1"/>
  <c r="AP689" i="7"/>
  <c r="B689" i="7" s="1"/>
  <c r="AP688" i="7"/>
  <c r="B688" i="7" s="1"/>
  <c r="AP687" i="7"/>
  <c r="B687" i="7" s="1"/>
  <c r="AP686" i="7"/>
  <c r="B686" i="7" s="1"/>
  <c r="AP684" i="7"/>
  <c r="AP683" i="7"/>
  <c r="B680" i="7"/>
  <c r="B679" i="7"/>
  <c r="B678" i="7"/>
  <c r="B677" i="7"/>
  <c r="B676" i="7"/>
  <c r="B675" i="7"/>
  <c r="B674" i="7"/>
  <c r="B673" i="7"/>
  <c r="B672" i="7"/>
  <c r="AP329" i="7"/>
  <c r="AP660" i="7"/>
  <c r="B660" i="7" s="1"/>
  <c r="AP659" i="7"/>
  <c r="B659" i="7" s="1"/>
  <c r="AP658" i="7"/>
  <c r="B658" i="7" s="1"/>
  <c r="AP657" i="7"/>
  <c r="B657" i="7" s="1"/>
  <c r="AP656" i="7"/>
  <c r="B656" i="7" s="1"/>
  <c r="AP655" i="7"/>
  <c r="B655" i="7" s="1"/>
  <c r="AP653" i="7"/>
  <c r="AP652" i="7"/>
  <c r="AP651" i="7"/>
  <c r="B648" i="7"/>
  <c r="B647" i="7"/>
  <c r="B646" i="7"/>
  <c r="B645" i="7"/>
  <c r="B644" i="7"/>
  <c r="B643" i="7"/>
  <c r="B642" i="7"/>
  <c r="B641" i="7"/>
  <c r="B640" i="7"/>
  <c r="AA652" i="7" s="1"/>
  <c r="AP304" i="7"/>
  <c r="AP540" i="7"/>
  <c r="AP534" i="7"/>
  <c r="AP435" i="7"/>
  <c r="AP338" i="7"/>
  <c r="AP420" i="7"/>
  <c r="AP419" i="7"/>
  <c r="AP418" i="7"/>
  <c r="AP417" i="7"/>
  <c r="AP416" i="7"/>
  <c r="AP415" i="7"/>
  <c r="AP299" i="7"/>
  <c r="AP284" i="7"/>
  <c r="B284" i="7" s="1" a="1"/>
  <c r="B284" i="7" s="1"/>
  <c r="AP283" i="7"/>
  <c r="B283" i="7" s="1" a="1"/>
  <c r="B283" i="7" s="1"/>
  <c r="AP282" i="7"/>
  <c r="B282" i="7" s="1" a="1"/>
  <c r="B282" i="7" s="1"/>
  <c r="AP281" i="7"/>
  <c r="B281" i="7" s="1" a="1"/>
  <c r="B281" i="7" s="1"/>
  <c r="AP280" i="7"/>
  <c r="B280" i="7" s="1" a="1"/>
  <c r="B280" i="7" s="1"/>
  <c r="AP279" i="7"/>
  <c r="B279" i="7" s="1" a="1"/>
  <c r="B279" i="7" s="1"/>
  <c r="AP36" i="7"/>
  <c r="AO300" i="7"/>
  <c r="AO444" i="7"/>
  <c r="AO442" i="7"/>
  <c r="AO441" i="7"/>
  <c r="AO445" i="7"/>
  <c r="AO449" i="7"/>
  <c r="AO469" i="7"/>
  <c r="AO473" i="7"/>
  <c r="AO493" i="7"/>
  <c r="AO497" i="7"/>
  <c r="AO501" i="7"/>
  <c r="AO466" i="7"/>
  <c r="AO470" i="7"/>
  <c r="AO474" i="7"/>
  <c r="AO494" i="7"/>
  <c r="AO498" i="7"/>
  <c r="AO436" i="7"/>
  <c r="AN101" i="7"/>
  <c r="AO456" i="7" l="1"/>
  <c r="AO513" i="7"/>
  <c r="AN455" i="7"/>
  <c r="AO506" i="7"/>
  <c r="AO510" i="7"/>
  <c r="AO485" i="7"/>
  <c r="AO482" i="7"/>
  <c r="AO486" i="7"/>
  <c r="AO509" i="7"/>
  <c r="AO316" i="7"/>
  <c r="AN461" i="7"/>
  <c r="AO343" i="7"/>
  <c r="AN507" i="7"/>
  <c r="AN454" i="7"/>
  <c r="AO371" i="7"/>
  <c r="AN459" i="7"/>
  <c r="AN482" i="7"/>
  <c r="AN486" i="7"/>
  <c r="AN509" i="7"/>
  <c r="AP350" i="7"/>
  <c r="AN456" i="7"/>
  <c r="AN479" i="7"/>
  <c r="AN487" i="7"/>
  <c r="AO369" i="7"/>
  <c r="AO373" i="7"/>
  <c r="AO505" i="7"/>
  <c r="AO453" i="7"/>
  <c r="AO461" i="7"/>
  <c r="AO454" i="7"/>
  <c r="AO481" i="7"/>
  <c r="AO507" i="7"/>
  <c r="AN480" i="7"/>
  <c r="AO457" i="7"/>
  <c r="AO342" i="7"/>
  <c r="E320" i="7"/>
  <c r="D320" i="7"/>
  <c r="H320" i="7"/>
  <c r="G320" i="7"/>
  <c r="F320" i="7"/>
  <c r="C320" i="7"/>
  <c r="I320" i="7"/>
  <c r="J320" i="7"/>
  <c r="C457" i="7"/>
  <c r="E457" i="7"/>
  <c r="D457" i="7"/>
  <c r="G457" i="7"/>
  <c r="H457" i="7"/>
  <c r="F457" i="7"/>
  <c r="I457" i="7"/>
  <c r="K320" i="7"/>
  <c r="J457" i="7"/>
  <c r="K457" i="7"/>
  <c r="L320" i="7"/>
  <c r="L457" i="7"/>
  <c r="M320" i="7"/>
  <c r="M457" i="7"/>
  <c r="N320" i="7"/>
  <c r="O320" i="7"/>
  <c r="N457" i="7"/>
  <c r="P320" i="7"/>
  <c r="O457" i="7"/>
  <c r="Q320" i="7"/>
  <c r="P457" i="7"/>
  <c r="R320" i="7"/>
  <c r="Q457" i="7"/>
  <c r="S320" i="7"/>
  <c r="R457" i="7"/>
  <c r="T320" i="7"/>
  <c r="S457" i="7"/>
  <c r="T457" i="7"/>
  <c r="U320" i="7"/>
  <c r="U457" i="7"/>
  <c r="V320" i="7"/>
  <c r="V457" i="7"/>
  <c r="W320" i="7"/>
  <c r="X320" i="7"/>
  <c r="W457" i="7"/>
  <c r="Y320" i="7"/>
  <c r="X457" i="7"/>
  <c r="Y457" i="7"/>
  <c r="Z320" i="7"/>
  <c r="Z457" i="7"/>
  <c r="AA320" i="7"/>
  <c r="AB320" i="7"/>
  <c r="AA457" i="7"/>
  <c r="AC320" i="7"/>
  <c r="AB457" i="7"/>
  <c r="AC457" i="7"/>
  <c r="AD320" i="7"/>
  <c r="AD457" i="7"/>
  <c r="AE320" i="7"/>
  <c r="AF320" i="7"/>
  <c r="AE457" i="7"/>
  <c r="AF457" i="7"/>
  <c r="AG320" i="7"/>
  <c r="AG457" i="7"/>
  <c r="AH320" i="7"/>
  <c r="AH457" i="7"/>
  <c r="AI320" i="7"/>
  <c r="AI457" i="7"/>
  <c r="AJ320" i="7"/>
  <c r="AJ457" i="7"/>
  <c r="AK320" i="7"/>
  <c r="AK457" i="7"/>
  <c r="AL320" i="7"/>
  <c r="AL457" i="7"/>
  <c r="AM320" i="7"/>
  <c r="AN320" i="7"/>
  <c r="AM457" i="7"/>
  <c r="C343" i="7"/>
  <c r="F343" i="7"/>
  <c r="D343" i="7"/>
  <c r="C480" i="7"/>
  <c r="E343" i="7"/>
  <c r="D480" i="7"/>
  <c r="G343" i="7"/>
  <c r="E480" i="7"/>
  <c r="F480" i="7"/>
  <c r="G480" i="7"/>
  <c r="H343" i="7"/>
  <c r="I343" i="7"/>
  <c r="H480" i="7"/>
  <c r="I480" i="7"/>
  <c r="J343" i="7"/>
  <c r="J480" i="7"/>
  <c r="K343" i="7"/>
  <c r="L343" i="7"/>
  <c r="K480" i="7"/>
  <c r="M343" i="7"/>
  <c r="L480" i="7"/>
  <c r="M480" i="7"/>
  <c r="N343" i="7"/>
  <c r="N480" i="7"/>
  <c r="O343" i="7"/>
  <c r="P343" i="7"/>
  <c r="O480" i="7"/>
  <c r="P480" i="7"/>
  <c r="Q343" i="7"/>
  <c r="R343" i="7"/>
  <c r="Q480" i="7"/>
  <c r="R480" i="7"/>
  <c r="S343" i="7"/>
  <c r="T343" i="7"/>
  <c r="S480" i="7"/>
  <c r="U343" i="7"/>
  <c r="T480" i="7"/>
  <c r="V343" i="7"/>
  <c r="U480" i="7"/>
  <c r="V480" i="7"/>
  <c r="W343" i="7"/>
  <c r="W480" i="7"/>
  <c r="X343" i="7"/>
  <c r="Y343" i="7"/>
  <c r="X480" i="7"/>
  <c r="Y480" i="7"/>
  <c r="Z343" i="7"/>
  <c r="Z480" i="7"/>
  <c r="AA343" i="7"/>
  <c r="AA480" i="7"/>
  <c r="AB343" i="7"/>
  <c r="AB480" i="7"/>
  <c r="AC343" i="7"/>
  <c r="AC480" i="7"/>
  <c r="AD343" i="7"/>
  <c r="AD480" i="7"/>
  <c r="AE343" i="7"/>
  <c r="AF343" i="7"/>
  <c r="AE480" i="7"/>
  <c r="AG343" i="7"/>
  <c r="AF480" i="7"/>
  <c r="AG480" i="7"/>
  <c r="AH343" i="7"/>
  <c r="AI343" i="7"/>
  <c r="AH480" i="7"/>
  <c r="AI480" i="7"/>
  <c r="AJ343" i="7"/>
  <c r="AK343" i="7"/>
  <c r="AJ480" i="7"/>
  <c r="AK480" i="7"/>
  <c r="AL343" i="7"/>
  <c r="AL480" i="7"/>
  <c r="AM343" i="7"/>
  <c r="AN343" i="7"/>
  <c r="AM480" i="7"/>
  <c r="H374" i="7"/>
  <c r="D374" i="7"/>
  <c r="E374" i="7"/>
  <c r="G374" i="7"/>
  <c r="F374" i="7"/>
  <c r="C374" i="7"/>
  <c r="I374" i="7"/>
  <c r="J374" i="7"/>
  <c r="K374" i="7"/>
  <c r="J511" i="7"/>
  <c r="L374" i="7"/>
  <c r="I511" i="7"/>
  <c r="H511" i="7"/>
  <c r="C511" i="7"/>
  <c r="E511" i="7"/>
  <c r="G511" i="7"/>
  <c r="K511" i="7"/>
  <c r="F511" i="7"/>
  <c r="D511" i="7"/>
  <c r="L511" i="7"/>
  <c r="M374" i="7"/>
  <c r="M511" i="7"/>
  <c r="N374" i="7"/>
  <c r="N511" i="7"/>
  <c r="O374" i="7"/>
  <c r="P374" i="7"/>
  <c r="O511" i="7"/>
  <c r="P511" i="7"/>
  <c r="Q374" i="7"/>
  <c r="R374" i="7"/>
  <c r="Q511" i="7"/>
  <c r="R511" i="7"/>
  <c r="S374" i="7"/>
  <c r="T374" i="7"/>
  <c r="S511" i="7"/>
  <c r="U374" i="7"/>
  <c r="T511" i="7"/>
  <c r="V374" i="7"/>
  <c r="U511" i="7"/>
  <c r="V511" i="7"/>
  <c r="W374" i="7"/>
  <c r="W511" i="7"/>
  <c r="X374" i="7"/>
  <c r="X511" i="7"/>
  <c r="Y374" i="7"/>
  <c r="Y511" i="7"/>
  <c r="Z374" i="7"/>
  <c r="Z511" i="7"/>
  <c r="AA374" i="7"/>
  <c r="AB374" i="7"/>
  <c r="AA511" i="7"/>
  <c r="AC374" i="7"/>
  <c r="AB511" i="7"/>
  <c r="AC511" i="7"/>
  <c r="AD374" i="7"/>
  <c r="AE374" i="7"/>
  <c r="AD511" i="7"/>
  <c r="AF374" i="7"/>
  <c r="AE511" i="7"/>
  <c r="AG374" i="7"/>
  <c r="AF511" i="7"/>
  <c r="AH374" i="7"/>
  <c r="AG511" i="7"/>
  <c r="AI374" i="7"/>
  <c r="AH511" i="7"/>
  <c r="AI511" i="7"/>
  <c r="AJ374" i="7"/>
  <c r="AK374" i="7"/>
  <c r="AJ511" i="7"/>
  <c r="AL374" i="7"/>
  <c r="AK511" i="7"/>
  <c r="AL511" i="7"/>
  <c r="AM374" i="7"/>
  <c r="AN374" i="7"/>
  <c r="AM511" i="7"/>
  <c r="AO484" i="7"/>
  <c r="AO455" i="7"/>
  <c r="AN506" i="7"/>
  <c r="AN510" i="7"/>
  <c r="AO324" i="7"/>
  <c r="AO317" i="7"/>
  <c r="G321" i="7"/>
  <c r="F321" i="7"/>
  <c r="H321" i="7"/>
  <c r="D321" i="7"/>
  <c r="C321" i="7"/>
  <c r="I321" i="7"/>
  <c r="E321" i="7"/>
  <c r="J321" i="7"/>
  <c r="C458" i="7"/>
  <c r="K321" i="7"/>
  <c r="J458" i="7"/>
  <c r="I458" i="7"/>
  <c r="D458" i="7"/>
  <c r="F458" i="7"/>
  <c r="E458" i="7"/>
  <c r="G458" i="7"/>
  <c r="H458" i="7"/>
  <c r="L321" i="7"/>
  <c r="K458" i="7"/>
  <c r="M321" i="7"/>
  <c r="L458" i="7"/>
  <c r="N321" i="7"/>
  <c r="M458" i="7"/>
  <c r="O321" i="7"/>
  <c r="N458" i="7"/>
  <c r="P321" i="7"/>
  <c r="O458" i="7"/>
  <c r="P458" i="7"/>
  <c r="Q321" i="7"/>
  <c r="R321" i="7"/>
  <c r="Q458" i="7"/>
  <c r="S321" i="7"/>
  <c r="R458" i="7"/>
  <c r="T321" i="7"/>
  <c r="S458" i="7"/>
  <c r="T458" i="7"/>
  <c r="U321" i="7"/>
  <c r="V321" i="7"/>
  <c r="U458" i="7"/>
  <c r="V458" i="7"/>
  <c r="W321" i="7"/>
  <c r="X321" i="7"/>
  <c r="W458" i="7"/>
  <c r="Y321" i="7"/>
  <c r="X458" i="7"/>
  <c r="Z321" i="7"/>
  <c r="Y458" i="7"/>
  <c r="AA321" i="7"/>
  <c r="Z458" i="7"/>
  <c r="AB321" i="7"/>
  <c r="AA458" i="7"/>
  <c r="AC321" i="7"/>
  <c r="AB458" i="7"/>
  <c r="AD321" i="7"/>
  <c r="AC458" i="7"/>
  <c r="AE321" i="7"/>
  <c r="AD458" i="7"/>
  <c r="AF321" i="7"/>
  <c r="AE458" i="7"/>
  <c r="AG321" i="7"/>
  <c r="AF458" i="7"/>
  <c r="AH321" i="7"/>
  <c r="AG458" i="7"/>
  <c r="AI321" i="7"/>
  <c r="AH458" i="7"/>
  <c r="AI458" i="7"/>
  <c r="AJ321" i="7"/>
  <c r="AJ458" i="7"/>
  <c r="AK321" i="7"/>
  <c r="AK458" i="7"/>
  <c r="AL321" i="7"/>
  <c r="AM321" i="7"/>
  <c r="AL458" i="7"/>
  <c r="AM458" i="7"/>
  <c r="AN321" i="7"/>
  <c r="D344" i="7"/>
  <c r="F344" i="7"/>
  <c r="G344" i="7"/>
  <c r="E344" i="7"/>
  <c r="C344" i="7"/>
  <c r="G481" i="7"/>
  <c r="C481" i="7"/>
  <c r="H344" i="7"/>
  <c r="E481" i="7"/>
  <c r="F481" i="7"/>
  <c r="D481" i="7"/>
  <c r="I344" i="7"/>
  <c r="H481" i="7"/>
  <c r="I481" i="7"/>
  <c r="J344" i="7"/>
  <c r="J481" i="7"/>
  <c r="K344" i="7"/>
  <c r="L344" i="7"/>
  <c r="K481" i="7"/>
  <c r="L481" i="7"/>
  <c r="M344" i="7"/>
  <c r="M481" i="7"/>
  <c r="N344" i="7"/>
  <c r="N481" i="7"/>
  <c r="O344" i="7"/>
  <c r="P344" i="7"/>
  <c r="O481" i="7"/>
  <c r="Q344" i="7"/>
  <c r="P481" i="7"/>
  <c r="R344" i="7"/>
  <c r="Q481" i="7"/>
  <c r="R481" i="7"/>
  <c r="S344" i="7"/>
  <c r="T344" i="7"/>
  <c r="S481" i="7"/>
  <c r="U344" i="7"/>
  <c r="T481" i="7"/>
  <c r="V344" i="7"/>
  <c r="U481" i="7"/>
  <c r="V481" i="7"/>
  <c r="W344" i="7"/>
  <c r="X344" i="7"/>
  <c r="W481" i="7"/>
  <c r="Y344" i="7"/>
  <c r="X481" i="7"/>
  <c r="Z344" i="7"/>
  <c r="Y481" i="7"/>
  <c r="Z481" i="7"/>
  <c r="AA344" i="7"/>
  <c r="AA481" i="7"/>
  <c r="AB344" i="7"/>
  <c r="AC344" i="7"/>
  <c r="AB481" i="7"/>
  <c r="AD344" i="7"/>
  <c r="AC481" i="7"/>
  <c r="AE344" i="7"/>
  <c r="AD481" i="7"/>
  <c r="AF344" i="7"/>
  <c r="AE481" i="7"/>
  <c r="AF481" i="7"/>
  <c r="AG344" i="7"/>
  <c r="AG481" i="7"/>
  <c r="AH344" i="7"/>
  <c r="AH481" i="7"/>
  <c r="AI344" i="7"/>
  <c r="AJ344" i="7"/>
  <c r="AI481" i="7"/>
  <c r="AK344" i="7"/>
  <c r="AJ481" i="7"/>
  <c r="AK481" i="7"/>
  <c r="AL344" i="7"/>
  <c r="AL481" i="7"/>
  <c r="AM344" i="7"/>
  <c r="AM481" i="7"/>
  <c r="AN344" i="7"/>
  <c r="E375" i="7"/>
  <c r="D375" i="7"/>
  <c r="F375" i="7"/>
  <c r="L375" i="7"/>
  <c r="C375" i="7"/>
  <c r="K375" i="7"/>
  <c r="J375" i="7"/>
  <c r="I375" i="7"/>
  <c r="H375" i="7"/>
  <c r="G375" i="7"/>
  <c r="L512" i="7"/>
  <c r="M375" i="7"/>
  <c r="G512" i="7"/>
  <c r="C512" i="7"/>
  <c r="H512" i="7"/>
  <c r="F512" i="7"/>
  <c r="E512" i="7"/>
  <c r="I512" i="7"/>
  <c r="D512" i="7"/>
  <c r="J512" i="7"/>
  <c r="K512" i="7"/>
  <c r="M512" i="7"/>
  <c r="N375" i="7"/>
  <c r="O375" i="7"/>
  <c r="N512" i="7"/>
  <c r="O512" i="7"/>
  <c r="P375" i="7"/>
  <c r="Q375" i="7"/>
  <c r="P512" i="7"/>
  <c r="Q512" i="7"/>
  <c r="R375" i="7"/>
  <c r="R512" i="7"/>
  <c r="S375" i="7"/>
  <c r="S512" i="7"/>
  <c r="T375" i="7"/>
  <c r="U375" i="7"/>
  <c r="T512" i="7"/>
  <c r="U512" i="7"/>
  <c r="V375" i="7"/>
  <c r="W375" i="7"/>
  <c r="V512" i="7"/>
  <c r="W512" i="7"/>
  <c r="X375" i="7"/>
  <c r="X512" i="7"/>
  <c r="Y375" i="7"/>
  <c r="Y512" i="7"/>
  <c r="Z375" i="7"/>
  <c r="AA375" i="7"/>
  <c r="Z512" i="7"/>
  <c r="AA512" i="7"/>
  <c r="AB375" i="7"/>
  <c r="AC375" i="7"/>
  <c r="AB512" i="7"/>
  <c r="AD375" i="7"/>
  <c r="AC512" i="7"/>
  <c r="AE375" i="7"/>
  <c r="AD512" i="7"/>
  <c r="AE512" i="7"/>
  <c r="AF375" i="7"/>
  <c r="AF512" i="7"/>
  <c r="AG375" i="7"/>
  <c r="AG512" i="7"/>
  <c r="AH375" i="7"/>
  <c r="AH512" i="7"/>
  <c r="AI375" i="7"/>
  <c r="AJ375" i="7"/>
  <c r="AI512" i="7"/>
  <c r="AK375" i="7"/>
  <c r="AJ512" i="7"/>
  <c r="AK512" i="7"/>
  <c r="AL375" i="7"/>
  <c r="AM375" i="7"/>
  <c r="AL512" i="7"/>
  <c r="AM512" i="7"/>
  <c r="AN375" i="7"/>
  <c r="AO480" i="7"/>
  <c r="AO458" i="7"/>
  <c r="AO319" i="7"/>
  <c r="AO374" i="7"/>
  <c r="AN512" i="7"/>
  <c r="AN481" i="7"/>
  <c r="H322" i="7"/>
  <c r="G322" i="7"/>
  <c r="K322" i="7"/>
  <c r="F322" i="7"/>
  <c r="I322" i="7"/>
  <c r="J322" i="7"/>
  <c r="C322" i="7"/>
  <c r="D322" i="7"/>
  <c r="E322" i="7"/>
  <c r="G459" i="7"/>
  <c r="H459" i="7"/>
  <c r="D459" i="7"/>
  <c r="C459" i="7"/>
  <c r="I459" i="7"/>
  <c r="F459" i="7"/>
  <c r="L322" i="7"/>
  <c r="K459" i="7"/>
  <c r="J459" i="7"/>
  <c r="E459" i="7"/>
  <c r="L459" i="7"/>
  <c r="M322" i="7"/>
  <c r="M459" i="7"/>
  <c r="N322" i="7"/>
  <c r="N459" i="7"/>
  <c r="O322" i="7"/>
  <c r="O459" i="7"/>
  <c r="P322" i="7"/>
  <c r="P459" i="7"/>
  <c r="Q322" i="7"/>
  <c r="Q459" i="7"/>
  <c r="R322" i="7"/>
  <c r="R459" i="7"/>
  <c r="S322" i="7"/>
  <c r="S459" i="7"/>
  <c r="T322" i="7"/>
  <c r="U322" i="7"/>
  <c r="T459" i="7"/>
  <c r="V322" i="7"/>
  <c r="U459" i="7"/>
  <c r="V459" i="7"/>
  <c r="W322" i="7"/>
  <c r="X322" i="7"/>
  <c r="W459" i="7"/>
  <c r="X459" i="7"/>
  <c r="Y322" i="7"/>
  <c r="Y459" i="7"/>
  <c r="Z322" i="7"/>
  <c r="Z459" i="7"/>
  <c r="AA322" i="7"/>
  <c r="AB322" i="7"/>
  <c r="AA459" i="7"/>
  <c r="AB459" i="7"/>
  <c r="AC322" i="7"/>
  <c r="AC459" i="7"/>
  <c r="AD322" i="7"/>
  <c r="AE322" i="7"/>
  <c r="AD459" i="7"/>
  <c r="AF322" i="7"/>
  <c r="AE459" i="7"/>
  <c r="AG322" i="7"/>
  <c r="AF459" i="7"/>
  <c r="AH322" i="7"/>
  <c r="AG459" i="7"/>
  <c r="AI322" i="7"/>
  <c r="AH459" i="7"/>
  <c r="AJ322" i="7"/>
  <c r="AI459" i="7"/>
  <c r="AJ459" i="7"/>
  <c r="AK322" i="7"/>
  <c r="AK459" i="7"/>
  <c r="AL322" i="7"/>
  <c r="AM322" i="7"/>
  <c r="AL459" i="7"/>
  <c r="AM459" i="7"/>
  <c r="AN322" i="7"/>
  <c r="E345" i="7"/>
  <c r="C345" i="7"/>
  <c r="D345" i="7"/>
  <c r="G345" i="7"/>
  <c r="H345" i="7"/>
  <c r="F345" i="7"/>
  <c r="D482" i="7"/>
  <c r="C482" i="7"/>
  <c r="F482" i="7"/>
  <c r="G482" i="7"/>
  <c r="H482" i="7"/>
  <c r="E482" i="7"/>
  <c r="I345" i="7"/>
  <c r="J345" i="7"/>
  <c r="I482" i="7"/>
  <c r="K345" i="7"/>
  <c r="J482" i="7"/>
  <c r="K482" i="7"/>
  <c r="L345" i="7"/>
  <c r="L482" i="7"/>
  <c r="M345" i="7"/>
  <c r="N345" i="7"/>
  <c r="M482" i="7"/>
  <c r="N482" i="7"/>
  <c r="O345" i="7"/>
  <c r="P345" i="7"/>
  <c r="O482" i="7"/>
  <c r="P482" i="7"/>
  <c r="Q345" i="7"/>
  <c r="R345" i="7"/>
  <c r="Q482" i="7"/>
  <c r="S345" i="7"/>
  <c r="R482" i="7"/>
  <c r="T345" i="7"/>
  <c r="S482" i="7"/>
  <c r="T482" i="7"/>
  <c r="U345" i="7"/>
  <c r="U482" i="7"/>
  <c r="V345" i="7"/>
  <c r="W345" i="7"/>
  <c r="V482" i="7"/>
  <c r="X345" i="7"/>
  <c r="W482" i="7"/>
  <c r="X482" i="7"/>
  <c r="Y345" i="7"/>
  <c r="Y482" i="7"/>
  <c r="Z345" i="7"/>
  <c r="AA345" i="7"/>
  <c r="Z482" i="7"/>
  <c r="AA482" i="7"/>
  <c r="AB345" i="7"/>
  <c r="AB482" i="7"/>
  <c r="AC345" i="7"/>
  <c r="AC482" i="7"/>
  <c r="AD345" i="7"/>
  <c r="AE345" i="7"/>
  <c r="AD482" i="7"/>
  <c r="AE482" i="7"/>
  <c r="AF345" i="7"/>
  <c r="AG345" i="7"/>
  <c r="AF482" i="7"/>
  <c r="AH345" i="7"/>
  <c r="AG482" i="7"/>
  <c r="AI345" i="7"/>
  <c r="AH482" i="7"/>
  <c r="AI482" i="7"/>
  <c r="AJ345" i="7"/>
  <c r="AK345" i="7"/>
  <c r="AJ482" i="7"/>
  <c r="AL345" i="7"/>
  <c r="AK482" i="7"/>
  <c r="AM345" i="7"/>
  <c r="AL482" i="7"/>
  <c r="AM482" i="7"/>
  <c r="AN345" i="7"/>
  <c r="C368" i="7"/>
  <c r="C505" i="7"/>
  <c r="D368" i="7"/>
  <c r="F368" i="7"/>
  <c r="D505" i="7"/>
  <c r="E368" i="7"/>
  <c r="G368" i="7"/>
  <c r="E505" i="7"/>
  <c r="F505" i="7"/>
  <c r="G505" i="7"/>
  <c r="H368" i="7"/>
  <c r="I368" i="7"/>
  <c r="H505" i="7"/>
  <c r="J368" i="7"/>
  <c r="I505" i="7"/>
  <c r="J505" i="7"/>
  <c r="K368" i="7"/>
  <c r="L368" i="7"/>
  <c r="K505" i="7"/>
  <c r="L505" i="7"/>
  <c r="M368" i="7"/>
  <c r="M505" i="7"/>
  <c r="N368" i="7"/>
  <c r="N505" i="7"/>
  <c r="O368" i="7"/>
  <c r="P368" i="7"/>
  <c r="O505" i="7"/>
  <c r="Q368" i="7"/>
  <c r="P505" i="7"/>
  <c r="Q505" i="7"/>
  <c r="R368" i="7"/>
  <c r="R505" i="7"/>
  <c r="S368" i="7"/>
  <c r="S505" i="7"/>
  <c r="T368" i="7"/>
  <c r="U368" i="7"/>
  <c r="T505" i="7"/>
  <c r="U505" i="7"/>
  <c r="V368" i="7"/>
  <c r="V505" i="7"/>
  <c r="W368" i="7"/>
  <c r="X368" i="7"/>
  <c r="W505" i="7"/>
  <c r="Y368" i="7"/>
  <c r="X505" i="7"/>
  <c r="Y505" i="7"/>
  <c r="Z368" i="7"/>
  <c r="AA368" i="7"/>
  <c r="Z505" i="7"/>
  <c r="AB368" i="7"/>
  <c r="AA505" i="7"/>
  <c r="AC368" i="7"/>
  <c r="AB505" i="7"/>
  <c r="AC505" i="7"/>
  <c r="AD368" i="7"/>
  <c r="AD505" i="7"/>
  <c r="AE368" i="7"/>
  <c r="AE505" i="7"/>
  <c r="AF368" i="7"/>
  <c r="AG368" i="7"/>
  <c r="AF505" i="7"/>
  <c r="AH368" i="7"/>
  <c r="AG505" i="7"/>
  <c r="AI368" i="7"/>
  <c r="AH505" i="7"/>
  <c r="AJ368" i="7"/>
  <c r="AI505" i="7"/>
  <c r="AK368" i="7"/>
  <c r="AJ505" i="7"/>
  <c r="AL368" i="7"/>
  <c r="AK505" i="7"/>
  <c r="AL505" i="7"/>
  <c r="AM368" i="7"/>
  <c r="AN368" i="7"/>
  <c r="AM505" i="7"/>
  <c r="C376" i="7"/>
  <c r="L376" i="7"/>
  <c r="D376" i="7"/>
  <c r="I376" i="7"/>
  <c r="E376" i="7"/>
  <c r="K376" i="7"/>
  <c r="G376" i="7"/>
  <c r="F376" i="7"/>
  <c r="J376" i="7"/>
  <c r="H376" i="7"/>
  <c r="M376" i="7"/>
  <c r="F513" i="7"/>
  <c r="G513" i="7"/>
  <c r="K513" i="7"/>
  <c r="H513" i="7"/>
  <c r="D513" i="7"/>
  <c r="E513" i="7"/>
  <c r="L513" i="7"/>
  <c r="C513" i="7"/>
  <c r="J513" i="7"/>
  <c r="M513" i="7"/>
  <c r="N376" i="7"/>
  <c r="I513" i="7"/>
  <c r="N513" i="7"/>
  <c r="O376" i="7"/>
  <c r="O513" i="7"/>
  <c r="P376" i="7"/>
  <c r="P513" i="7"/>
  <c r="Q376" i="7"/>
  <c r="R376" i="7"/>
  <c r="Q513" i="7"/>
  <c r="S376" i="7"/>
  <c r="R513" i="7"/>
  <c r="T376" i="7"/>
  <c r="S513" i="7"/>
  <c r="T513" i="7"/>
  <c r="U376" i="7"/>
  <c r="V376" i="7"/>
  <c r="U513" i="7"/>
  <c r="W376" i="7"/>
  <c r="V513" i="7"/>
  <c r="W513" i="7"/>
  <c r="X376" i="7"/>
  <c r="X513" i="7"/>
  <c r="Y376" i="7"/>
  <c r="Y513" i="7"/>
  <c r="Z376" i="7"/>
  <c r="AA376" i="7"/>
  <c r="Z513" i="7"/>
  <c r="AB376" i="7"/>
  <c r="AA513" i="7"/>
  <c r="AB513" i="7"/>
  <c r="AC376" i="7"/>
  <c r="AC513" i="7"/>
  <c r="AD376" i="7"/>
  <c r="AD513" i="7"/>
  <c r="AE376" i="7"/>
  <c r="AF376" i="7"/>
  <c r="AE513" i="7"/>
  <c r="AF513" i="7"/>
  <c r="AG376" i="7"/>
  <c r="AH376" i="7"/>
  <c r="AG513" i="7"/>
  <c r="AH513" i="7"/>
  <c r="AI376" i="7"/>
  <c r="AJ376" i="7"/>
  <c r="AI513" i="7"/>
  <c r="AK376" i="7"/>
  <c r="AJ513" i="7"/>
  <c r="AL376" i="7"/>
  <c r="AK513" i="7"/>
  <c r="AL513" i="7"/>
  <c r="AM376" i="7"/>
  <c r="AN376" i="7"/>
  <c r="AM513" i="7"/>
  <c r="AO511" i="7"/>
  <c r="AO460" i="7"/>
  <c r="AO375" i="7"/>
  <c r="AO350" i="7"/>
  <c r="AO349" i="7"/>
  <c r="AN458" i="7"/>
  <c r="AO344" i="7"/>
  <c r="E346" i="7"/>
  <c r="I346" i="7"/>
  <c r="F346" i="7"/>
  <c r="H346" i="7"/>
  <c r="C346" i="7"/>
  <c r="G346" i="7"/>
  <c r="D346" i="7"/>
  <c r="C483" i="7"/>
  <c r="E483" i="7"/>
  <c r="J346" i="7"/>
  <c r="F483" i="7"/>
  <c r="H483" i="7"/>
  <c r="I483" i="7"/>
  <c r="D483" i="7"/>
  <c r="G483" i="7"/>
  <c r="J483" i="7"/>
  <c r="K346" i="7"/>
  <c r="K483" i="7"/>
  <c r="L346" i="7"/>
  <c r="L483" i="7"/>
  <c r="M346" i="7"/>
  <c r="N346" i="7"/>
  <c r="M483" i="7"/>
  <c r="O346" i="7"/>
  <c r="N483" i="7"/>
  <c r="P346" i="7"/>
  <c r="O483" i="7"/>
  <c r="P483" i="7"/>
  <c r="Q346" i="7"/>
  <c r="Q483" i="7"/>
  <c r="R346" i="7"/>
  <c r="S346" i="7"/>
  <c r="R483" i="7"/>
  <c r="T346" i="7"/>
  <c r="S483" i="7"/>
  <c r="U346" i="7"/>
  <c r="T483" i="7"/>
  <c r="V346" i="7"/>
  <c r="U483" i="7"/>
  <c r="V483" i="7"/>
  <c r="W346" i="7"/>
  <c r="X346" i="7"/>
  <c r="W483" i="7"/>
  <c r="X483" i="7"/>
  <c r="Y346" i="7"/>
  <c r="Y483" i="7"/>
  <c r="Z346" i="7"/>
  <c r="AA346" i="7"/>
  <c r="Z483" i="7"/>
  <c r="AB346" i="7"/>
  <c r="AA483" i="7"/>
  <c r="AC346" i="7"/>
  <c r="AB483" i="7"/>
  <c r="AC483" i="7"/>
  <c r="AD346" i="7"/>
  <c r="AE346" i="7"/>
  <c r="AD483" i="7"/>
  <c r="AE483" i="7"/>
  <c r="AF346" i="7"/>
  <c r="AG346" i="7"/>
  <c r="AF483" i="7"/>
  <c r="AG483" i="7"/>
  <c r="AH346" i="7"/>
  <c r="AH483" i="7"/>
  <c r="AI346" i="7"/>
  <c r="AJ346" i="7"/>
  <c r="AI483" i="7"/>
  <c r="AK346" i="7"/>
  <c r="AJ483" i="7"/>
  <c r="AL346" i="7"/>
  <c r="AK483" i="7"/>
  <c r="AM346" i="7"/>
  <c r="AL483" i="7"/>
  <c r="AM483" i="7"/>
  <c r="AN346" i="7"/>
  <c r="C316" i="7"/>
  <c r="D316" i="7"/>
  <c r="F316" i="7"/>
  <c r="E316" i="7"/>
  <c r="C453" i="7"/>
  <c r="D453" i="7"/>
  <c r="E453" i="7"/>
  <c r="F453" i="7"/>
  <c r="G316" i="7"/>
  <c r="G453" i="7"/>
  <c r="H316" i="7"/>
  <c r="I316" i="7"/>
  <c r="H453" i="7"/>
  <c r="I453" i="7"/>
  <c r="J316" i="7"/>
  <c r="K316" i="7"/>
  <c r="J453" i="7"/>
  <c r="K453" i="7"/>
  <c r="L316" i="7"/>
  <c r="L453" i="7"/>
  <c r="M316" i="7"/>
  <c r="N316" i="7"/>
  <c r="M453" i="7"/>
  <c r="O316" i="7"/>
  <c r="N453" i="7"/>
  <c r="O453" i="7"/>
  <c r="P316" i="7"/>
  <c r="Q316" i="7"/>
  <c r="P453" i="7"/>
  <c r="R316" i="7"/>
  <c r="Q453" i="7"/>
  <c r="S316" i="7"/>
  <c r="R453" i="7"/>
  <c r="T316" i="7"/>
  <c r="S453" i="7"/>
  <c r="T453" i="7"/>
  <c r="U316" i="7"/>
  <c r="U453" i="7"/>
  <c r="V316" i="7"/>
  <c r="W316" i="7"/>
  <c r="V453" i="7"/>
  <c r="X316" i="7"/>
  <c r="W453" i="7"/>
  <c r="X453" i="7"/>
  <c r="Y316" i="7"/>
  <c r="Y453" i="7"/>
  <c r="Z316" i="7"/>
  <c r="Z453" i="7"/>
  <c r="AA316" i="7"/>
  <c r="AB316" i="7"/>
  <c r="AA453" i="7"/>
  <c r="AB453" i="7"/>
  <c r="AC316" i="7"/>
  <c r="AD316" i="7"/>
  <c r="AC453" i="7"/>
  <c r="AD453" i="7"/>
  <c r="AE316" i="7"/>
  <c r="AE453" i="7"/>
  <c r="AF316" i="7"/>
  <c r="AF453" i="7"/>
  <c r="AG316" i="7"/>
  <c r="AH316" i="7"/>
  <c r="AG453" i="7"/>
  <c r="AI316" i="7"/>
  <c r="AH453" i="7"/>
  <c r="AI453" i="7"/>
  <c r="AJ316" i="7"/>
  <c r="AJ453" i="7"/>
  <c r="AK316" i="7"/>
  <c r="AL316" i="7"/>
  <c r="AK453" i="7"/>
  <c r="AM316" i="7"/>
  <c r="AL453" i="7"/>
  <c r="AM453" i="7"/>
  <c r="AN316" i="7"/>
  <c r="G324" i="7"/>
  <c r="C324" i="7"/>
  <c r="J324" i="7"/>
  <c r="H324" i="7"/>
  <c r="E324" i="7"/>
  <c r="L324" i="7"/>
  <c r="I324" i="7"/>
  <c r="F324" i="7"/>
  <c r="K324" i="7"/>
  <c r="M324" i="7"/>
  <c r="D324" i="7"/>
  <c r="K461" i="7"/>
  <c r="H461" i="7"/>
  <c r="M461" i="7"/>
  <c r="J461" i="7"/>
  <c r="N324" i="7"/>
  <c r="F461" i="7"/>
  <c r="D461" i="7"/>
  <c r="L461" i="7"/>
  <c r="E461" i="7"/>
  <c r="I461" i="7"/>
  <c r="G461" i="7"/>
  <c r="C461" i="7"/>
  <c r="O324" i="7"/>
  <c r="N461" i="7"/>
  <c r="O461" i="7"/>
  <c r="P324" i="7"/>
  <c r="P461" i="7"/>
  <c r="Q324" i="7"/>
  <c r="R324" i="7"/>
  <c r="Q461" i="7"/>
  <c r="R461" i="7"/>
  <c r="S324" i="7"/>
  <c r="T324" i="7"/>
  <c r="S461" i="7"/>
  <c r="U324" i="7"/>
  <c r="T461" i="7"/>
  <c r="U461" i="7"/>
  <c r="V324" i="7"/>
  <c r="V461" i="7"/>
  <c r="W324" i="7"/>
  <c r="X324" i="7"/>
  <c r="W461" i="7"/>
  <c r="Y324" i="7"/>
  <c r="X461" i="7"/>
  <c r="Z324" i="7"/>
  <c r="Y461" i="7"/>
  <c r="AA324" i="7"/>
  <c r="Z461" i="7"/>
  <c r="AB324" i="7"/>
  <c r="AA461" i="7"/>
  <c r="AC324" i="7"/>
  <c r="AB461" i="7"/>
  <c r="AD324" i="7"/>
  <c r="AC461" i="7"/>
  <c r="AE324" i="7"/>
  <c r="AD461" i="7"/>
  <c r="AF324" i="7"/>
  <c r="AE461" i="7"/>
  <c r="AF461" i="7"/>
  <c r="AG324" i="7"/>
  <c r="AG461" i="7"/>
  <c r="AH324" i="7"/>
  <c r="AH461" i="7"/>
  <c r="AI324" i="7"/>
  <c r="AJ324" i="7"/>
  <c r="AI461" i="7"/>
  <c r="AJ461" i="7"/>
  <c r="AK324" i="7"/>
  <c r="AL324" i="7"/>
  <c r="AK461" i="7"/>
  <c r="AM324" i="7"/>
  <c r="AL461" i="7"/>
  <c r="AM461" i="7"/>
  <c r="AN324" i="7"/>
  <c r="I347" i="7"/>
  <c r="E347" i="7"/>
  <c r="D347" i="7"/>
  <c r="F347" i="7"/>
  <c r="H347" i="7"/>
  <c r="J347" i="7"/>
  <c r="C347" i="7"/>
  <c r="G347" i="7"/>
  <c r="J484" i="7"/>
  <c r="K347" i="7"/>
  <c r="E484" i="7"/>
  <c r="G484" i="7"/>
  <c r="F484" i="7"/>
  <c r="I484" i="7"/>
  <c r="D484" i="7"/>
  <c r="C484" i="7"/>
  <c r="H484" i="7"/>
  <c r="L347" i="7"/>
  <c r="K484" i="7"/>
  <c r="L484" i="7"/>
  <c r="M347" i="7"/>
  <c r="N347" i="7"/>
  <c r="M484" i="7"/>
  <c r="O347" i="7"/>
  <c r="N484" i="7"/>
  <c r="P347" i="7"/>
  <c r="O484" i="7"/>
  <c r="P484" i="7"/>
  <c r="Q347" i="7"/>
  <c r="Q484" i="7"/>
  <c r="R347" i="7"/>
  <c r="S347" i="7"/>
  <c r="R484" i="7"/>
  <c r="S484" i="7"/>
  <c r="T347" i="7"/>
  <c r="T484" i="7"/>
  <c r="U347" i="7"/>
  <c r="U484" i="7"/>
  <c r="V347" i="7"/>
  <c r="W347" i="7"/>
  <c r="V484" i="7"/>
  <c r="W484" i="7"/>
  <c r="X347" i="7"/>
  <c r="X484" i="7"/>
  <c r="Y347" i="7"/>
  <c r="Y484" i="7"/>
  <c r="Z347" i="7"/>
  <c r="Z484" i="7"/>
  <c r="AA347" i="7"/>
  <c r="AA484" i="7"/>
  <c r="AB347" i="7"/>
  <c r="AB484" i="7"/>
  <c r="AC347" i="7"/>
  <c r="AC484" i="7"/>
  <c r="AD347" i="7"/>
  <c r="AE347" i="7"/>
  <c r="AD484" i="7"/>
  <c r="AF347" i="7"/>
  <c r="AE484" i="7"/>
  <c r="AG347" i="7"/>
  <c r="AF484" i="7"/>
  <c r="AG484" i="7"/>
  <c r="AH347" i="7"/>
  <c r="AI347" i="7"/>
  <c r="AH484" i="7"/>
  <c r="AJ347" i="7"/>
  <c r="AI484" i="7"/>
  <c r="AK347" i="7"/>
  <c r="AJ484" i="7"/>
  <c r="AK484" i="7"/>
  <c r="AL347" i="7"/>
  <c r="AM347" i="7"/>
  <c r="AL484" i="7"/>
  <c r="AM484" i="7"/>
  <c r="AN347" i="7"/>
  <c r="F370" i="7"/>
  <c r="G370" i="7"/>
  <c r="E370" i="7"/>
  <c r="C370" i="7"/>
  <c r="D370" i="7"/>
  <c r="F507" i="7"/>
  <c r="C507" i="7"/>
  <c r="D507" i="7"/>
  <c r="H370" i="7"/>
  <c r="E507" i="7"/>
  <c r="G507" i="7"/>
  <c r="I370" i="7"/>
  <c r="H507" i="7"/>
  <c r="I507" i="7"/>
  <c r="J370" i="7"/>
  <c r="J507" i="7"/>
  <c r="K370" i="7"/>
  <c r="K507" i="7"/>
  <c r="L370" i="7"/>
  <c r="M370" i="7"/>
  <c r="L507" i="7"/>
  <c r="N370" i="7"/>
  <c r="M507" i="7"/>
  <c r="O370" i="7"/>
  <c r="N507" i="7"/>
  <c r="P370" i="7"/>
  <c r="O507" i="7"/>
  <c r="P507" i="7"/>
  <c r="Q370" i="7"/>
  <c r="Q507" i="7"/>
  <c r="R370" i="7"/>
  <c r="S370" i="7"/>
  <c r="R507" i="7"/>
  <c r="S507" i="7"/>
  <c r="T370" i="7"/>
  <c r="U370" i="7"/>
  <c r="T507" i="7"/>
  <c r="V370" i="7"/>
  <c r="U507" i="7"/>
  <c r="V507" i="7"/>
  <c r="W370" i="7"/>
  <c r="W507" i="7"/>
  <c r="X370" i="7"/>
  <c r="X507" i="7"/>
  <c r="Y370" i="7"/>
  <c r="Y507" i="7"/>
  <c r="Z370" i="7"/>
  <c r="AA370" i="7"/>
  <c r="Z507" i="7"/>
  <c r="AB370" i="7"/>
  <c r="AA507" i="7"/>
  <c r="AC370" i="7"/>
  <c r="AB507" i="7"/>
  <c r="AD370" i="7"/>
  <c r="AC507" i="7"/>
  <c r="AE370" i="7"/>
  <c r="AD507" i="7"/>
  <c r="AF370" i="7"/>
  <c r="AE507" i="7"/>
  <c r="AG370" i="7"/>
  <c r="AF507" i="7"/>
  <c r="AG507" i="7"/>
  <c r="AH370" i="7"/>
  <c r="AI370" i="7"/>
  <c r="AH507" i="7"/>
  <c r="AI507" i="7"/>
  <c r="AJ370" i="7"/>
  <c r="AK370" i="7"/>
  <c r="AJ507" i="7"/>
  <c r="AK507" i="7"/>
  <c r="AL370" i="7"/>
  <c r="AM370" i="7"/>
  <c r="AL507" i="7"/>
  <c r="AN370" i="7"/>
  <c r="AM507" i="7"/>
  <c r="AO487" i="7"/>
  <c r="AN484" i="7"/>
  <c r="AN483" i="7"/>
  <c r="AO320" i="7"/>
  <c r="C323" i="7"/>
  <c r="F323" i="7"/>
  <c r="D323" i="7"/>
  <c r="L323" i="7"/>
  <c r="E323" i="7"/>
  <c r="I323" i="7"/>
  <c r="H323" i="7"/>
  <c r="J323" i="7"/>
  <c r="G323" i="7"/>
  <c r="K323" i="7"/>
  <c r="L460" i="7"/>
  <c r="D460" i="7"/>
  <c r="C460" i="7"/>
  <c r="E460" i="7"/>
  <c r="F460" i="7"/>
  <c r="H460" i="7"/>
  <c r="I460" i="7"/>
  <c r="M323" i="7"/>
  <c r="K460" i="7"/>
  <c r="J460" i="7"/>
  <c r="G460" i="7"/>
  <c r="M460" i="7"/>
  <c r="N323" i="7"/>
  <c r="O323" i="7"/>
  <c r="N460" i="7"/>
  <c r="P323" i="7"/>
  <c r="O460" i="7"/>
  <c r="Q323" i="7"/>
  <c r="P460" i="7"/>
  <c r="R323" i="7"/>
  <c r="Q460" i="7"/>
  <c r="R460" i="7"/>
  <c r="S323" i="7"/>
  <c r="S460" i="7"/>
  <c r="T323" i="7"/>
  <c r="T460" i="7"/>
  <c r="U323" i="7"/>
  <c r="U460" i="7"/>
  <c r="V323" i="7"/>
  <c r="V460" i="7"/>
  <c r="W323" i="7"/>
  <c r="W460" i="7"/>
  <c r="X323" i="7"/>
  <c r="Y323" i="7"/>
  <c r="X460" i="7"/>
  <c r="Y460" i="7"/>
  <c r="Z323" i="7"/>
  <c r="AA323" i="7"/>
  <c r="Z460" i="7"/>
  <c r="AB323" i="7"/>
  <c r="AA460" i="7"/>
  <c r="AC323" i="7"/>
  <c r="AB460" i="7"/>
  <c r="AC460" i="7"/>
  <c r="AD323" i="7"/>
  <c r="AD460" i="7"/>
  <c r="AE323" i="7"/>
  <c r="AF323" i="7"/>
  <c r="AE460" i="7"/>
  <c r="AF460" i="7"/>
  <c r="AG323" i="7"/>
  <c r="AG460" i="7"/>
  <c r="AH323" i="7"/>
  <c r="AI323" i="7"/>
  <c r="AH460" i="7"/>
  <c r="AJ323" i="7"/>
  <c r="AI460" i="7"/>
  <c r="AK323" i="7"/>
  <c r="AJ460" i="7"/>
  <c r="AK460" i="7"/>
  <c r="AL323" i="7"/>
  <c r="AM323" i="7"/>
  <c r="AL460" i="7"/>
  <c r="AM460" i="7"/>
  <c r="AN323" i="7"/>
  <c r="C317" i="7"/>
  <c r="D317" i="7"/>
  <c r="C454" i="7"/>
  <c r="E317" i="7"/>
  <c r="F317" i="7"/>
  <c r="G317" i="7"/>
  <c r="D454" i="7"/>
  <c r="G454" i="7"/>
  <c r="H317" i="7"/>
  <c r="F454" i="7"/>
  <c r="E454" i="7"/>
  <c r="H454" i="7"/>
  <c r="I317" i="7"/>
  <c r="J317" i="7"/>
  <c r="I454" i="7"/>
  <c r="J454" i="7"/>
  <c r="K317" i="7"/>
  <c r="K454" i="7"/>
  <c r="L317" i="7"/>
  <c r="L454" i="7"/>
  <c r="M317" i="7"/>
  <c r="N317" i="7"/>
  <c r="M454" i="7"/>
  <c r="N454" i="7"/>
  <c r="O317" i="7"/>
  <c r="P317" i="7"/>
  <c r="O454" i="7"/>
  <c r="Q317" i="7"/>
  <c r="P454" i="7"/>
  <c r="R317" i="7"/>
  <c r="Q454" i="7"/>
  <c r="R454" i="7"/>
  <c r="S317" i="7"/>
  <c r="T317" i="7"/>
  <c r="S454" i="7"/>
  <c r="U317" i="7"/>
  <c r="T454" i="7"/>
  <c r="V317" i="7"/>
  <c r="U454" i="7"/>
  <c r="W317" i="7"/>
  <c r="V454" i="7"/>
  <c r="W454" i="7"/>
  <c r="X317" i="7"/>
  <c r="Y317" i="7"/>
  <c r="X454" i="7"/>
  <c r="Z317" i="7"/>
  <c r="Y454" i="7"/>
  <c r="Z454" i="7"/>
  <c r="AA317" i="7"/>
  <c r="AA454" i="7"/>
  <c r="AB317" i="7"/>
  <c r="AC317" i="7"/>
  <c r="AB454" i="7"/>
  <c r="AD317" i="7"/>
  <c r="AC454" i="7"/>
  <c r="AE317" i="7"/>
  <c r="AD454" i="7"/>
  <c r="AE454" i="7"/>
  <c r="AF317" i="7"/>
  <c r="AG317" i="7"/>
  <c r="AF454" i="7"/>
  <c r="AH317" i="7"/>
  <c r="AG454" i="7"/>
  <c r="AH454" i="7"/>
  <c r="AI317" i="7"/>
  <c r="AI454" i="7"/>
  <c r="AJ317" i="7"/>
  <c r="AK317" i="7"/>
  <c r="AJ454" i="7"/>
  <c r="AK454" i="7"/>
  <c r="AL317" i="7"/>
  <c r="AM317" i="7"/>
  <c r="AL454" i="7"/>
  <c r="AN317" i="7"/>
  <c r="AM454" i="7"/>
  <c r="I348" i="7"/>
  <c r="H348" i="7"/>
  <c r="E348" i="7"/>
  <c r="C348" i="7"/>
  <c r="K348" i="7"/>
  <c r="D348" i="7"/>
  <c r="G348" i="7"/>
  <c r="J348" i="7"/>
  <c r="F348" i="7"/>
  <c r="C485" i="7"/>
  <c r="L348" i="7"/>
  <c r="J485" i="7"/>
  <c r="E485" i="7"/>
  <c r="H485" i="7"/>
  <c r="G485" i="7"/>
  <c r="F485" i="7"/>
  <c r="I485" i="7"/>
  <c r="K485" i="7"/>
  <c r="D485" i="7"/>
  <c r="L485" i="7"/>
  <c r="M348" i="7"/>
  <c r="N348" i="7"/>
  <c r="M485" i="7"/>
  <c r="N485" i="7"/>
  <c r="O348" i="7"/>
  <c r="O485" i="7"/>
  <c r="P348" i="7"/>
  <c r="P485" i="7"/>
  <c r="Q348" i="7"/>
  <c r="R348" i="7"/>
  <c r="Q485" i="7"/>
  <c r="R485" i="7"/>
  <c r="S348" i="7"/>
  <c r="T348" i="7"/>
  <c r="S485" i="7"/>
  <c r="U348" i="7"/>
  <c r="T485" i="7"/>
  <c r="U485" i="7"/>
  <c r="V348" i="7"/>
  <c r="V485" i="7"/>
  <c r="W348" i="7"/>
  <c r="X348" i="7"/>
  <c r="W485" i="7"/>
  <c r="Y348" i="7"/>
  <c r="X485" i="7"/>
  <c r="Z348" i="7"/>
  <c r="Y485" i="7"/>
  <c r="AA348" i="7"/>
  <c r="Z485" i="7"/>
  <c r="AA485" i="7"/>
  <c r="AB348" i="7"/>
  <c r="AC348" i="7"/>
  <c r="AB485" i="7"/>
  <c r="AD348" i="7"/>
  <c r="AC485" i="7"/>
  <c r="AE348" i="7"/>
  <c r="AD485" i="7"/>
  <c r="AE485" i="7"/>
  <c r="AF348" i="7"/>
  <c r="AF485" i="7"/>
  <c r="AG348" i="7"/>
  <c r="AH348" i="7"/>
  <c r="AG485" i="7"/>
  <c r="AH485" i="7"/>
  <c r="AI348" i="7"/>
  <c r="AJ348" i="7"/>
  <c r="AI485" i="7"/>
  <c r="AK348" i="7"/>
  <c r="AJ485" i="7"/>
  <c r="AL348" i="7"/>
  <c r="AK485" i="7"/>
  <c r="AL485" i="7"/>
  <c r="AM348" i="7"/>
  <c r="AM485" i="7"/>
  <c r="AN348" i="7"/>
  <c r="C371" i="7"/>
  <c r="E371" i="7"/>
  <c r="F371" i="7"/>
  <c r="H371" i="7"/>
  <c r="D371" i="7"/>
  <c r="G371" i="7"/>
  <c r="F508" i="7"/>
  <c r="G508" i="7"/>
  <c r="D508" i="7"/>
  <c r="E508" i="7"/>
  <c r="C508" i="7"/>
  <c r="I371" i="7"/>
  <c r="H508" i="7"/>
  <c r="I508" i="7"/>
  <c r="J371" i="7"/>
  <c r="K371" i="7"/>
  <c r="J508" i="7"/>
  <c r="K508" i="7"/>
  <c r="L371" i="7"/>
  <c r="L508" i="7"/>
  <c r="M371" i="7"/>
  <c r="N371" i="7"/>
  <c r="M508" i="7"/>
  <c r="O371" i="7"/>
  <c r="N508" i="7"/>
  <c r="O508" i="7"/>
  <c r="P371" i="7"/>
  <c r="Q371" i="7"/>
  <c r="P508" i="7"/>
  <c r="R371" i="7"/>
  <c r="Q508" i="7"/>
  <c r="R508" i="7"/>
  <c r="S371" i="7"/>
  <c r="T371" i="7"/>
  <c r="S508" i="7"/>
  <c r="U371" i="7"/>
  <c r="T508" i="7"/>
  <c r="V371" i="7"/>
  <c r="U508" i="7"/>
  <c r="V508" i="7"/>
  <c r="W371" i="7"/>
  <c r="X371" i="7"/>
  <c r="W508" i="7"/>
  <c r="Y371" i="7"/>
  <c r="X508" i="7"/>
  <c r="Y508" i="7"/>
  <c r="Z371" i="7"/>
  <c r="AA371" i="7"/>
  <c r="Z508" i="7"/>
  <c r="AA508" i="7"/>
  <c r="AB371" i="7"/>
  <c r="AB508" i="7"/>
  <c r="AC371" i="7"/>
  <c r="AC508" i="7"/>
  <c r="AD371" i="7"/>
  <c r="AE371" i="7"/>
  <c r="AD508" i="7"/>
  <c r="AE508" i="7"/>
  <c r="AF371" i="7"/>
  <c r="AG371" i="7"/>
  <c r="AF508" i="7"/>
  <c r="AG508" i="7"/>
  <c r="AH371" i="7"/>
  <c r="AH508" i="7"/>
  <c r="AI371" i="7"/>
  <c r="AJ371" i="7"/>
  <c r="AI508" i="7"/>
  <c r="AK371" i="7"/>
  <c r="AJ508" i="7"/>
  <c r="AL371" i="7"/>
  <c r="AK508" i="7"/>
  <c r="AM371" i="7"/>
  <c r="AL508" i="7"/>
  <c r="AN371" i="7"/>
  <c r="AM508" i="7"/>
  <c r="AO512" i="7"/>
  <c r="AO483" i="7"/>
  <c r="AN511" i="7"/>
  <c r="AN453" i="7"/>
  <c r="AN513" i="7"/>
  <c r="AO347" i="7"/>
  <c r="AO370" i="7"/>
  <c r="E318" i="7"/>
  <c r="C318" i="7"/>
  <c r="D318" i="7"/>
  <c r="F318" i="7"/>
  <c r="G318" i="7"/>
  <c r="G455" i="7"/>
  <c r="E455" i="7"/>
  <c r="F455" i="7"/>
  <c r="C455" i="7"/>
  <c r="H318" i="7"/>
  <c r="D455" i="7"/>
  <c r="I318" i="7"/>
  <c r="H455" i="7"/>
  <c r="J318" i="7"/>
  <c r="I455" i="7"/>
  <c r="K318" i="7"/>
  <c r="J455" i="7"/>
  <c r="L318" i="7"/>
  <c r="K455" i="7"/>
  <c r="L455" i="7"/>
  <c r="M318" i="7"/>
  <c r="N318" i="7"/>
  <c r="M455" i="7"/>
  <c r="O318" i="7"/>
  <c r="N455" i="7"/>
  <c r="P318" i="7"/>
  <c r="O455" i="7"/>
  <c r="P455" i="7"/>
  <c r="Q318" i="7"/>
  <c r="Q455" i="7"/>
  <c r="R318" i="7"/>
  <c r="S318" i="7"/>
  <c r="R455" i="7"/>
  <c r="T318" i="7"/>
  <c r="S455" i="7"/>
  <c r="U318" i="7"/>
  <c r="T455" i="7"/>
  <c r="V318" i="7"/>
  <c r="U455" i="7"/>
  <c r="V455" i="7"/>
  <c r="W318" i="7"/>
  <c r="W455" i="7"/>
  <c r="X318" i="7"/>
  <c r="X455" i="7"/>
  <c r="Y318" i="7"/>
  <c r="Y455" i="7"/>
  <c r="Z318" i="7"/>
  <c r="AA318" i="7"/>
  <c r="Z455" i="7"/>
  <c r="AA455" i="7"/>
  <c r="AB318" i="7"/>
  <c r="AB455" i="7"/>
  <c r="AC318" i="7"/>
  <c r="AC455" i="7"/>
  <c r="AD318" i="7"/>
  <c r="AE318" i="7"/>
  <c r="AD455" i="7"/>
  <c r="AF318" i="7"/>
  <c r="AE455" i="7"/>
  <c r="AF455" i="7"/>
  <c r="AG318" i="7"/>
  <c r="AG455" i="7"/>
  <c r="AH318" i="7"/>
  <c r="AH455" i="7"/>
  <c r="AI318" i="7"/>
  <c r="AJ318" i="7"/>
  <c r="AI455" i="7"/>
  <c r="AJ455" i="7"/>
  <c r="AK318" i="7"/>
  <c r="AK455" i="7"/>
  <c r="AL318" i="7"/>
  <c r="AL455" i="7"/>
  <c r="AM318" i="7"/>
  <c r="AM455" i="7"/>
  <c r="AN318" i="7"/>
  <c r="K349" i="7"/>
  <c r="L349" i="7"/>
  <c r="E349" i="7"/>
  <c r="F349" i="7"/>
  <c r="J349" i="7"/>
  <c r="C349" i="7"/>
  <c r="D349" i="7"/>
  <c r="G349" i="7"/>
  <c r="I349" i="7"/>
  <c r="H349" i="7"/>
  <c r="K486" i="7"/>
  <c r="I486" i="7"/>
  <c r="H486" i="7"/>
  <c r="E486" i="7"/>
  <c r="G486" i="7"/>
  <c r="L486" i="7"/>
  <c r="J486" i="7"/>
  <c r="D486" i="7"/>
  <c r="C486" i="7"/>
  <c r="M349" i="7"/>
  <c r="F486" i="7"/>
  <c r="M486" i="7"/>
  <c r="N349" i="7"/>
  <c r="O349" i="7"/>
  <c r="N486" i="7"/>
  <c r="P349" i="7"/>
  <c r="O486" i="7"/>
  <c r="P486" i="7"/>
  <c r="Q349" i="7"/>
  <c r="R349" i="7"/>
  <c r="Q486" i="7"/>
  <c r="R486" i="7"/>
  <c r="S349" i="7"/>
  <c r="T349" i="7"/>
  <c r="S486" i="7"/>
  <c r="T486" i="7"/>
  <c r="U349" i="7"/>
  <c r="U486" i="7"/>
  <c r="V349" i="7"/>
  <c r="V486" i="7"/>
  <c r="W349" i="7"/>
  <c r="W486" i="7"/>
  <c r="X349" i="7"/>
  <c r="X486" i="7"/>
  <c r="Y349" i="7"/>
  <c r="Y486" i="7"/>
  <c r="Z349" i="7"/>
  <c r="Z486" i="7"/>
  <c r="AA349" i="7"/>
  <c r="AA486" i="7"/>
  <c r="AB349" i="7"/>
  <c r="AB486" i="7"/>
  <c r="AC349" i="7"/>
  <c r="AD349" i="7"/>
  <c r="AC486" i="7"/>
  <c r="AE349" i="7"/>
  <c r="AD486" i="7"/>
  <c r="AF349" i="7"/>
  <c r="AE486" i="7"/>
  <c r="AG349" i="7"/>
  <c r="AF486" i="7"/>
  <c r="AH349" i="7"/>
  <c r="AG486" i="7"/>
  <c r="AI349" i="7"/>
  <c r="AH486" i="7"/>
  <c r="AI486" i="7"/>
  <c r="AJ349" i="7"/>
  <c r="AJ486" i="7"/>
  <c r="AK349" i="7"/>
  <c r="AK486" i="7"/>
  <c r="AL349" i="7"/>
  <c r="AM349" i="7"/>
  <c r="AL486" i="7"/>
  <c r="AM486" i="7"/>
  <c r="AN349" i="7"/>
  <c r="E372" i="7"/>
  <c r="F372" i="7"/>
  <c r="D372" i="7"/>
  <c r="G372" i="7"/>
  <c r="H372" i="7"/>
  <c r="I372" i="7"/>
  <c r="C372" i="7"/>
  <c r="F509" i="7"/>
  <c r="C509" i="7"/>
  <c r="E509" i="7"/>
  <c r="J372" i="7"/>
  <c r="I509" i="7"/>
  <c r="H509" i="7"/>
  <c r="G509" i="7"/>
  <c r="D509" i="7"/>
  <c r="J509" i="7"/>
  <c r="K372" i="7"/>
  <c r="K509" i="7"/>
  <c r="L372" i="7"/>
  <c r="M372" i="7"/>
  <c r="L509" i="7"/>
  <c r="M509" i="7"/>
  <c r="N372" i="7"/>
  <c r="O372" i="7"/>
  <c r="N509" i="7"/>
  <c r="P372" i="7"/>
  <c r="O509" i="7"/>
  <c r="P509" i="7"/>
  <c r="Q372" i="7"/>
  <c r="R372" i="7"/>
  <c r="Q509" i="7"/>
  <c r="R509" i="7"/>
  <c r="S372" i="7"/>
  <c r="S509" i="7"/>
  <c r="T372" i="7"/>
  <c r="T509" i="7"/>
  <c r="U372" i="7"/>
  <c r="V372" i="7"/>
  <c r="U509" i="7"/>
  <c r="V509" i="7"/>
  <c r="W372" i="7"/>
  <c r="X372" i="7"/>
  <c r="W509" i="7"/>
  <c r="Y372" i="7"/>
  <c r="X509" i="7"/>
  <c r="Z372" i="7"/>
  <c r="Y509" i="7"/>
  <c r="Z509" i="7"/>
  <c r="AA372" i="7"/>
  <c r="AB372" i="7"/>
  <c r="AA509" i="7"/>
  <c r="AC372" i="7"/>
  <c r="AB509" i="7"/>
  <c r="AC509" i="7"/>
  <c r="AD372" i="7"/>
  <c r="AE372" i="7"/>
  <c r="AD509" i="7"/>
  <c r="AE509" i="7"/>
  <c r="AF372" i="7"/>
  <c r="AG372" i="7"/>
  <c r="AF509" i="7"/>
  <c r="AG509" i="7"/>
  <c r="AH372" i="7"/>
  <c r="AI372" i="7"/>
  <c r="AH509" i="7"/>
  <c r="AJ372" i="7"/>
  <c r="AI509" i="7"/>
  <c r="AJ509" i="7"/>
  <c r="AK372" i="7"/>
  <c r="AL372" i="7"/>
  <c r="AK509" i="7"/>
  <c r="AL509" i="7"/>
  <c r="AM372" i="7"/>
  <c r="AM509" i="7"/>
  <c r="AN372" i="7"/>
  <c r="AO508" i="7"/>
  <c r="AO479" i="7"/>
  <c r="AO376" i="7"/>
  <c r="AN508" i="7"/>
  <c r="AO372" i="7"/>
  <c r="AO323" i="7"/>
  <c r="AO346" i="7"/>
  <c r="AO345" i="7"/>
  <c r="AN460" i="7"/>
  <c r="C369" i="7"/>
  <c r="F369" i="7"/>
  <c r="C506" i="7"/>
  <c r="E369" i="7"/>
  <c r="D369" i="7"/>
  <c r="D506" i="7"/>
  <c r="E506" i="7"/>
  <c r="F506" i="7"/>
  <c r="G369" i="7"/>
  <c r="G506" i="7"/>
  <c r="H369" i="7"/>
  <c r="I369" i="7"/>
  <c r="H506" i="7"/>
  <c r="I506" i="7"/>
  <c r="J369" i="7"/>
  <c r="J506" i="7"/>
  <c r="K369" i="7"/>
  <c r="L369" i="7"/>
  <c r="K506" i="7"/>
  <c r="M369" i="7"/>
  <c r="L506" i="7"/>
  <c r="M506" i="7"/>
  <c r="N369" i="7"/>
  <c r="N506" i="7"/>
  <c r="O369" i="7"/>
  <c r="P369" i="7"/>
  <c r="O506" i="7"/>
  <c r="Q369" i="7"/>
  <c r="P506" i="7"/>
  <c r="R369" i="7"/>
  <c r="Q506" i="7"/>
  <c r="S369" i="7"/>
  <c r="R506" i="7"/>
  <c r="S506" i="7"/>
  <c r="T369" i="7"/>
  <c r="T506" i="7"/>
  <c r="U369" i="7"/>
  <c r="U506" i="7"/>
  <c r="V369" i="7"/>
  <c r="V506" i="7"/>
  <c r="W369" i="7"/>
  <c r="X369" i="7"/>
  <c r="W506" i="7"/>
  <c r="X506" i="7"/>
  <c r="Y369" i="7"/>
  <c r="Y506" i="7"/>
  <c r="Z369" i="7"/>
  <c r="AA369" i="7"/>
  <c r="Z506" i="7"/>
  <c r="AA506" i="7"/>
  <c r="AB369" i="7"/>
  <c r="AC369" i="7"/>
  <c r="AB506" i="7"/>
  <c r="AD369" i="7"/>
  <c r="AC506" i="7"/>
  <c r="AE369" i="7"/>
  <c r="AD506" i="7"/>
  <c r="AE506" i="7"/>
  <c r="AF369" i="7"/>
  <c r="AG369" i="7"/>
  <c r="AF506" i="7"/>
  <c r="AH369" i="7"/>
  <c r="AG506" i="7"/>
  <c r="AI369" i="7"/>
  <c r="AH506" i="7"/>
  <c r="AJ369" i="7"/>
  <c r="AI506" i="7"/>
  <c r="AK369" i="7"/>
  <c r="AJ506" i="7"/>
  <c r="AL369" i="7"/>
  <c r="AK506" i="7"/>
  <c r="AM369" i="7"/>
  <c r="AL506" i="7"/>
  <c r="AN369" i="7"/>
  <c r="AM506" i="7"/>
  <c r="C319" i="7"/>
  <c r="F319" i="7"/>
  <c r="E319" i="7"/>
  <c r="G319" i="7"/>
  <c r="H319" i="7"/>
  <c r="D319" i="7"/>
  <c r="I319" i="7"/>
  <c r="F456" i="7"/>
  <c r="D456" i="7"/>
  <c r="C456" i="7"/>
  <c r="G456" i="7"/>
  <c r="H456" i="7"/>
  <c r="E456" i="7"/>
  <c r="I456" i="7"/>
  <c r="J319" i="7"/>
  <c r="J456" i="7"/>
  <c r="K319" i="7"/>
  <c r="L319" i="7"/>
  <c r="K456" i="7"/>
  <c r="L456" i="7"/>
  <c r="M319" i="7"/>
  <c r="M456" i="7"/>
  <c r="N319" i="7"/>
  <c r="N456" i="7"/>
  <c r="O319" i="7"/>
  <c r="O456" i="7"/>
  <c r="P319" i="7"/>
  <c r="P456" i="7"/>
  <c r="Q319" i="7"/>
  <c r="R319" i="7"/>
  <c r="Q456" i="7"/>
  <c r="R456" i="7"/>
  <c r="S319" i="7"/>
  <c r="T319" i="7"/>
  <c r="S456" i="7"/>
  <c r="T456" i="7"/>
  <c r="U319" i="7"/>
  <c r="U456" i="7"/>
  <c r="V319" i="7"/>
  <c r="V456" i="7"/>
  <c r="W319" i="7"/>
  <c r="W456" i="7"/>
  <c r="X319" i="7"/>
  <c r="Y319" i="7"/>
  <c r="X456" i="7"/>
  <c r="Y456" i="7"/>
  <c r="Z319" i="7"/>
  <c r="AA319" i="7"/>
  <c r="Z456" i="7"/>
  <c r="AA456" i="7"/>
  <c r="AB319" i="7"/>
  <c r="AC319" i="7"/>
  <c r="AB456" i="7"/>
  <c r="AD319" i="7"/>
  <c r="AC456" i="7"/>
  <c r="AE319" i="7"/>
  <c r="AD456" i="7"/>
  <c r="AF319" i="7"/>
  <c r="AE456" i="7"/>
  <c r="AF456" i="7"/>
  <c r="AG319" i="7"/>
  <c r="AG456" i="7"/>
  <c r="AH319" i="7"/>
  <c r="AI319" i="7"/>
  <c r="AH456" i="7"/>
  <c r="AJ319" i="7"/>
  <c r="AI456" i="7"/>
  <c r="AJ456" i="7"/>
  <c r="AK319" i="7"/>
  <c r="AK456" i="7"/>
  <c r="AL319" i="7"/>
  <c r="AL456" i="7"/>
  <c r="AM319" i="7"/>
  <c r="AM456" i="7"/>
  <c r="AN319" i="7"/>
  <c r="C342" i="7"/>
  <c r="C479" i="7"/>
  <c r="F342" i="7"/>
  <c r="E342" i="7"/>
  <c r="D342" i="7"/>
  <c r="F479" i="7"/>
  <c r="G342" i="7"/>
  <c r="D479" i="7"/>
  <c r="E479" i="7"/>
  <c r="H342" i="7"/>
  <c r="G479" i="7"/>
  <c r="H479" i="7"/>
  <c r="I342" i="7"/>
  <c r="I479" i="7"/>
  <c r="J342" i="7"/>
  <c r="J479" i="7"/>
  <c r="K342" i="7"/>
  <c r="L342" i="7"/>
  <c r="K479" i="7"/>
  <c r="L479" i="7"/>
  <c r="M342" i="7"/>
  <c r="N342" i="7"/>
  <c r="M479" i="7"/>
  <c r="O342" i="7"/>
  <c r="N479" i="7"/>
  <c r="P342" i="7"/>
  <c r="O479" i="7"/>
  <c r="Q342" i="7"/>
  <c r="P479" i="7"/>
  <c r="Q479" i="7"/>
  <c r="R342" i="7"/>
  <c r="R479" i="7"/>
  <c r="S342" i="7"/>
  <c r="S479" i="7"/>
  <c r="T342" i="7"/>
  <c r="T479" i="7"/>
  <c r="U342" i="7"/>
  <c r="U479" i="7"/>
  <c r="V342" i="7"/>
  <c r="V479" i="7"/>
  <c r="W342" i="7"/>
  <c r="X342" i="7"/>
  <c r="W479" i="7"/>
  <c r="Y342" i="7"/>
  <c r="X479" i="7"/>
  <c r="Y479" i="7"/>
  <c r="Z342" i="7"/>
  <c r="Z479" i="7"/>
  <c r="AA342" i="7"/>
  <c r="AA479" i="7"/>
  <c r="AB342" i="7"/>
  <c r="AB479" i="7"/>
  <c r="AC342" i="7"/>
  <c r="AC479" i="7"/>
  <c r="AD342" i="7"/>
  <c r="AD479" i="7"/>
  <c r="AE342" i="7"/>
  <c r="AF342" i="7"/>
  <c r="AE479" i="7"/>
  <c r="AG342" i="7"/>
  <c r="AF479" i="7"/>
  <c r="AH342" i="7"/>
  <c r="AG479" i="7"/>
  <c r="AI342" i="7"/>
  <c r="AH479" i="7"/>
  <c r="AJ342" i="7"/>
  <c r="AI479" i="7"/>
  <c r="AK342" i="7"/>
  <c r="AJ479" i="7"/>
  <c r="AK479" i="7"/>
  <c r="AL342" i="7"/>
  <c r="AM342" i="7"/>
  <c r="AL479" i="7"/>
  <c r="AM479" i="7"/>
  <c r="AN342" i="7"/>
  <c r="C350" i="7"/>
  <c r="M350" i="7"/>
  <c r="G350" i="7"/>
  <c r="D350" i="7"/>
  <c r="F350" i="7"/>
  <c r="L350" i="7"/>
  <c r="I350" i="7"/>
  <c r="J350" i="7"/>
  <c r="H350" i="7"/>
  <c r="E350" i="7"/>
  <c r="K350" i="7"/>
  <c r="J487" i="7"/>
  <c r="M487" i="7"/>
  <c r="C487" i="7"/>
  <c r="K487" i="7"/>
  <c r="I487" i="7"/>
  <c r="L487" i="7"/>
  <c r="N350" i="7"/>
  <c r="E487" i="7"/>
  <c r="F487" i="7"/>
  <c r="D487" i="7"/>
  <c r="H487" i="7"/>
  <c r="G487" i="7"/>
  <c r="O350" i="7"/>
  <c r="N487" i="7"/>
  <c r="O487" i="7"/>
  <c r="P350" i="7"/>
  <c r="P487" i="7"/>
  <c r="Q350" i="7"/>
  <c r="Q487" i="7"/>
  <c r="R350" i="7"/>
  <c r="S350" i="7"/>
  <c r="R487" i="7"/>
  <c r="T350" i="7"/>
  <c r="S487" i="7"/>
  <c r="T487" i="7"/>
  <c r="U350" i="7"/>
  <c r="U487" i="7"/>
  <c r="V350" i="7"/>
  <c r="W350" i="7"/>
  <c r="V487" i="7"/>
  <c r="W487" i="7"/>
  <c r="X350" i="7"/>
  <c r="Y350" i="7"/>
  <c r="X487" i="7"/>
  <c r="Y487" i="7"/>
  <c r="Z350" i="7"/>
  <c r="Z487" i="7"/>
  <c r="AA350" i="7"/>
  <c r="AA487" i="7"/>
  <c r="AB350" i="7"/>
  <c r="AC350" i="7"/>
  <c r="AB487" i="7"/>
  <c r="AD350" i="7"/>
  <c r="AC487" i="7"/>
  <c r="AD487" i="7"/>
  <c r="AE350" i="7"/>
  <c r="AF350" i="7"/>
  <c r="AE487" i="7"/>
  <c r="AG350" i="7"/>
  <c r="AF487" i="7"/>
  <c r="AG487" i="7"/>
  <c r="AH350" i="7"/>
  <c r="AH487" i="7"/>
  <c r="AI350" i="7"/>
  <c r="AI487" i="7"/>
  <c r="AJ350" i="7"/>
  <c r="AK350" i="7"/>
  <c r="AJ487" i="7"/>
  <c r="AL350" i="7"/>
  <c r="AK487" i="7"/>
  <c r="AM350" i="7"/>
  <c r="AL487" i="7"/>
  <c r="AM487" i="7"/>
  <c r="AN350" i="7"/>
  <c r="J373" i="7"/>
  <c r="F373" i="7"/>
  <c r="H373" i="7"/>
  <c r="D373" i="7"/>
  <c r="G373" i="7"/>
  <c r="C373" i="7"/>
  <c r="E373" i="7"/>
  <c r="I373" i="7"/>
  <c r="J510" i="7"/>
  <c r="C510" i="7"/>
  <c r="G510" i="7"/>
  <c r="F510" i="7"/>
  <c r="D510" i="7"/>
  <c r="I510" i="7"/>
  <c r="K373" i="7"/>
  <c r="E510" i="7"/>
  <c r="H510" i="7"/>
  <c r="L373" i="7"/>
  <c r="K510" i="7"/>
  <c r="L510" i="7"/>
  <c r="M373" i="7"/>
  <c r="M510" i="7"/>
  <c r="N373" i="7"/>
  <c r="O373" i="7"/>
  <c r="N510" i="7"/>
  <c r="P373" i="7"/>
  <c r="O510" i="7"/>
  <c r="P510" i="7"/>
  <c r="Q373" i="7"/>
  <c r="Q510" i="7"/>
  <c r="R373" i="7"/>
  <c r="S373" i="7"/>
  <c r="R510" i="7"/>
  <c r="T373" i="7"/>
  <c r="S510" i="7"/>
  <c r="U373" i="7"/>
  <c r="T510" i="7"/>
  <c r="V373" i="7"/>
  <c r="U510" i="7"/>
  <c r="W373" i="7"/>
  <c r="V510" i="7"/>
  <c r="X373" i="7"/>
  <c r="W510" i="7"/>
  <c r="X510" i="7"/>
  <c r="Y373" i="7"/>
  <c r="Y510" i="7"/>
  <c r="Z373" i="7"/>
  <c r="AA373" i="7"/>
  <c r="Z510" i="7"/>
  <c r="AB373" i="7"/>
  <c r="AA510" i="7"/>
  <c r="AC373" i="7"/>
  <c r="AB510" i="7"/>
  <c r="AC510" i="7"/>
  <c r="AD373" i="7"/>
  <c r="AE373" i="7"/>
  <c r="AD510" i="7"/>
  <c r="AF373" i="7"/>
  <c r="AE510" i="7"/>
  <c r="AG373" i="7"/>
  <c r="AF510" i="7"/>
  <c r="AH373" i="7"/>
  <c r="AG510" i="7"/>
  <c r="AI373" i="7"/>
  <c r="AH510" i="7"/>
  <c r="AJ373" i="7"/>
  <c r="AI510" i="7"/>
  <c r="AJ510" i="7"/>
  <c r="AK373" i="7"/>
  <c r="AL373" i="7"/>
  <c r="AK510" i="7"/>
  <c r="AM373" i="7"/>
  <c r="AL510" i="7"/>
  <c r="AM510" i="7"/>
  <c r="AN373" i="7"/>
  <c r="AO459" i="7"/>
  <c r="AO368" i="7"/>
  <c r="AN457" i="7"/>
  <c r="AN485" i="7"/>
  <c r="AO348" i="7"/>
  <c r="AO318" i="7"/>
  <c r="AO322" i="7"/>
  <c r="AO321" i="7"/>
  <c r="AN505" i="7"/>
  <c r="AN111" i="7"/>
  <c r="AN112" i="7" s="1"/>
  <c r="B416" i="7" a="1"/>
  <c r="B416" i="7" s="1"/>
  <c r="B418" i="7" a="1"/>
  <c r="B418" i="7" s="1"/>
  <c r="B420" i="7" a="1"/>
  <c r="B420" i="7" s="1"/>
  <c r="B415" i="7" a="1"/>
  <c r="B415" i="7" s="1"/>
  <c r="B417" i="7" a="1"/>
  <c r="B417" i="7" s="1"/>
  <c r="B419" i="7" a="1"/>
  <c r="B419" i="7" s="1"/>
  <c r="AP595" i="7"/>
  <c r="AP597" i="7" s="1"/>
  <c r="R718" i="7"/>
  <c r="S718" i="7"/>
  <c r="T718" i="7"/>
  <c r="U718" i="7"/>
  <c r="V718" i="7"/>
  <c r="AL722" i="7"/>
  <c r="AM722" i="7"/>
  <c r="AN722" i="7"/>
  <c r="AO722" i="7"/>
  <c r="W719" i="7"/>
  <c r="X719" i="7"/>
  <c r="Y719" i="7"/>
  <c r="Z719" i="7"/>
  <c r="AA719" i="7"/>
  <c r="AP722" i="7"/>
  <c r="I716" i="7"/>
  <c r="J716" i="7"/>
  <c r="K716" i="7"/>
  <c r="L716" i="7"/>
  <c r="AB720" i="7"/>
  <c r="AC720" i="7"/>
  <c r="AD720" i="7"/>
  <c r="AE720" i="7"/>
  <c r="AF720" i="7"/>
  <c r="M717" i="7"/>
  <c r="N717" i="7"/>
  <c r="O717" i="7"/>
  <c r="P717" i="7"/>
  <c r="Q717" i="7"/>
  <c r="AG721" i="7"/>
  <c r="AH721" i="7"/>
  <c r="AI721" i="7"/>
  <c r="AJ721" i="7"/>
  <c r="AK721" i="7"/>
  <c r="AP307" i="7"/>
  <c r="AP318" i="7" s="1"/>
  <c r="AP357" i="7"/>
  <c r="AP369" i="7" s="1"/>
  <c r="AP359" i="7"/>
  <c r="AP363" i="7"/>
  <c r="AP312" i="7"/>
  <c r="AP323" i="7" s="1"/>
  <c r="AP361" i="7"/>
  <c r="AP330" i="7"/>
  <c r="AP342" i="7" s="1"/>
  <c r="AP332" i="7"/>
  <c r="AP334" i="7"/>
  <c r="AP346" i="7" s="1"/>
  <c r="AP310" i="7"/>
  <c r="AP308" i="7"/>
  <c r="AP336" i="7"/>
  <c r="AP348" i="7" s="1"/>
  <c r="AP306" i="7"/>
  <c r="AP335" i="7"/>
  <c r="AP313" i="7"/>
  <c r="AP360" i="7"/>
  <c r="AP305" i="7"/>
  <c r="AP316" i="7" s="1"/>
  <c r="AP331" i="7"/>
  <c r="AP356" i="7"/>
  <c r="AP364" i="7"/>
  <c r="AP311" i="7"/>
  <c r="AP309" i="7"/>
  <c r="AP333" i="7"/>
  <c r="AP345" i="7" s="1"/>
  <c r="AP337" i="7"/>
  <c r="AP358" i="7"/>
  <c r="AP362" i="7"/>
  <c r="AP374" i="7" s="1"/>
  <c r="AP205" i="7"/>
  <c r="AP168" i="7"/>
  <c r="AP76" i="7"/>
  <c r="AP716" i="7"/>
  <c r="F716" i="7"/>
  <c r="G716" i="7"/>
  <c r="H716" i="7"/>
  <c r="L718" i="7"/>
  <c r="M718" i="7"/>
  <c r="N718" i="7"/>
  <c r="R720" i="7"/>
  <c r="S720" i="7"/>
  <c r="T720" i="7"/>
  <c r="X722" i="7"/>
  <c r="Y722" i="7"/>
  <c r="Z722" i="7"/>
  <c r="AD724" i="7"/>
  <c r="AE724" i="7"/>
  <c r="AF724" i="7"/>
  <c r="I717" i="7"/>
  <c r="J717" i="7"/>
  <c r="K717" i="7"/>
  <c r="O719" i="7"/>
  <c r="P719" i="7"/>
  <c r="Q719" i="7"/>
  <c r="U721" i="7"/>
  <c r="V721" i="7"/>
  <c r="W721" i="7"/>
  <c r="AA723" i="7"/>
  <c r="AB723" i="7"/>
  <c r="AC723" i="7"/>
  <c r="AP38" i="7"/>
  <c r="AO101" i="7"/>
  <c r="AP90" i="7"/>
  <c r="AP466" i="7"/>
  <c r="AP436" i="7"/>
  <c r="AP475" i="7"/>
  <c r="AP487" i="7" s="1"/>
  <c r="O652" i="7"/>
  <c r="P652" i="7"/>
  <c r="Q652" i="7"/>
  <c r="R652" i="7"/>
  <c r="R661" i="7" s="1"/>
  <c r="R633" i="7" s="1"/>
  <c r="S652" i="7"/>
  <c r="S661" i="7" s="1"/>
  <c r="S633" i="7" s="1"/>
  <c r="T652" i="7"/>
  <c r="T661" i="7" s="1"/>
  <c r="T633" i="7" s="1"/>
  <c r="U652" i="7"/>
  <c r="U661" i="7" s="1"/>
  <c r="U633" i="7" s="1"/>
  <c r="V652" i="7"/>
  <c r="V661" i="7" s="1"/>
  <c r="V633" i="7" s="1"/>
  <c r="W652" i="7"/>
  <c r="W661" i="7" s="1"/>
  <c r="W633" i="7" s="1"/>
  <c r="W93" i="7" s="1"/>
  <c r="X652" i="7"/>
  <c r="X661" i="7" s="1"/>
  <c r="X633" i="7" s="1"/>
  <c r="X93" i="7" s="1"/>
  <c r="Y652" i="7"/>
  <c r="Y661" i="7" s="1"/>
  <c r="Y633" i="7" s="1"/>
  <c r="Y93" i="7" s="1"/>
  <c r="Z652" i="7"/>
  <c r="Z661" i="7" s="1"/>
  <c r="Z633" i="7" s="1"/>
  <c r="Z93" i="7" s="1"/>
  <c r="AM654" i="7"/>
  <c r="AM661" i="7" s="1"/>
  <c r="AM633" i="7" s="1"/>
  <c r="AM93" i="7" s="1"/>
  <c r="AN654" i="7"/>
  <c r="AN661" i="7" s="1"/>
  <c r="AN633" i="7" s="1"/>
  <c r="AN93" i="7" s="1"/>
  <c r="AO654" i="7"/>
  <c r="AO661" i="7" s="1"/>
  <c r="AO633" i="7" s="1"/>
  <c r="AO93" i="7" s="1"/>
  <c r="R684" i="7"/>
  <c r="R693" i="7" s="1"/>
  <c r="R665" i="7" s="1"/>
  <c r="R94" i="7" s="1"/>
  <c r="S684" i="7"/>
  <c r="S693" i="7" s="1"/>
  <c r="S665" i="7" s="1"/>
  <c r="S94" i="7" s="1"/>
  <c r="T684" i="7"/>
  <c r="T693" i="7" s="1"/>
  <c r="T665" i="7" s="1"/>
  <c r="T94" i="7" s="1"/>
  <c r="U684" i="7"/>
  <c r="U693" i="7" s="1"/>
  <c r="U665" i="7" s="1"/>
  <c r="U94" i="7" s="1"/>
  <c r="V684" i="7"/>
  <c r="V693" i="7" s="1"/>
  <c r="V665" i="7" s="1"/>
  <c r="V94" i="7" s="1"/>
  <c r="W684" i="7"/>
  <c r="W693" i="7" s="1"/>
  <c r="W665" i="7" s="1"/>
  <c r="W94" i="7" s="1"/>
  <c r="X684" i="7"/>
  <c r="X693" i="7" s="1"/>
  <c r="X665" i="7" s="1"/>
  <c r="X94" i="7" s="1"/>
  <c r="Y684" i="7"/>
  <c r="Y693" i="7" s="1"/>
  <c r="Y665" i="7" s="1"/>
  <c r="Y94" i="7" s="1"/>
  <c r="Z684" i="7"/>
  <c r="Z693" i="7" s="1"/>
  <c r="Z665" i="7" s="1"/>
  <c r="Z94" i="7" s="1"/>
  <c r="AA684" i="7"/>
  <c r="AA693" i="7" s="1"/>
  <c r="AA665" i="7" s="1"/>
  <c r="AA94" i="7" s="1"/>
  <c r="AB684" i="7"/>
  <c r="AB693" i="7" s="1"/>
  <c r="AB665" i="7" s="1"/>
  <c r="AB94" i="7" s="1"/>
  <c r="AC684" i="7"/>
  <c r="AC693" i="7" s="1"/>
  <c r="AC665" i="7" s="1"/>
  <c r="AC94" i="7" s="1"/>
  <c r="AD684" i="7"/>
  <c r="AD693" i="7" s="1"/>
  <c r="AD665" i="7" s="1"/>
  <c r="AD94" i="7" s="1"/>
  <c r="AE684" i="7"/>
  <c r="AE693" i="7" s="1"/>
  <c r="AE665" i="7" s="1"/>
  <c r="AE94" i="7" s="1"/>
  <c r="AF684" i="7"/>
  <c r="AF693" i="7" s="1"/>
  <c r="AF665" i="7" s="1"/>
  <c r="AF94" i="7" s="1"/>
  <c r="W716" i="7"/>
  <c r="X716" i="7"/>
  <c r="Y716" i="7"/>
  <c r="Z716" i="7"/>
  <c r="AA716" i="7"/>
  <c r="AB716" i="7"/>
  <c r="AC716" i="7"/>
  <c r="AD716" i="7"/>
  <c r="AE716" i="7"/>
  <c r="AF716" i="7"/>
  <c r="AG716" i="7"/>
  <c r="AH716" i="7"/>
  <c r="AI716" i="7"/>
  <c r="AJ716" i="7"/>
  <c r="AK716" i="7"/>
  <c r="AL716" i="7"/>
  <c r="AM716" i="7"/>
  <c r="AN716" i="7"/>
  <c r="AO716" i="7"/>
  <c r="AP654" i="7"/>
  <c r="AP661" i="7" s="1"/>
  <c r="AP633" i="7" s="1"/>
  <c r="AP300" i="7"/>
  <c r="AP440" i="7"/>
  <c r="AP492" i="7"/>
  <c r="AP649" i="7"/>
  <c r="AP634" i="7" s="1"/>
  <c r="AP98" i="7" s="1"/>
  <c r="B639" i="7"/>
  <c r="AA653" i="7"/>
  <c r="AA661" i="7" s="1"/>
  <c r="AA633" i="7" s="1"/>
  <c r="AA93" i="7" s="1"/>
  <c r="AB653" i="7"/>
  <c r="AB661" i="7" s="1"/>
  <c r="AB633" i="7" s="1"/>
  <c r="AB93" i="7" s="1"/>
  <c r="AC653" i="7"/>
  <c r="AC661" i="7" s="1"/>
  <c r="AC633" i="7" s="1"/>
  <c r="AC93" i="7" s="1"/>
  <c r="AD653" i="7"/>
  <c r="AD661" i="7" s="1"/>
  <c r="AD633" i="7" s="1"/>
  <c r="AD93" i="7" s="1"/>
  <c r="AE653" i="7"/>
  <c r="AE661" i="7" s="1"/>
  <c r="AE633" i="7" s="1"/>
  <c r="AE93" i="7" s="1"/>
  <c r="AF653" i="7"/>
  <c r="AF661" i="7" s="1"/>
  <c r="AF633" i="7" s="1"/>
  <c r="AF93" i="7" s="1"/>
  <c r="AG653" i="7"/>
  <c r="AG661" i="7" s="1"/>
  <c r="AG633" i="7" s="1"/>
  <c r="AG93" i="7" s="1"/>
  <c r="AH653" i="7"/>
  <c r="AH661" i="7" s="1"/>
  <c r="AH633" i="7" s="1"/>
  <c r="AH93" i="7" s="1"/>
  <c r="AI653" i="7"/>
  <c r="AI661" i="7" s="1"/>
  <c r="AI633" i="7" s="1"/>
  <c r="AI93" i="7" s="1"/>
  <c r="AJ653" i="7"/>
  <c r="AJ661" i="7" s="1"/>
  <c r="AJ633" i="7" s="1"/>
  <c r="AJ93" i="7" s="1"/>
  <c r="AK653" i="7"/>
  <c r="AK661" i="7" s="1"/>
  <c r="AK633" i="7" s="1"/>
  <c r="AK93" i="7" s="1"/>
  <c r="AL653" i="7"/>
  <c r="AL661" i="7" s="1"/>
  <c r="AL633" i="7" s="1"/>
  <c r="AL93" i="7" s="1"/>
  <c r="AP681" i="7"/>
  <c r="AP666" i="7" s="1"/>
  <c r="AP99" i="7" s="1"/>
  <c r="B671" i="7"/>
  <c r="AP341" i="7" s="1"/>
  <c r="AG685" i="7"/>
  <c r="AG693" i="7" s="1"/>
  <c r="AG665" i="7" s="1"/>
  <c r="AG94" i="7" s="1"/>
  <c r="AH685" i="7"/>
  <c r="AH693" i="7" s="1"/>
  <c r="AH665" i="7" s="1"/>
  <c r="AH94" i="7" s="1"/>
  <c r="AI685" i="7"/>
  <c r="AI693" i="7" s="1"/>
  <c r="AI665" i="7" s="1"/>
  <c r="AI94" i="7" s="1"/>
  <c r="AJ685" i="7"/>
  <c r="AJ693" i="7" s="1"/>
  <c r="AJ665" i="7" s="1"/>
  <c r="AJ94" i="7" s="1"/>
  <c r="AK685" i="7"/>
  <c r="AK693" i="7" s="1"/>
  <c r="AK665" i="7" s="1"/>
  <c r="AK94" i="7" s="1"/>
  <c r="AL685" i="7"/>
  <c r="AL693" i="7" s="1"/>
  <c r="AL665" i="7" s="1"/>
  <c r="AL94" i="7" s="1"/>
  <c r="AM685" i="7"/>
  <c r="AM693" i="7" s="1"/>
  <c r="AM665" i="7" s="1"/>
  <c r="AM94" i="7" s="1"/>
  <c r="AN685" i="7"/>
  <c r="AN693" i="7" s="1"/>
  <c r="AN665" i="7" s="1"/>
  <c r="AN94" i="7" s="1"/>
  <c r="AO685" i="7"/>
  <c r="AO693" i="7" s="1"/>
  <c r="AO665" i="7" s="1"/>
  <c r="AO94" i="7" s="1"/>
  <c r="AP713" i="7"/>
  <c r="AP698" i="7" s="1"/>
  <c r="AP100" i="7" s="1"/>
  <c r="B703" i="7"/>
  <c r="AP685" i="7"/>
  <c r="C315" i="7" l="1"/>
  <c r="O651" i="7"/>
  <c r="O661" i="7" s="1"/>
  <c r="O633" i="7" s="1"/>
  <c r="O93" i="7" s="1"/>
  <c r="P651" i="7"/>
  <c r="P661" i="7" s="1"/>
  <c r="P633" i="7" s="1"/>
  <c r="P93" i="7" s="1"/>
  <c r="Q651" i="7"/>
  <c r="Q661" i="7" s="1"/>
  <c r="Q633" i="7" s="1"/>
  <c r="Q93" i="7" s="1"/>
  <c r="U93" i="7"/>
  <c r="V93" i="7"/>
  <c r="AP478" i="7"/>
  <c r="AP452" i="7"/>
  <c r="AP495" i="7"/>
  <c r="AP507" i="7" s="1"/>
  <c r="B507" i="7" s="1"/>
  <c r="AP370" i="7"/>
  <c r="B370" i="7" s="1"/>
  <c r="AP474" i="7"/>
  <c r="AP486" i="7" s="1"/>
  <c r="B486" i="7" s="1"/>
  <c r="AP349" i="7"/>
  <c r="B349" i="7" s="1"/>
  <c r="AP497" i="7"/>
  <c r="AP509" i="7" s="1"/>
  <c r="B509" i="7" s="1"/>
  <c r="AP372" i="7"/>
  <c r="B372" i="7" s="1"/>
  <c r="AP469" i="7"/>
  <c r="AP481" i="7" s="1"/>
  <c r="B481" i="7" s="1"/>
  <c r="AP344" i="7"/>
  <c r="B344" i="7" s="1"/>
  <c r="C367" i="7"/>
  <c r="D367" i="7"/>
  <c r="D377" i="7" s="1"/>
  <c r="C504" i="7"/>
  <c r="F367" i="7"/>
  <c r="F377" i="7" s="1"/>
  <c r="D504" i="7"/>
  <c r="D514" i="7" s="1"/>
  <c r="E367" i="7"/>
  <c r="E377" i="7" s="1"/>
  <c r="G367" i="7"/>
  <c r="G377" i="7" s="1"/>
  <c r="E504" i="7"/>
  <c r="E514" i="7" s="1"/>
  <c r="F504" i="7"/>
  <c r="F514" i="7" s="1"/>
  <c r="H367" i="7"/>
  <c r="H377" i="7" s="1"/>
  <c r="G504" i="7"/>
  <c r="G514" i="7" s="1"/>
  <c r="H504" i="7"/>
  <c r="H514" i="7" s="1"/>
  <c r="I367" i="7"/>
  <c r="I377" i="7" s="1"/>
  <c r="I504" i="7"/>
  <c r="J367" i="7"/>
  <c r="J377" i="7" s="1"/>
  <c r="J504" i="7"/>
  <c r="J514" i="7" s="1"/>
  <c r="K367" i="7"/>
  <c r="K377" i="7" s="1"/>
  <c r="K504" i="7"/>
  <c r="K514" i="7" s="1"/>
  <c r="L367" i="7"/>
  <c r="L377" i="7" s="1"/>
  <c r="M367" i="7"/>
  <c r="M377" i="7" s="1"/>
  <c r="N367" i="7"/>
  <c r="N377" i="7" s="1"/>
  <c r="L504" i="7"/>
  <c r="L514" i="7" s="1"/>
  <c r="N504" i="7"/>
  <c r="N514" i="7" s="1"/>
  <c r="M504" i="7"/>
  <c r="M514" i="7" s="1"/>
  <c r="O367" i="7"/>
  <c r="O377" i="7" s="1"/>
  <c r="O504" i="7"/>
  <c r="O514" i="7" s="1"/>
  <c r="P367" i="7"/>
  <c r="P377" i="7" s="1"/>
  <c r="Q367" i="7"/>
  <c r="Q377" i="7" s="1"/>
  <c r="P504" i="7"/>
  <c r="P514" i="7" s="1"/>
  <c r="R367" i="7"/>
  <c r="R377" i="7" s="1"/>
  <c r="Q504" i="7"/>
  <c r="Q514" i="7" s="1"/>
  <c r="S367" i="7"/>
  <c r="S377" i="7" s="1"/>
  <c r="R504" i="7"/>
  <c r="R514" i="7" s="1"/>
  <c r="S504" i="7"/>
  <c r="S514" i="7" s="1"/>
  <c r="T367" i="7"/>
  <c r="T377" i="7" s="1"/>
  <c r="T504" i="7"/>
  <c r="T514" i="7" s="1"/>
  <c r="U367" i="7"/>
  <c r="U377" i="7" s="1"/>
  <c r="V367" i="7"/>
  <c r="V377" i="7" s="1"/>
  <c r="U504" i="7"/>
  <c r="U514" i="7" s="1"/>
  <c r="V504" i="7"/>
  <c r="V514" i="7" s="1"/>
  <c r="W367" i="7"/>
  <c r="W377" i="7" s="1"/>
  <c r="X367" i="7"/>
  <c r="X377" i="7" s="1"/>
  <c r="W504" i="7"/>
  <c r="W514" i="7" s="1"/>
  <c r="Y367" i="7"/>
  <c r="Y377" i="7" s="1"/>
  <c r="X504" i="7"/>
  <c r="X514" i="7" s="1"/>
  <c r="Y504" i="7"/>
  <c r="Y514" i="7" s="1"/>
  <c r="Z367" i="7"/>
  <c r="Z377" i="7" s="1"/>
  <c r="AA367" i="7"/>
  <c r="AA377" i="7" s="1"/>
  <c r="Z504" i="7"/>
  <c r="Z514" i="7" s="1"/>
  <c r="AA504" i="7"/>
  <c r="AA514" i="7" s="1"/>
  <c r="AB367" i="7"/>
  <c r="AB377" i="7" s="1"/>
  <c r="AC367" i="7"/>
  <c r="AC377" i="7" s="1"/>
  <c r="AB504" i="7"/>
  <c r="AB514" i="7" s="1"/>
  <c r="AD367" i="7"/>
  <c r="AD377" i="7" s="1"/>
  <c r="AC504" i="7"/>
  <c r="AC514" i="7" s="1"/>
  <c r="AD504" i="7"/>
  <c r="AD514" i="7" s="1"/>
  <c r="AE367" i="7"/>
  <c r="AE377" i="7" s="1"/>
  <c r="AF367" i="7"/>
  <c r="AF377" i="7" s="1"/>
  <c r="AE504" i="7"/>
  <c r="AE514" i="7" s="1"/>
  <c r="AG367" i="7"/>
  <c r="AG377" i="7" s="1"/>
  <c r="AF504" i="7"/>
  <c r="AF514" i="7" s="1"/>
  <c r="AH367" i="7"/>
  <c r="AH377" i="7" s="1"/>
  <c r="AG504" i="7"/>
  <c r="AG514" i="7" s="1"/>
  <c r="AH504" i="7"/>
  <c r="AH514" i="7" s="1"/>
  <c r="AI367" i="7"/>
  <c r="AI377" i="7" s="1"/>
  <c r="AI504" i="7"/>
  <c r="AI514" i="7" s="1"/>
  <c r="AJ367" i="7"/>
  <c r="AJ377" i="7" s="1"/>
  <c r="AJ504" i="7"/>
  <c r="AJ514" i="7" s="1"/>
  <c r="AK367" i="7"/>
  <c r="AK377" i="7" s="1"/>
  <c r="AL367" i="7"/>
  <c r="AL377" i="7" s="1"/>
  <c r="AK504" i="7"/>
  <c r="AK514" i="7" s="1"/>
  <c r="AL504" i="7"/>
  <c r="AL514" i="7" s="1"/>
  <c r="AM367" i="7"/>
  <c r="AM377" i="7" s="1"/>
  <c r="AM504" i="7"/>
  <c r="AM514" i="7" s="1"/>
  <c r="AN367" i="7"/>
  <c r="AN377" i="7" s="1"/>
  <c r="AN504" i="7"/>
  <c r="AN514" i="7" s="1"/>
  <c r="AO367" i="7"/>
  <c r="AO377" i="7" s="1"/>
  <c r="AP449" i="7"/>
  <c r="AP461" i="7" s="1"/>
  <c r="B461" i="7" s="1"/>
  <c r="AP324" i="7"/>
  <c r="B324" i="7" s="1"/>
  <c r="D315" i="7"/>
  <c r="C452" i="7"/>
  <c r="F315" i="7"/>
  <c r="F325" i="7" s="1"/>
  <c r="D452" i="7"/>
  <c r="D462" i="7" s="1"/>
  <c r="E315" i="7"/>
  <c r="E325" i="7" s="1"/>
  <c r="F452" i="7"/>
  <c r="F462" i="7" s="1"/>
  <c r="E452" i="7"/>
  <c r="E462" i="7" s="1"/>
  <c r="G315" i="7"/>
  <c r="G325" i="7" s="1"/>
  <c r="G452" i="7"/>
  <c r="G462" i="7" s="1"/>
  <c r="H315" i="7"/>
  <c r="H325" i="7" s="1"/>
  <c r="I315" i="7"/>
  <c r="I325" i="7" s="1"/>
  <c r="H452" i="7"/>
  <c r="H462" i="7" s="1"/>
  <c r="I452" i="7"/>
  <c r="I462" i="7" s="1"/>
  <c r="J315" i="7"/>
  <c r="J325" i="7" s="1"/>
  <c r="J452" i="7"/>
  <c r="J462" i="7" s="1"/>
  <c r="K315" i="7"/>
  <c r="K325" i="7" s="1"/>
  <c r="M315" i="7"/>
  <c r="M325" i="7" s="1"/>
  <c r="L315" i="7"/>
  <c r="L325" i="7" s="1"/>
  <c r="K452" i="7"/>
  <c r="K462" i="7" s="1"/>
  <c r="N315" i="7"/>
  <c r="N325" i="7" s="1"/>
  <c r="L452" i="7"/>
  <c r="L462" i="7" s="1"/>
  <c r="M452" i="7"/>
  <c r="M462" i="7" s="1"/>
  <c r="N452" i="7"/>
  <c r="N462" i="7" s="1"/>
  <c r="O315" i="7"/>
  <c r="O325" i="7" s="1"/>
  <c r="O452" i="7"/>
  <c r="O462" i="7" s="1"/>
  <c r="P315" i="7"/>
  <c r="P325" i="7" s="1"/>
  <c r="Q315" i="7"/>
  <c r="Q325" i="7" s="1"/>
  <c r="P452" i="7"/>
  <c r="P462" i="7" s="1"/>
  <c r="R315" i="7"/>
  <c r="R325" i="7" s="1"/>
  <c r="Q452" i="7"/>
  <c r="Q462" i="7" s="1"/>
  <c r="S315" i="7"/>
  <c r="S325" i="7" s="1"/>
  <c r="R452" i="7"/>
  <c r="R462" i="7" s="1"/>
  <c r="S452" i="7"/>
  <c r="S462" i="7" s="1"/>
  <c r="T315" i="7"/>
  <c r="T325" i="7" s="1"/>
  <c r="U315" i="7"/>
  <c r="U325" i="7" s="1"/>
  <c r="T452" i="7"/>
  <c r="T462" i="7" s="1"/>
  <c r="V315" i="7"/>
  <c r="V325" i="7" s="1"/>
  <c r="U452" i="7"/>
  <c r="U462" i="7" s="1"/>
  <c r="W315" i="7"/>
  <c r="W325" i="7" s="1"/>
  <c r="V452" i="7"/>
  <c r="V462" i="7" s="1"/>
  <c r="X315" i="7"/>
  <c r="X325" i="7" s="1"/>
  <c r="W452" i="7"/>
  <c r="W462" i="7" s="1"/>
  <c r="X452" i="7"/>
  <c r="X462" i="7" s="1"/>
  <c r="Y315" i="7"/>
  <c r="Y325" i="7" s="1"/>
  <c r="Z315" i="7"/>
  <c r="Z325" i="7" s="1"/>
  <c r="Y452" i="7"/>
  <c r="Y462" i="7" s="1"/>
  <c r="AA315" i="7"/>
  <c r="AA325" i="7" s="1"/>
  <c r="AB315" i="7"/>
  <c r="AB325" i="7" s="1"/>
  <c r="Z452" i="7"/>
  <c r="Z462" i="7" s="1"/>
  <c r="AC315" i="7"/>
  <c r="AC325" i="7" s="1"/>
  <c r="AA452" i="7"/>
  <c r="AA462" i="7" s="1"/>
  <c r="AB452" i="7"/>
  <c r="AB462" i="7" s="1"/>
  <c r="AC452" i="7"/>
  <c r="AC462" i="7" s="1"/>
  <c r="AD315" i="7"/>
  <c r="AD325" i="7" s="1"/>
  <c r="AE315" i="7"/>
  <c r="AE325" i="7" s="1"/>
  <c r="AD452" i="7"/>
  <c r="AD462" i="7" s="1"/>
  <c r="AF315" i="7"/>
  <c r="AF325" i="7" s="1"/>
  <c r="AE452" i="7"/>
  <c r="AE462" i="7" s="1"/>
  <c r="AG315" i="7"/>
  <c r="AG325" i="7" s="1"/>
  <c r="AF452" i="7"/>
  <c r="AF462" i="7" s="1"/>
  <c r="AG452" i="7"/>
  <c r="AG462" i="7" s="1"/>
  <c r="AH315" i="7"/>
  <c r="AH325" i="7" s="1"/>
  <c r="AI315" i="7"/>
  <c r="AI325" i="7" s="1"/>
  <c r="AH452" i="7"/>
  <c r="AH462" i="7" s="1"/>
  <c r="AJ315" i="7"/>
  <c r="AJ325" i="7" s="1"/>
  <c r="AI452" i="7"/>
  <c r="AI462" i="7" s="1"/>
  <c r="AJ452" i="7"/>
  <c r="AJ462" i="7" s="1"/>
  <c r="AK315" i="7"/>
  <c r="AK325" i="7" s="1"/>
  <c r="AK452" i="7"/>
  <c r="AK462" i="7" s="1"/>
  <c r="AL315" i="7"/>
  <c r="AL325" i="7" s="1"/>
  <c r="AL452" i="7"/>
  <c r="AL462" i="7" s="1"/>
  <c r="AM315" i="7"/>
  <c r="AM325" i="7" s="1"/>
  <c r="AM452" i="7"/>
  <c r="AM462" i="7" s="1"/>
  <c r="AN315" i="7"/>
  <c r="AN325" i="7" s="1"/>
  <c r="AO315" i="7"/>
  <c r="AO325" i="7" s="1"/>
  <c r="AN452" i="7"/>
  <c r="AN462" i="7" s="1"/>
  <c r="AM725" i="7"/>
  <c r="AM697" i="7" s="1"/>
  <c r="AM95" i="7" s="1"/>
  <c r="AP445" i="7"/>
  <c r="AP457" i="7" s="1"/>
  <c r="B457" i="7" s="1"/>
  <c r="AP320" i="7"/>
  <c r="B320" i="7" s="1"/>
  <c r="AP472" i="7"/>
  <c r="AP484" i="7" s="1"/>
  <c r="B484" i="7" s="1"/>
  <c r="AP347" i="7"/>
  <c r="AP498" i="7"/>
  <c r="AP510" i="7" s="1"/>
  <c r="B510" i="7" s="1"/>
  <c r="AP373" i="7"/>
  <c r="B373" i="7" s="1"/>
  <c r="AO504" i="7"/>
  <c r="AO514" i="7" s="1"/>
  <c r="AP367" i="7"/>
  <c r="AP442" i="7"/>
  <c r="AP454" i="7" s="1"/>
  <c r="B454" i="7" s="1"/>
  <c r="AP317" i="7"/>
  <c r="B317" i="7" s="1"/>
  <c r="C341" i="7"/>
  <c r="D341" i="7"/>
  <c r="D351" i="7" s="1"/>
  <c r="F341" i="7"/>
  <c r="F351" i="7" s="1"/>
  <c r="C478" i="7"/>
  <c r="D478" i="7"/>
  <c r="D488" i="7" s="1"/>
  <c r="E341" i="7"/>
  <c r="E351" i="7" s="1"/>
  <c r="F478" i="7"/>
  <c r="F488" i="7" s="1"/>
  <c r="G341" i="7"/>
  <c r="G351" i="7" s="1"/>
  <c r="H341" i="7"/>
  <c r="H351" i="7" s="1"/>
  <c r="G478" i="7"/>
  <c r="G488" i="7" s="1"/>
  <c r="E478" i="7"/>
  <c r="E488" i="7" s="1"/>
  <c r="I341" i="7"/>
  <c r="I351" i="7" s="1"/>
  <c r="H478" i="7"/>
  <c r="H488" i="7" s="1"/>
  <c r="I478" i="7"/>
  <c r="I488" i="7" s="1"/>
  <c r="J341" i="7"/>
  <c r="J351" i="7" s="1"/>
  <c r="K341" i="7"/>
  <c r="K351" i="7" s="1"/>
  <c r="J478" i="7"/>
  <c r="J488" i="7" s="1"/>
  <c r="K478" i="7"/>
  <c r="K488" i="7" s="1"/>
  <c r="L341" i="7"/>
  <c r="L351" i="7" s="1"/>
  <c r="L478" i="7"/>
  <c r="L488" i="7" s="1"/>
  <c r="M341" i="7"/>
  <c r="M351" i="7" s="1"/>
  <c r="M478" i="7"/>
  <c r="M488" i="7" s="1"/>
  <c r="N341" i="7"/>
  <c r="N351" i="7" s="1"/>
  <c r="N478" i="7"/>
  <c r="N488" i="7" s="1"/>
  <c r="O341" i="7"/>
  <c r="O351" i="7" s="1"/>
  <c r="P341" i="7"/>
  <c r="P351" i="7" s="1"/>
  <c r="O478" i="7"/>
  <c r="O488" i="7" s="1"/>
  <c r="P478" i="7"/>
  <c r="P488" i="7" s="1"/>
  <c r="Q341" i="7"/>
  <c r="Q351" i="7" s="1"/>
  <c r="R341" i="7"/>
  <c r="R351" i="7" s="1"/>
  <c r="Q478" i="7"/>
  <c r="Q488" i="7" s="1"/>
  <c r="S341" i="7"/>
  <c r="S351" i="7" s="1"/>
  <c r="R478" i="7"/>
  <c r="R488" i="7" s="1"/>
  <c r="S478" i="7"/>
  <c r="S488" i="7" s="1"/>
  <c r="T341" i="7"/>
  <c r="T351" i="7" s="1"/>
  <c r="T478" i="7"/>
  <c r="T488" i="7" s="1"/>
  <c r="U341" i="7"/>
  <c r="U351" i="7" s="1"/>
  <c r="U478" i="7"/>
  <c r="U488" i="7" s="1"/>
  <c r="V341" i="7"/>
  <c r="V351" i="7" s="1"/>
  <c r="V478" i="7"/>
  <c r="V488" i="7" s="1"/>
  <c r="W341" i="7"/>
  <c r="W351" i="7" s="1"/>
  <c r="W478" i="7"/>
  <c r="W488" i="7" s="1"/>
  <c r="X341" i="7"/>
  <c r="X351" i="7" s="1"/>
  <c r="X478" i="7"/>
  <c r="X488" i="7" s="1"/>
  <c r="Y341" i="7"/>
  <c r="Y351" i="7" s="1"/>
  <c r="Y478" i="7"/>
  <c r="Y488" i="7" s="1"/>
  <c r="Z341" i="7"/>
  <c r="Z351" i="7" s="1"/>
  <c r="Z478" i="7"/>
  <c r="Z488" i="7" s="1"/>
  <c r="AA341" i="7"/>
  <c r="AA351" i="7" s="1"/>
  <c r="AB341" i="7"/>
  <c r="AB351" i="7" s="1"/>
  <c r="AA478" i="7"/>
  <c r="AA488" i="7" s="1"/>
  <c r="AC341" i="7"/>
  <c r="AC351" i="7" s="1"/>
  <c r="AB478" i="7"/>
  <c r="AB488" i="7" s="1"/>
  <c r="AC478" i="7"/>
  <c r="AC488" i="7" s="1"/>
  <c r="AD341" i="7"/>
  <c r="AD351" i="7" s="1"/>
  <c r="AE341" i="7"/>
  <c r="AE351" i="7" s="1"/>
  <c r="AD478" i="7"/>
  <c r="AD488" i="7" s="1"/>
  <c r="AF341" i="7"/>
  <c r="AF351" i="7" s="1"/>
  <c r="AE478" i="7"/>
  <c r="AE488" i="7" s="1"/>
  <c r="AG341" i="7"/>
  <c r="AG351" i="7" s="1"/>
  <c r="AF478" i="7"/>
  <c r="AF488" i="7" s="1"/>
  <c r="AG478" i="7"/>
  <c r="AG488" i="7" s="1"/>
  <c r="AH341" i="7"/>
  <c r="AH351" i="7" s="1"/>
  <c r="AH478" i="7"/>
  <c r="AH488" i="7" s="1"/>
  <c r="AI341" i="7"/>
  <c r="AI351" i="7" s="1"/>
  <c r="AJ341" i="7"/>
  <c r="AJ351" i="7" s="1"/>
  <c r="AI478" i="7"/>
  <c r="AI488" i="7" s="1"/>
  <c r="AK341" i="7"/>
  <c r="AK351" i="7" s="1"/>
  <c r="AJ478" i="7"/>
  <c r="AJ488" i="7" s="1"/>
  <c r="AK478" i="7"/>
  <c r="AK488" i="7" s="1"/>
  <c r="AL341" i="7"/>
  <c r="AL351" i="7" s="1"/>
  <c r="AM341" i="7"/>
  <c r="AM351" i="7" s="1"/>
  <c r="AL478" i="7"/>
  <c r="AL488" i="7" s="1"/>
  <c r="AM478" i="7"/>
  <c r="AM488" i="7" s="1"/>
  <c r="AN341" i="7"/>
  <c r="AN351" i="7" s="1"/>
  <c r="AO341" i="7"/>
  <c r="AO351" i="7" s="1"/>
  <c r="AN478" i="7"/>
  <c r="AN488" i="7" s="1"/>
  <c r="AP504" i="7"/>
  <c r="AP501" i="7"/>
  <c r="AP513" i="7" s="1"/>
  <c r="B513" i="7" s="1"/>
  <c r="AP376" i="7"/>
  <c r="B376" i="7" s="1"/>
  <c r="AP500" i="7"/>
  <c r="AP512" i="7" s="1"/>
  <c r="B512" i="7" s="1"/>
  <c r="AP375" i="7"/>
  <c r="B375" i="7" s="1"/>
  <c r="AP315" i="7"/>
  <c r="AP493" i="7"/>
  <c r="AP505" i="7" s="1"/>
  <c r="B505" i="7" s="1"/>
  <c r="AP368" i="7"/>
  <c r="B368" i="7" s="1"/>
  <c r="AP444" i="7"/>
  <c r="AP456" i="7" s="1"/>
  <c r="B456" i="7" s="1"/>
  <c r="AP319" i="7"/>
  <c r="B319" i="7" s="1"/>
  <c r="AP496" i="7"/>
  <c r="AP508" i="7" s="1"/>
  <c r="B508" i="7" s="1"/>
  <c r="AP371" i="7"/>
  <c r="B371" i="7" s="1"/>
  <c r="AO478" i="7"/>
  <c r="AO488" i="7" s="1"/>
  <c r="AP447" i="7"/>
  <c r="AP459" i="7" s="1"/>
  <c r="B459" i="7" s="1"/>
  <c r="AP322" i="7"/>
  <c r="B322" i="7" s="1"/>
  <c r="AP468" i="7"/>
  <c r="AP480" i="7" s="1"/>
  <c r="B480" i="7" s="1"/>
  <c r="AP343" i="7"/>
  <c r="B343" i="7" s="1"/>
  <c r="AP446" i="7"/>
  <c r="AP458" i="7" s="1"/>
  <c r="B458" i="7" s="1"/>
  <c r="AP321" i="7"/>
  <c r="AO452" i="7"/>
  <c r="AO462" i="7" s="1"/>
  <c r="AO725" i="7"/>
  <c r="AO697" i="7" s="1"/>
  <c r="AO95" i="7" s="1"/>
  <c r="AO111" i="7"/>
  <c r="AO112" i="7" s="1"/>
  <c r="T93" i="7"/>
  <c r="S93" i="7"/>
  <c r="R93" i="7"/>
  <c r="AP473" i="7"/>
  <c r="AP485" i="7" s="1"/>
  <c r="B485" i="7" s="1"/>
  <c r="AP448" i="7"/>
  <c r="AP460" i="7" s="1"/>
  <c r="B460" i="7" s="1"/>
  <c r="AP443" i="7"/>
  <c r="AP725" i="7"/>
  <c r="AP697" i="7" s="1"/>
  <c r="AP95" i="7" s="1"/>
  <c r="AJ725" i="7"/>
  <c r="AJ697" i="7" s="1"/>
  <c r="AJ95" i="7" s="1"/>
  <c r="AH725" i="7"/>
  <c r="AH697" i="7" s="1"/>
  <c r="AH95" i="7" s="1"/>
  <c r="AK725" i="7"/>
  <c r="AK697" i="7" s="1"/>
  <c r="AK95" i="7" s="1"/>
  <c r="AL725" i="7"/>
  <c r="AL697" i="7" s="1"/>
  <c r="AL95" i="7" s="1"/>
  <c r="AG725" i="7"/>
  <c r="AG697" i="7" s="1"/>
  <c r="AG95" i="7" s="1"/>
  <c r="AA725" i="7"/>
  <c r="AA697" i="7" s="1"/>
  <c r="AA95" i="7" s="1"/>
  <c r="AN725" i="7"/>
  <c r="AN697" i="7" s="1"/>
  <c r="AN95" i="7" s="1"/>
  <c r="AI725" i="7"/>
  <c r="AI697" i="7" s="1"/>
  <c r="AI95" i="7" s="1"/>
  <c r="AP494" i="7"/>
  <c r="AF725" i="7"/>
  <c r="AF697" i="7" s="1"/>
  <c r="AF95" i="7" s="1"/>
  <c r="AC725" i="7"/>
  <c r="AC697" i="7" s="1"/>
  <c r="AC95" i="7" s="1"/>
  <c r="Z725" i="7"/>
  <c r="Z697" i="7" s="1"/>
  <c r="Z95" i="7" s="1"/>
  <c r="W725" i="7"/>
  <c r="W697" i="7" s="1"/>
  <c r="W95" i="7" s="1"/>
  <c r="AP471" i="7"/>
  <c r="AP467" i="7"/>
  <c r="AP499" i="7"/>
  <c r="X725" i="7"/>
  <c r="X697" i="7" s="1"/>
  <c r="X95" i="7" s="1"/>
  <c r="AD725" i="7"/>
  <c r="AD697" i="7" s="1"/>
  <c r="AD95" i="7" s="1"/>
  <c r="AP441" i="7"/>
  <c r="AB725" i="7"/>
  <c r="AB697" i="7" s="1"/>
  <c r="AB95" i="7" s="1"/>
  <c r="AP470" i="7"/>
  <c r="AE725" i="7"/>
  <c r="AE697" i="7" s="1"/>
  <c r="AE95" i="7" s="1"/>
  <c r="Y725" i="7"/>
  <c r="Y697" i="7" s="1"/>
  <c r="Y95" i="7" s="1"/>
  <c r="B720" i="7"/>
  <c r="B652" i="7"/>
  <c r="B719" i="7"/>
  <c r="B724" i="7"/>
  <c r="B723" i="7"/>
  <c r="B717" i="7"/>
  <c r="B722" i="7"/>
  <c r="B718" i="7"/>
  <c r="B721" i="7"/>
  <c r="B716" i="7"/>
  <c r="B653" i="7"/>
  <c r="B684" i="7"/>
  <c r="B685" i="7"/>
  <c r="AP93" i="7"/>
  <c r="B654" i="7"/>
  <c r="D715" i="7"/>
  <c r="D725" i="7" s="1"/>
  <c r="D697" i="7" s="1"/>
  <c r="D95" i="7" s="1"/>
  <c r="C715" i="7"/>
  <c r="E715" i="7"/>
  <c r="E725" i="7" s="1"/>
  <c r="E697" i="7" s="1"/>
  <c r="E95" i="7" s="1"/>
  <c r="F715" i="7"/>
  <c r="F725" i="7" s="1"/>
  <c r="F697" i="7" s="1"/>
  <c r="F95" i="7" s="1"/>
  <c r="G715" i="7"/>
  <c r="G725" i="7" s="1"/>
  <c r="G697" i="7" s="1"/>
  <c r="G95" i="7" s="1"/>
  <c r="H715" i="7"/>
  <c r="H725" i="7" s="1"/>
  <c r="H697" i="7" s="1"/>
  <c r="H95" i="7" s="1"/>
  <c r="I715" i="7"/>
  <c r="I725" i="7" s="1"/>
  <c r="I697" i="7" s="1"/>
  <c r="I95" i="7" s="1"/>
  <c r="J715" i="7"/>
  <c r="J725" i="7" s="1"/>
  <c r="J697" i="7" s="1"/>
  <c r="J95" i="7" s="1"/>
  <c r="K715" i="7"/>
  <c r="K725" i="7" s="1"/>
  <c r="K697" i="7" s="1"/>
  <c r="K95" i="7" s="1"/>
  <c r="L715" i="7"/>
  <c r="L725" i="7" s="1"/>
  <c r="L697" i="7" s="1"/>
  <c r="L95" i="7" s="1"/>
  <c r="M715" i="7"/>
  <c r="M725" i="7" s="1"/>
  <c r="M697" i="7" s="1"/>
  <c r="M95" i="7" s="1"/>
  <c r="N715" i="7"/>
  <c r="N725" i="7" s="1"/>
  <c r="N697" i="7" s="1"/>
  <c r="N95" i="7" s="1"/>
  <c r="O715" i="7"/>
  <c r="O725" i="7" s="1"/>
  <c r="O697" i="7" s="1"/>
  <c r="O95" i="7" s="1"/>
  <c r="P715" i="7"/>
  <c r="P725" i="7" s="1"/>
  <c r="P697" i="7" s="1"/>
  <c r="P95" i="7" s="1"/>
  <c r="Q715" i="7"/>
  <c r="Q725" i="7" s="1"/>
  <c r="Q697" i="7" s="1"/>
  <c r="Q95" i="7" s="1"/>
  <c r="R715" i="7"/>
  <c r="R725" i="7" s="1"/>
  <c r="R697" i="7" s="1"/>
  <c r="R95" i="7" s="1"/>
  <c r="S715" i="7"/>
  <c r="S725" i="7" s="1"/>
  <c r="S697" i="7" s="1"/>
  <c r="S95" i="7" s="1"/>
  <c r="T715" i="7"/>
  <c r="T725" i="7" s="1"/>
  <c r="T697" i="7" s="1"/>
  <c r="T95" i="7" s="1"/>
  <c r="U715" i="7"/>
  <c r="U725" i="7" s="1"/>
  <c r="U697" i="7" s="1"/>
  <c r="U95" i="7" s="1"/>
  <c r="V715" i="7"/>
  <c r="V725" i="7" s="1"/>
  <c r="V697" i="7" s="1"/>
  <c r="V95" i="7" s="1"/>
  <c r="I514" i="7"/>
  <c r="AP693" i="7"/>
  <c r="AP665" i="7" s="1"/>
  <c r="AP94" i="7" s="1"/>
  <c r="B369" i="7"/>
  <c r="B323" i="7"/>
  <c r="AP101" i="7"/>
  <c r="B350" i="7"/>
  <c r="B487" i="7"/>
  <c r="B348" i="7"/>
  <c r="B342" i="7"/>
  <c r="D683" i="7"/>
  <c r="D693" i="7" s="1"/>
  <c r="D665" i="7" s="1"/>
  <c r="D94" i="7" s="1"/>
  <c r="C683" i="7"/>
  <c r="E683" i="7"/>
  <c r="E693" i="7" s="1"/>
  <c r="E665" i="7" s="1"/>
  <c r="E94" i="7" s="1"/>
  <c r="F683" i="7"/>
  <c r="F693" i="7" s="1"/>
  <c r="F665" i="7" s="1"/>
  <c r="F94" i="7" s="1"/>
  <c r="G683" i="7"/>
  <c r="G693" i="7" s="1"/>
  <c r="G665" i="7" s="1"/>
  <c r="G94" i="7" s="1"/>
  <c r="H683" i="7"/>
  <c r="H693" i="7" s="1"/>
  <c r="H665" i="7" s="1"/>
  <c r="H94" i="7" s="1"/>
  <c r="I683" i="7"/>
  <c r="I693" i="7" s="1"/>
  <c r="I665" i="7" s="1"/>
  <c r="I94" i="7" s="1"/>
  <c r="J683" i="7"/>
  <c r="J693" i="7" s="1"/>
  <c r="J665" i="7" s="1"/>
  <c r="J94" i="7" s="1"/>
  <c r="K683" i="7"/>
  <c r="K693" i="7" s="1"/>
  <c r="K665" i="7" s="1"/>
  <c r="K94" i="7" s="1"/>
  <c r="L683" i="7"/>
  <c r="L693" i="7" s="1"/>
  <c r="L665" i="7" s="1"/>
  <c r="L94" i="7" s="1"/>
  <c r="M683" i="7"/>
  <c r="M693" i="7" s="1"/>
  <c r="M665" i="7" s="1"/>
  <c r="N683" i="7"/>
  <c r="N693" i="7" s="1"/>
  <c r="N665" i="7" s="1"/>
  <c r="O683" i="7"/>
  <c r="O693" i="7" s="1"/>
  <c r="O665" i="7" s="1"/>
  <c r="P683" i="7"/>
  <c r="P693" i="7" s="1"/>
  <c r="P665" i="7" s="1"/>
  <c r="Q683" i="7"/>
  <c r="Q693" i="7" s="1"/>
  <c r="Q665" i="7" s="1"/>
  <c r="D651" i="7"/>
  <c r="D661" i="7" s="1"/>
  <c r="D633" i="7" s="1"/>
  <c r="C651" i="7"/>
  <c r="E651" i="7"/>
  <c r="E661" i="7" s="1"/>
  <c r="E633" i="7" s="1"/>
  <c r="F651" i="7"/>
  <c r="F661" i="7" s="1"/>
  <c r="F633" i="7" s="1"/>
  <c r="G651" i="7"/>
  <c r="G661" i="7" s="1"/>
  <c r="G633" i="7" s="1"/>
  <c r="H651" i="7"/>
  <c r="H661" i="7" s="1"/>
  <c r="H633" i="7" s="1"/>
  <c r="I651" i="7"/>
  <c r="I661" i="7" s="1"/>
  <c r="I633" i="7" s="1"/>
  <c r="J651" i="7"/>
  <c r="J661" i="7" s="1"/>
  <c r="J633" i="7" s="1"/>
  <c r="K651" i="7"/>
  <c r="K661" i="7" s="1"/>
  <c r="K633" i="7" s="1"/>
  <c r="L651" i="7"/>
  <c r="L661" i="7" s="1"/>
  <c r="L633" i="7" s="1"/>
  <c r="M651" i="7"/>
  <c r="M661" i="7" s="1"/>
  <c r="M633" i="7" s="1"/>
  <c r="N651" i="7"/>
  <c r="N661" i="7" s="1"/>
  <c r="N633" i="7" s="1"/>
  <c r="B345" i="7"/>
  <c r="B374" i="7"/>
  <c r="B346" i="7"/>
  <c r="B318" i="7"/>
  <c r="B316" i="7"/>
  <c r="D325" i="7" l="1"/>
  <c r="B315" i="7"/>
  <c r="AP482" i="7"/>
  <c r="B482" i="7" s="1"/>
  <c r="AP483" i="7"/>
  <c r="B483" i="7" s="1"/>
  <c r="AP455" i="7"/>
  <c r="B455" i="7" s="1"/>
  <c r="AP511" i="7"/>
  <c r="B511" i="7" s="1"/>
  <c r="AP506" i="7"/>
  <c r="B506" i="7" s="1"/>
  <c r="AP479" i="7"/>
  <c r="B479" i="7" s="1"/>
  <c r="AP453" i="7"/>
  <c r="B453" i="7" s="1"/>
  <c r="AP111" i="7"/>
  <c r="AP112" i="7" s="1"/>
  <c r="AP351" i="7"/>
  <c r="AP377" i="7"/>
  <c r="B347" i="7"/>
  <c r="AP325" i="7"/>
  <c r="B321" i="7"/>
  <c r="N93" i="7"/>
  <c r="M93" i="7"/>
  <c r="P94" i="7"/>
  <c r="N94" i="7"/>
  <c r="Q94" i="7"/>
  <c r="O94" i="7"/>
  <c r="M94" i="7"/>
  <c r="K93" i="7"/>
  <c r="I93" i="7"/>
  <c r="G93" i="7"/>
  <c r="E93" i="7"/>
  <c r="D93" i="7"/>
  <c r="L93" i="7"/>
  <c r="J93" i="7"/>
  <c r="H93" i="7"/>
  <c r="F93" i="7"/>
  <c r="B651" i="7"/>
  <c r="C661" i="7"/>
  <c r="C633" i="7" s="1"/>
  <c r="B478" i="7"/>
  <c r="C488" i="7"/>
  <c r="B683" i="7"/>
  <c r="C693" i="7"/>
  <c r="C665" i="7" s="1"/>
  <c r="C725" i="7"/>
  <c r="C697" i="7" s="1"/>
  <c r="B715" i="7"/>
  <c r="C325" i="7"/>
  <c r="C462" i="7"/>
  <c r="B452" i="7"/>
  <c r="C351" i="7"/>
  <c r="B341" i="7"/>
  <c r="C377" i="7"/>
  <c r="B367" i="7"/>
  <c r="B504" i="7"/>
  <c r="C514" i="7"/>
  <c r="AP488" i="7" l="1"/>
  <c r="AP462" i="7"/>
  <c r="AP514" i="7"/>
  <c r="C95" i="7"/>
  <c r="C699" i="7"/>
  <c r="D696" i="7" s="1"/>
  <c r="D699" i="7" s="1"/>
  <c r="E696" i="7" s="1"/>
  <c r="E699" i="7" s="1"/>
  <c r="F696" i="7" s="1"/>
  <c r="F699" i="7" s="1"/>
  <c r="G696" i="7" s="1"/>
  <c r="G699" i="7" s="1"/>
  <c r="H696" i="7" s="1"/>
  <c r="H699" i="7" s="1"/>
  <c r="I696" i="7" s="1"/>
  <c r="I699" i="7" s="1"/>
  <c r="J696" i="7" s="1"/>
  <c r="J699" i="7" s="1"/>
  <c r="K696" i="7" s="1"/>
  <c r="K699" i="7" s="1"/>
  <c r="L696" i="7" s="1"/>
  <c r="L699" i="7" s="1"/>
  <c r="M696" i="7" s="1"/>
  <c r="M699" i="7" s="1"/>
  <c r="N696" i="7" s="1"/>
  <c r="N699" i="7" s="1"/>
  <c r="O696" i="7" s="1"/>
  <c r="O699" i="7" s="1"/>
  <c r="P696" i="7" s="1"/>
  <c r="P699" i="7" s="1"/>
  <c r="Q696" i="7" s="1"/>
  <c r="Q699" i="7" s="1"/>
  <c r="R696" i="7" s="1"/>
  <c r="R699" i="7" s="1"/>
  <c r="S696" i="7" s="1"/>
  <c r="S699" i="7" s="1"/>
  <c r="T696" i="7" s="1"/>
  <c r="T699" i="7" s="1"/>
  <c r="U696" i="7" s="1"/>
  <c r="U699" i="7" s="1"/>
  <c r="V696" i="7" s="1"/>
  <c r="V699" i="7" s="1"/>
  <c r="W696" i="7" s="1"/>
  <c r="W699" i="7" s="1"/>
  <c r="X696" i="7" s="1"/>
  <c r="X699" i="7" s="1"/>
  <c r="Y696" i="7" s="1"/>
  <c r="Y699" i="7" s="1"/>
  <c r="Z696" i="7" s="1"/>
  <c r="Z699" i="7" s="1"/>
  <c r="AA696" i="7" s="1"/>
  <c r="AA699" i="7" s="1"/>
  <c r="AB696" i="7" s="1"/>
  <c r="AB699" i="7" s="1"/>
  <c r="AC696" i="7" s="1"/>
  <c r="AC699" i="7" s="1"/>
  <c r="AD696" i="7" s="1"/>
  <c r="AD699" i="7" s="1"/>
  <c r="AE696" i="7" s="1"/>
  <c r="AE699" i="7" s="1"/>
  <c r="AF696" i="7" s="1"/>
  <c r="AF699" i="7" s="1"/>
  <c r="AG696" i="7" s="1"/>
  <c r="AG699" i="7" s="1"/>
  <c r="AH696" i="7" s="1"/>
  <c r="AH699" i="7" s="1"/>
  <c r="AI696" i="7" s="1"/>
  <c r="AI699" i="7" s="1"/>
  <c r="AJ696" i="7" s="1"/>
  <c r="AJ699" i="7" s="1"/>
  <c r="AK696" i="7" s="1"/>
  <c r="AK699" i="7" s="1"/>
  <c r="AL696" i="7" s="1"/>
  <c r="AL699" i="7" s="1"/>
  <c r="AM696" i="7" s="1"/>
  <c r="AM699" i="7" s="1"/>
  <c r="AN696" i="7" s="1"/>
  <c r="AN699" i="7" s="1"/>
  <c r="AO696" i="7" s="1"/>
  <c r="AO699" i="7" s="1"/>
  <c r="AP696" i="7" s="1"/>
  <c r="AP699" i="7" s="1"/>
  <c r="C94" i="7"/>
  <c r="C667" i="7"/>
  <c r="D664" i="7" s="1"/>
  <c r="D667" i="7" s="1"/>
  <c r="E664" i="7" s="1"/>
  <c r="E667" i="7" s="1"/>
  <c r="F664" i="7" s="1"/>
  <c r="F667" i="7" s="1"/>
  <c r="G664" i="7" s="1"/>
  <c r="G667" i="7" s="1"/>
  <c r="H664" i="7" s="1"/>
  <c r="H667" i="7" s="1"/>
  <c r="I664" i="7" s="1"/>
  <c r="I667" i="7" s="1"/>
  <c r="J664" i="7" s="1"/>
  <c r="J667" i="7" s="1"/>
  <c r="K664" i="7" s="1"/>
  <c r="K667" i="7" s="1"/>
  <c r="L664" i="7" s="1"/>
  <c r="L667" i="7" s="1"/>
  <c r="M664" i="7" s="1"/>
  <c r="M667" i="7" s="1"/>
  <c r="N664" i="7" s="1"/>
  <c r="N667" i="7" s="1"/>
  <c r="O664" i="7" s="1"/>
  <c r="O667" i="7" s="1"/>
  <c r="P664" i="7" s="1"/>
  <c r="P667" i="7" s="1"/>
  <c r="Q664" i="7" s="1"/>
  <c r="Q667" i="7" s="1"/>
  <c r="R664" i="7" s="1"/>
  <c r="R667" i="7" s="1"/>
  <c r="S664" i="7" s="1"/>
  <c r="S667" i="7" s="1"/>
  <c r="T664" i="7" s="1"/>
  <c r="T667" i="7" s="1"/>
  <c r="U664" i="7" s="1"/>
  <c r="U667" i="7" s="1"/>
  <c r="V664" i="7" s="1"/>
  <c r="V667" i="7" s="1"/>
  <c r="W664" i="7" s="1"/>
  <c r="W667" i="7" s="1"/>
  <c r="X664" i="7" s="1"/>
  <c r="X667" i="7" s="1"/>
  <c r="Y664" i="7" s="1"/>
  <c r="Y667" i="7" s="1"/>
  <c r="Z664" i="7" s="1"/>
  <c r="Z667" i="7" s="1"/>
  <c r="AA664" i="7" s="1"/>
  <c r="AA667" i="7" s="1"/>
  <c r="AB664" i="7" s="1"/>
  <c r="AB667" i="7" s="1"/>
  <c r="AC664" i="7" s="1"/>
  <c r="AC667" i="7" s="1"/>
  <c r="AD664" i="7" s="1"/>
  <c r="AD667" i="7" s="1"/>
  <c r="AE664" i="7" s="1"/>
  <c r="AE667" i="7" s="1"/>
  <c r="AF664" i="7" s="1"/>
  <c r="AF667" i="7" s="1"/>
  <c r="AG664" i="7" s="1"/>
  <c r="AG667" i="7" s="1"/>
  <c r="AH664" i="7" s="1"/>
  <c r="AH667" i="7" s="1"/>
  <c r="AI664" i="7" s="1"/>
  <c r="AI667" i="7" s="1"/>
  <c r="AJ664" i="7" s="1"/>
  <c r="AJ667" i="7" s="1"/>
  <c r="AK664" i="7" s="1"/>
  <c r="AK667" i="7" s="1"/>
  <c r="AL664" i="7" s="1"/>
  <c r="AL667" i="7" s="1"/>
  <c r="AM664" i="7" s="1"/>
  <c r="AM667" i="7" s="1"/>
  <c r="AN664" i="7" s="1"/>
  <c r="AN667" i="7" s="1"/>
  <c r="AO664" i="7" s="1"/>
  <c r="AO667" i="7" s="1"/>
  <c r="AP664" i="7" s="1"/>
  <c r="AP667" i="7" s="1"/>
  <c r="C93" i="7"/>
  <c r="C635" i="7"/>
  <c r="D632" i="7" s="1"/>
  <c r="D635" i="7" s="1"/>
  <c r="E632" i="7" s="1"/>
  <c r="E635" i="7" s="1"/>
  <c r="F632" i="7" s="1"/>
  <c r="F635" i="7" s="1"/>
  <c r="G632" i="7" s="1"/>
  <c r="G635" i="7" s="1"/>
  <c r="H632" i="7" s="1"/>
  <c r="H635" i="7" s="1"/>
  <c r="I632" i="7" s="1"/>
  <c r="I635" i="7" s="1"/>
  <c r="J632" i="7" s="1"/>
  <c r="J635" i="7" s="1"/>
  <c r="K632" i="7" s="1"/>
  <c r="K635" i="7" s="1"/>
  <c r="L632" i="7" s="1"/>
  <c r="L635" i="7" s="1"/>
  <c r="M632" i="7" l="1"/>
  <c r="M635" i="7" s="1"/>
  <c r="N632" i="7" l="1"/>
  <c r="N635" i="7" s="1"/>
  <c r="AO581" i="7" l="1"/>
  <c r="AO25" i="7" s="1"/>
  <c r="AO577" i="7"/>
  <c r="AO542" i="7"/>
  <c r="AO127" i="7" s="1"/>
  <c r="AO573" i="7"/>
  <c r="AO569" i="7"/>
  <c r="AO536" i="7"/>
  <c r="AO126" i="7" s="1"/>
  <c r="AO209" i="7" s="1"/>
  <c r="AO42" i="7"/>
  <c r="AO62" i="7" s="1"/>
  <c r="AN577" i="7"/>
  <c r="AN542" i="7"/>
  <c r="AN127" i="7" s="1"/>
  <c r="AN581" i="7"/>
  <c r="AN25" i="7" s="1"/>
  <c r="AN569" i="7"/>
  <c r="AN536" i="7"/>
  <c r="AN126" i="7" s="1"/>
  <c r="AN209" i="7" s="1"/>
  <c r="AN573" i="7"/>
  <c r="AN42" i="7"/>
  <c r="AN62" i="7" s="1"/>
  <c r="AM573" i="7"/>
  <c r="AM569" i="7"/>
  <c r="AM536" i="7"/>
  <c r="AM126" i="7" s="1"/>
  <c r="AM209" i="7" s="1"/>
  <c r="AM42" i="7"/>
  <c r="AM62" i="7" s="1"/>
  <c r="AM581" i="7"/>
  <c r="AM25" i="7" s="1"/>
  <c r="AM577" i="7"/>
  <c r="AM542" i="7"/>
  <c r="AM127" i="7" s="1"/>
  <c r="AL577" i="7"/>
  <c r="AL542" i="7"/>
  <c r="AL127" i="7" s="1"/>
  <c r="AL581" i="7"/>
  <c r="AL25" i="7" s="1"/>
  <c r="AL569" i="7"/>
  <c r="AL536" i="7"/>
  <c r="AL126" i="7" s="1"/>
  <c r="AL209" i="7" s="1"/>
  <c r="AL573" i="7"/>
  <c r="AL42" i="7"/>
  <c r="AL62" i="7" s="1"/>
  <c r="AK581" i="7"/>
  <c r="AK25" i="7" s="1"/>
  <c r="AK577" i="7"/>
  <c r="AK573" i="7"/>
  <c r="AK569" i="7"/>
  <c r="AK536" i="7"/>
  <c r="AK126" i="7" s="1"/>
  <c r="AK209" i="7" s="1"/>
  <c r="AK42" i="7"/>
  <c r="AK62" i="7" s="1"/>
  <c r="AK542" i="7"/>
  <c r="AK127" i="7" s="1"/>
  <c r="AJ569" i="7"/>
  <c r="AJ536" i="7"/>
  <c r="AJ126" i="7" s="1"/>
  <c r="AJ209" i="7" s="1"/>
  <c r="AJ573" i="7"/>
  <c r="AJ42" i="7"/>
  <c r="AJ62" i="7" s="1"/>
  <c r="AJ577" i="7"/>
  <c r="AJ542" i="7"/>
  <c r="AJ127" i="7" s="1"/>
  <c r="AJ581" i="7"/>
  <c r="AJ25" i="7" s="1"/>
  <c r="AH569" i="7"/>
  <c r="AH536" i="7"/>
  <c r="AH126" i="7" s="1"/>
  <c r="AH209" i="7" s="1"/>
  <c r="AH573" i="7"/>
  <c r="AH42" i="7"/>
  <c r="AH62" i="7" s="1"/>
  <c r="AH577" i="7"/>
  <c r="AH542" i="7"/>
  <c r="AH127" i="7" s="1"/>
  <c r="AH581" i="7"/>
  <c r="AH25" i="7" s="1"/>
  <c r="AG573" i="7"/>
  <c r="AG569" i="7"/>
  <c r="AG536" i="7"/>
  <c r="AG126" i="7" s="1"/>
  <c r="AG209" i="7" s="1"/>
  <c r="AG42" i="7"/>
  <c r="AG62" i="7" s="1"/>
  <c r="AG581" i="7"/>
  <c r="AG25" i="7" s="1"/>
  <c r="AG577" i="7"/>
  <c r="AG542" i="7"/>
  <c r="AG127" i="7" s="1"/>
  <c r="AP577" i="7"/>
  <c r="AP542" i="7"/>
  <c r="AP127" i="7" s="1"/>
  <c r="AP581" i="7"/>
  <c r="AP25" i="7" s="1"/>
  <c r="AP569" i="7"/>
  <c r="AP536" i="7"/>
  <c r="AP126" i="7" s="1"/>
  <c r="AP209" i="7" s="1"/>
  <c r="AP573" i="7"/>
  <c r="AP42" i="7"/>
  <c r="AP62" i="7" s="1"/>
  <c r="AI573" i="7"/>
  <c r="AI536" i="7"/>
  <c r="AI126" i="7" s="1"/>
  <c r="AI209" i="7" s="1"/>
  <c r="AI581" i="7"/>
  <c r="AI25" i="7" s="1"/>
  <c r="AI577" i="7"/>
  <c r="AI542" i="7"/>
  <c r="AI127" i="7" s="1"/>
  <c r="AI569" i="7"/>
  <c r="AI42" i="7"/>
  <c r="AI62" i="7" s="1"/>
  <c r="C569" i="7"/>
  <c r="C577" i="7"/>
  <c r="C573" i="7"/>
  <c r="C536" i="7"/>
  <c r="C126" i="7" s="1"/>
  <c r="C209" i="7" s="1"/>
  <c r="C581" i="7"/>
  <c r="C25" i="7" s="1"/>
  <c r="C26" i="7" s="1"/>
  <c r="C28" i="7" s="1"/>
  <c r="C542" i="7"/>
  <c r="C127" i="7" s="1"/>
  <c r="G581" i="7"/>
  <c r="G25" i="7" s="1"/>
  <c r="G542" i="7"/>
  <c r="G127" i="7" s="1"/>
  <c r="G569" i="7"/>
  <c r="G42" i="7"/>
  <c r="G62" i="7" s="1"/>
  <c r="G577" i="7"/>
  <c r="G573" i="7"/>
  <c r="G536" i="7"/>
  <c r="G126" i="7" s="1"/>
  <c r="G209" i="7" s="1"/>
  <c r="K581" i="7"/>
  <c r="K25" i="7" s="1"/>
  <c r="K542" i="7"/>
  <c r="K127" i="7" s="1"/>
  <c r="K536" i="7"/>
  <c r="K126" i="7" s="1"/>
  <c r="K209" i="7" s="1"/>
  <c r="K569" i="7"/>
  <c r="K577" i="7"/>
  <c r="K573" i="7"/>
  <c r="K42" i="7"/>
  <c r="K62" i="7" s="1"/>
  <c r="O581" i="7"/>
  <c r="O25" i="7" s="1"/>
  <c r="O569" i="7"/>
  <c r="O42" i="7"/>
  <c r="O62" i="7" s="1"/>
  <c r="O577" i="7"/>
  <c r="O573" i="7"/>
  <c r="O536" i="7"/>
  <c r="O126" i="7" s="1"/>
  <c r="O209" i="7" s="1"/>
  <c r="O542" i="7"/>
  <c r="O127" i="7" s="1"/>
  <c r="S573" i="7"/>
  <c r="S536" i="7"/>
  <c r="S126" i="7" s="1"/>
  <c r="S209" i="7" s="1"/>
  <c r="S581" i="7"/>
  <c r="S25" i="7" s="1"/>
  <c r="S542" i="7"/>
  <c r="S127" i="7" s="1"/>
  <c r="S569" i="7"/>
  <c r="S42" i="7"/>
  <c r="S62" i="7" s="1"/>
  <c r="S577" i="7"/>
  <c r="W573" i="7"/>
  <c r="W536" i="7"/>
  <c r="W126" i="7" s="1"/>
  <c r="W209" i="7" s="1"/>
  <c r="W581" i="7"/>
  <c r="W25" i="7" s="1"/>
  <c r="W542" i="7"/>
  <c r="W127" i="7" s="1"/>
  <c r="W569" i="7"/>
  <c r="W42" i="7"/>
  <c r="W62" i="7" s="1"/>
  <c r="W577" i="7"/>
  <c r="AA573" i="7"/>
  <c r="AA536" i="7"/>
  <c r="AA126" i="7" s="1"/>
  <c r="AA209" i="7" s="1"/>
  <c r="AA581" i="7"/>
  <c r="AA25" i="7" s="1"/>
  <c r="AA542" i="7"/>
  <c r="AA127" i="7" s="1"/>
  <c r="AA569" i="7"/>
  <c r="AA42" i="7"/>
  <c r="AA62" i="7" s="1"/>
  <c r="AA577" i="7"/>
  <c r="AE581" i="7"/>
  <c r="AE25" i="7" s="1"/>
  <c r="AE542" i="7"/>
  <c r="AE127" i="7" s="1"/>
  <c r="AE569" i="7"/>
  <c r="AE42" i="7"/>
  <c r="AE62" i="7" s="1"/>
  <c r="AE577" i="7"/>
  <c r="AE573" i="7"/>
  <c r="AE536" i="7"/>
  <c r="AE126" i="7" s="1"/>
  <c r="AE209" i="7" s="1"/>
  <c r="F577" i="7"/>
  <c r="F581" i="7"/>
  <c r="F25" i="7" s="1"/>
  <c r="F536" i="7"/>
  <c r="F126" i="7" s="1"/>
  <c r="F209" i="7" s="1"/>
  <c r="F42" i="7"/>
  <c r="F62" i="7" s="1"/>
  <c r="F542" i="7"/>
  <c r="F127" i="7" s="1"/>
  <c r="F569" i="7"/>
  <c r="F573" i="7"/>
  <c r="J536" i="7"/>
  <c r="J126" i="7" s="1"/>
  <c r="J209" i="7" s="1"/>
  <c r="J42" i="7"/>
  <c r="J62" i="7" s="1"/>
  <c r="J542" i="7"/>
  <c r="J127" i="7" s="1"/>
  <c r="J569" i="7"/>
  <c r="J573" i="7"/>
  <c r="J577" i="7"/>
  <c r="J581" i="7"/>
  <c r="J25" i="7" s="1"/>
  <c r="N536" i="7"/>
  <c r="N126" i="7" s="1"/>
  <c r="N209" i="7" s="1"/>
  <c r="N42" i="7"/>
  <c r="N62" i="7" s="1"/>
  <c r="N542" i="7"/>
  <c r="N127" i="7" s="1"/>
  <c r="N569" i="7"/>
  <c r="N573" i="7"/>
  <c r="N577" i="7"/>
  <c r="N581" i="7"/>
  <c r="N25" i="7" s="1"/>
  <c r="R569" i="7"/>
  <c r="R573" i="7"/>
  <c r="R577" i="7"/>
  <c r="R581" i="7"/>
  <c r="R25" i="7" s="1"/>
  <c r="R536" i="7"/>
  <c r="R126" i="7" s="1"/>
  <c r="R209" i="7" s="1"/>
  <c r="R42" i="7"/>
  <c r="R62" i="7" s="1"/>
  <c r="R542" i="7"/>
  <c r="R127" i="7" s="1"/>
  <c r="V542" i="7"/>
  <c r="V127" i="7" s="1"/>
  <c r="V536" i="7"/>
  <c r="V126" i="7" s="1"/>
  <c r="V209" i="7" s="1"/>
  <c r="V42" i="7"/>
  <c r="V62" i="7" s="1"/>
  <c r="V577" i="7"/>
  <c r="V581" i="7"/>
  <c r="V25" i="7" s="1"/>
  <c r="V569" i="7"/>
  <c r="V573" i="7"/>
  <c r="Z542" i="7"/>
  <c r="Z127" i="7" s="1"/>
  <c r="Z569" i="7"/>
  <c r="Z573" i="7"/>
  <c r="Z581" i="7"/>
  <c r="Z25" i="7" s="1"/>
  <c r="Z577" i="7"/>
  <c r="Z536" i="7"/>
  <c r="Z126" i="7" s="1"/>
  <c r="Z209" i="7" s="1"/>
  <c r="Z42" i="7"/>
  <c r="Z62" i="7" s="1"/>
  <c r="AD536" i="7"/>
  <c r="AD126" i="7" s="1"/>
  <c r="AD209" i="7" s="1"/>
  <c r="AD42" i="7"/>
  <c r="AD62" i="7" s="1"/>
  <c r="AD542" i="7"/>
  <c r="AD127" i="7" s="1"/>
  <c r="AD569" i="7"/>
  <c r="AD573" i="7"/>
  <c r="AD577" i="7"/>
  <c r="AD581" i="7"/>
  <c r="AD25" i="7" s="1"/>
  <c r="E581" i="7"/>
  <c r="E25" i="7" s="1"/>
  <c r="E542" i="7"/>
  <c r="E127" i="7" s="1"/>
  <c r="E569" i="7"/>
  <c r="E42" i="7"/>
  <c r="E62" i="7" s="1"/>
  <c r="E577" i="7"/>
  <c r="E573" i="7"/>
  <c r="E536" i="7"/>
  <c r="E126" i="7" s="1"/>
  <c r="E209" i="7" s="1"/>
  <c r="I573" i="7"/>
  <c r="I536" i="7"/>
  <c r="I126" i="7" s="1"/>
  <c r="I209" i="7" s="1"/>
  <c r="I581" i="7"/>
  <c r="I25" i="7" s="1"/>
  <c r="I542" i="7"/>
  <c r="I127" i="7" s="1"/>
  <c r="I569" i="7"/>
  <c r="I42" i="7"/>
  <c r="I62" i="7" s="1"/>
  <c r="I577" i="7"/>
  <c r="M581" i="7"/>
  <c r="M25" i="7" s="1"/>
  <c r="M573" i="7"/>
  <c r="M536" i="7"/>
  <c r="M126" i="7" s="1"/>
  <c r="M209" i="7" s="1"/>
  <c r="M577" i="7"/>
  <c r="M542" i="7"/>
  <c r="M127" i="7" s="1"/>
  <c r="M569" i="7"/>
  <c r="M42" i="7"/>
  <c r="M62" i="7" s="1"/>
  <c r="Q581" i="7"/>
  <c r="Q25" i="7" s="1"/>
  <c r="Q542" i="7"/>
  <c r="Q127" i="7" s="1"/>
  <c r="Q569" i="7"/>
  <c r="Q42" i="7"/>
  <c r="Q62" i="7" s="1"/>
  <c r="Q577" i="7"/>
  <c r="Q573" i="7"/>
  <c r="Q536" i="7"/>
  <c r="Q126" i="7" s="1"/>
  <c r="Q209" i="7" s="1"/>
  <c r="U581" i="7"/>
  <c r="U25" i="7" s="1"/>
  <c r="U542" i="7"/>
  <c r="U127" i="7" s="1"/>
  <c r="U573" i="7"/>
  <c r="U42" i="7"/>
  <c r="U62" i="7" s="1"/>
  <c r="U577" i="7"/>
  <c r="U536" i="7"/>
  <c r="U126" i="7" s="1"/>
  <c r="U209" i="7" s="1"/>
  <c r="U569" i="7"/>
  <c r="Y581" i="7"/>
  <c r="Y25" i="7" s="1"/>
  <c r="Y542" i="7"/>
  <c r="Y127" i="7" s="1"/>
  <c r="Y569" i="7"/>
  <c r="Y42" i="7"/>
  <c r="Y62" i="7" s="1"/>
  <c r="Y577" i="7"/>
  <c r="Y573" i="7"/>
  <c r="Y536" i="7"/>
  <c r="Y126" i="7" s="1"/>
  <c r="Y209" i="7" s="1"/>
  <c r="AC581" i="7"/>
  <c r="AC25" i="7" s="1"/>
  <c r="AC542" i="7"/>
  <c r="AC127" i="7" s="1"/>
  <c r="AC569" i="7"/>
  <c r="AC42" i="7"/>
  <c r="AC62" i="7" s="1"/>
  <c r="AC577" i="7"/>
  <c r="AC573" i="7"/>
  <c r="AC536" i="7"/>
  <c r="AC126" i="7" s="1"/>
  <c r="AC209" i="7" s="1"/>
  <c r="D577" i="7"/>
  <c r="D581" i="7"/>
  <c r="D25" i="7" s="1"/>
  <c r="D536" i="7"/>
  <c r="D126" i="7" s="1"/>
  <c r="D209" i="7" s="1"/>
  <c r="D42" i="7"/>
  <c r="D62" i="7" s="1"/>
  <c r="D542" i="7"/>
  <c r="D127" i="7" s="1"/>
  <c r="D569" i="7"/>
  <c r="D573" i="7"/>
  <c r="H536" i="7"/>
  <c r="H126" i="7" s="1"/>
  <c r="H209" i="7" s="1"/>
  <c r="H42" i="7"/>
  <c r="H62" i="7" s="1"/>
  <c r="H569" i="7"/>
  <c r="H573" i="7"/>
  <c r="H577" i="7"/>
  <c r="H581" i="7"/>
  <c r="H25" i="7" s="1"/>
  <c r="H542" i="7"/>
  <c r="H127" i="7" s="1"/>
  <c r="L536" i="7"/>
  <c r="L126" i="7" s="1"/>
  <c r="L209" i="7" s="1"/>
  <c r="L42" i="7"/>
  <c r="L62" i="7" s="1"/>
  <c r="L542" i="7"/>
  <c r="L127" i="7" s="1"/>
  <c r="L569" i="7"/>
  <c r="L573" i="7"/>
  <c r="L577" i="7"/>
  <c r="L581" i="7"/>
  <c r="L25" i="7" s="1"/>
  <c r="P536" i="7"/>
  <c r="P126" i="7" s="1"/>
  <c r="P209" i="7" s="1"/>
  <c r="P42" i="7"/>
  <c r="P62" i="7" s="1"/>
  <c r="P542" i="7"/>
  <c r="P127" i="7" s="1"/>
  <c r="P569" i="7"/>
  <c r="P573" i="7"/>
  <c r="P577" i="7"/>
  <c r="P581" i="7"/>
  <c r="P25" i="7" s="1"/>
  <c r="T577" i="7"/>
  <c r="T581" i="7"/>
  <c r="T25" i="7" s="1"/>
  <c r="T573" i="7"/>
  <c r="T536" i="7"/>
  <c r="T126" i="7" s="1"/>
  <c r="T209" i="7" s="1"/>
  <c r="T542" i="7"/>
  <c r="T127" i="7" s="1"/>
  <c r="T569" i="7"/>
  <c r="T42" i="7"/>
  <c r="T62" i="7" s="1"/>
  <c r="X536" i="7"/>
  <c r="X126" i="7" s="1"/>
  <c r="X209" i="7" s="1"/>
  <c r="X42" i="7"/>
  <c r="X62" i="7" s="1"/>
  <c r="X542" i="7"/>
  <c r="X127" i="7" s="1"/>
  <c r="X569" i="7"/>
  <c r="X573" i="7"/>
  <c r="X577" i="7"/>
  <c r="X581" i="7"/>
  <c r="X25" i="7" s="1"/>
  <c r="AB577" i="7"/>
  <c r="AB581" i="7"/>
  <c r="AB25" i="7" s="1"/>
  <c r="AB573" i="7"/>
  <c r="AB569" i="7"/>
  <c r="AB542" i="7"/>
  <c r="AB127" i="7" s="1"/>
  <c r="AB536" i="7"/>
  <c r="AB126" i="7" s="1"/>
  <c r="AB209" i="7" s="1"/>
  <c r="AB42" i="7"/>
  <c r="AB62" i="7" s="1"/>
  <c r="AF536" i="7"/>
  <c r="AF126" i="7" s="1"/>
  <c r="AF209" i="7" s="1"/>
  <c r="AF42" i="7"/>
  <c r="AF62" i="7" s="1"/>
  <c r="AF542" i="7"/>
  <c r="AF127" i="7" s="1"/>
  <c r="AF569" i="7"/>
  <c r="AF573" i="7"/>
  <c r="AF577" i="7"/>
  <c r="AF581" i="7"/>
  <c r="AF25" i="7" s="1"/>
  <c r="O632" i="7"/>
  <c r="O635" i="7" s="1"/>
  <c r="C583" i="7" l="1"/>
  <c r="C64" i="7"/>
  <c r="AC626" i="7"/>
  <c r="Y626" i="7"/>
  <c r="Y627" i="7" s="1"/>
  <c r="Y92" i="7" s="1"/>
  <c r="U626" i="7"/>
  <c r="U627" i="7" s="1"/>
  <c r="U92" i="7" s="1"/>
  <c r="Q626" i="7"/>
  <c r="Q627" i="7" s="1"/>
  <c r="E626" i="7"/>
  <c r="E627" i="7" s="1"/>
  <c r="Z626" i="7"/>
  <c r="Z627" i="7" s="1"/>
  <c r="Z92" i="7" s="1"/>
  <c r="V626" i="7"/>
  <c r="V627" i="7" s="1"/>
  <c r="V92" i="7" s="1"/>
  <c r="R626" i="7"/>
  <c r="R627" i="7" s="1"/>
  <c r="AA626" i="7"/>
  <c r="AA628" i="7" s="1"/>
  <c r="AA92" i="7" s="1"/>
  <c r="W626" i="7"/>
  <c r="W627" i="7" s="1"/>
  <c r="W92" i="7" s="1"/>
  <c r="S626" i="7"/>
  <c r="S627" i="7" s="1"/>
  <c r="AL626" i="7"/>
  <c r="X626" i="7"/>
  <c r="X627" i="7" s="1"/>
  <c r="X92" i="7" s="1"/>
  <c r="AF626" i="7"/>
  <c r="T626" i="7"/>
  <c r="T627" i="7" s="1"/>
  <c r="D626" i="7"/>
  <c r="D627" i="7" s="1"/>
  <c r="M626" i="7"/>
  <c r="M627" i="7" s="1"/>
  <c r="AD626" i="7"/>
  <c r="N626" i="7"/>
  <c r="N627" i="7" s="1"/>
  <c r="J626" i="7"/>
  <c r="J627" i="7" s="1"/>
  <c r="AP626" i="7"/>
  <c r="AJ626" i="7"/>
  <c r="AO626" i="7"/>
  <c r="AB626" i="7"/>
  <c r="I626" i="7"/>
  <c r="I627" i="7" s="1"/>
  <c r="AE626" i="7"/>
  <c r="O626" i="7"/>
  <c r="O627" i="7" s="1"/>
  <c r="K626" i="7"/>
  <c r="K627" i="7" s="1"/>
  <c r="G626" i="7"/>
  <c r="G627" i="7" s="1"/>
  <c r="AI626" i="7"/>
  <c r="AH626" i="7"/>
  <c r="AK626" i="7"/>
  <c r="AM626" i="7"/>
  <c r="AN626" i="7"/>
  <c r="P626" i="7"/>
  <c r="P627" i="7" s="1"/>
  <c r="L626" i="7"/>
  <c r="L627" i="7" s="1"/>
  <c r="H626" i="7"/>
  <c r="H627" i="7" s="1"/>
  <c r="F626" i="7"/>
  <c r="F627" i="7" s="1"/>
  <c r="AG626" i="7"/>
  <c r="C626" i="7"/>
  <c r="C627" i="7" s="1"/>
  <c r="B149" i="7"/>
  <c r="AB234" i="7"/>
  <c r="AB194" i="7"/>
  <c r="AB73" i="7"/>
  <c r="X233" i="7"/>
  <c r="X193" i="7"/>
  <c r="X72" i="7"/>
  <c r="T231" i="7"/>
  <c r="T70" i="7"/>
  <c r="T191" i="7"/>
  <c r="T232" i="7"/>
  <c r="T192" i="7"/>
  <c r="T71" i="7"/>
  <c r="P231" i="7"/>
  <c r="P191" i="7"/>
  <c r="P70" i="7"/>
  <c r="L232" i="7"/>
  <c r="L192" i="7"/>
  <c r="L71" i="7"/>
  <c r="H231" i="7"/>
  <c r="H191" i="7"/>
  <c r="H70" i="7"/>
  <c r="D231" i="7"/>
  <c r="D70" i="7"/>
  <c r="D191" i="7"/>
  <c r="AC234" i="7"/>
  <c r="AC194" i="7"/>
  <c r="AC73" i="7"/>
  <c r="Y233" i="7"/>
  <c r="Y193" i="7"/>
  <c r="Y72" i="7"/>
  <c r="Q232" i="7"/>
  <c r="Q71" i="7"/>
  <c r="Q192" i="7"/>
  <c r="Q231" i="7"/>
  <c r="Q191" i="7"/>
  <c r="Q70" i="7"/>
  <c r="M234" i="7"/>
  <c r="M194" i="7"/>
  <c r="M73" i="7"/>
  <c r="I231" i="7"/>
  <c r="I191" i="7"/>
  <c r="I70" i="7"/>
  <c r="AD234" i="7"/>
  <c r="AD194" i="7"/>
  <c r="AD73" i="7"/>
  <c r="Z233" i="7"/>
  <c r="Z193" i="7"/>
  <c r="Z72" i="7"/>
  <c r="V234" i="7"/>
  <c r="V194" i="7"/>
  <c r="V73" i="7"/>
  <c r="R233" i="7"/>
  <c r="R72" i="7"/>
  <c r="R193" i="7"/>
  <c r="N234" i="7"/>
  <c r="N194" i="7"/>
  <c r="N73" i="7"/>
  <c r="J231" i="7"/>
  <c r="J70" i="7"/>
  <c r="J191" i="7"/>
  <c r="F234" i="7"/>
  <c r="F194" i="7"/>
  <c r="F73" i="7"/>
  <c r="AA233" i="7"/>
  <c r="AA193" i="7"/>
  <c r="AA72" i="7"/>
  <c r="W232" i="7"/>
  <c r="W192" i="7"/>
  <c r="W71" i="7"/>
  <c r="S231" i="7"/>
  <c r="S191" i="7"/>
  <c r="S70" i="7"/>
  <c r="O232" i="7"/>
  <c r="O192" i="7"/>
  <c r="O71" i="7"/>
  <c r="O231" i="7"/>
  <c r="O70" i="7"/>
  <c r="O191" i="7"/>
  <c r="K232" i="7"/>
  <c r="K71" i="7"/>
  <c r="K192" i="7"/>
  <c r="G234" i="7"/>
  <c r="G194" i="7"/>
  <c r="G73" i="7"/>
  <c r="AI234" i="7"/>
  <c r="AI194" i="7"/>
  <c r="AI73" i="7"/>
  <c r="AP232" i="7"/>
  <c r="AP192" i="7"/>
  <c r="AP71" i="7"/>
  <c r="AG234" i="7"/>
  <c r="AG194" i="7"/>
  <c r="AG73" i="7"/>
  <c r="AG232" i="7"/>
  <c r="AG192" i="7"/>
  <c r="AG71" i="7"/>
  <c r="AJ234" i="7"/>
  <c r="AJ194" i="7"/>
  <c r="AJ73" i="7"/>
  <c r="AJ232" i="7"/>
  <c r="AJ192" i="7"/>
  <c r="AJ71" i="7"/>
  <c r="AK232" i="7"/>
  <c r="AK71" i="7"/>
  <c r="AK192" i="7"/>
  <c r="AL233" i="7"/>
  <c r="AL193" i="7"/>
  <c r="AL72" i="7"/>
  <c r="AM233" i="7"/>
  <c r="AM193" i="7"/>
  <c r="AM72" i="7"/>
  <c r="AM231" i="7"/>
  <c r="AM191" i="7"/>
  <c r="AM70" i="7"/>
  <c r="AN234" i="7"/>
  <c r="AN194" i="7"/>
  <c r="AN73" i="7"/>
  <c r="AB231" i="7"/>
  <c r="AB191" i="7"/>
  <c r="AB70" i="7"/>
  <c r="P234" i="7"/>
  <c r="P194" i="7"/>
  <c r="P73" i="7"/>
  <c r="L231" i="7"/>
  <c r="L70" i="7"/>
  <c r="L191" i="7"/>
  <c r="H234" i="7"/>
  <c r="H194" i="7"/>
  <c r="H73" i="7"/>
  <c r="AC232" i="7"/>
  <c r="AC71" i="7"/>
  <c r="AC192" i="7"/>
  <c r="AC231" i="7"/>
  <c r="AC191" i="7"/>
  <c r="AC70" i="7"/>
  <c r="Y234" i="7"/>
  <c r="Y194" i="7"/>
  <c r="Y73" i="7"/>
  <c r="U233" i="7"/>
  <c r="U193" i="7"/>
  <c r="U72" i="7"/>
  <c r="M233" i="7"/>
  <c r="M193" i="7"/>
  <c r="M72" i="7"/>
  <c r="I232" i="7"/>
  <c r="I71" i="7"/>
  <c r="I192" i="7"/>
  <c r="E233" i="7"/>
  <c r="E193" i="7"/>
  <c r="E72" i="7"/>
  <c r="AD233" i="7"/>
  <c r="AD193" i="7"/>
  <c r="AD72" i="7"/>
  <c r="Z234" i="7"/>
  <c r="Z194" i="7"/>
  <c r="Z73" i="7"/>
  <c r="V233" i="7"/>
  <c r="V193" i="7"/>
  <c r="V72" i="7"/>
  <c r="R232" i="7"/>
  <c r="R192" i="7"/>
  <c r="R71" i="7"/>
  <c r="N233" i="7"/>
  <c r="N72" i="7"/>
  <c r="N193" i="7"/>
  <c r="J234" i="7"/>
  <c r="J194" i="7"/>
  <c r="J73" i="7"/>
  <c r="F232" i="7"/>
  <c r="F192" i="7"/>
  <c r="F71" i="7"/>
  <c r="F233" i="7"/>
  <c r="F72" i="7"/>
  <c r="F193" i="7"/>
  <c r="AE233" i="7"/>
  <c r="AE193" i="7"/>
  <c r="AE72" i="7"/>
  <c r="AA234" i="7"/>
  <c r="AA194" i="7"/>
  <c r="AA73" i="7"/>
  <c r="W233" i="7"/>
  <c r="W193" i="7"/>
  <c r="W72" i="7"/>
  <c r="S232" i="7"/>
  <c r="S192" i="7"/>
  <c r="S71" i="7"/>
  <c r="O233" i="7"/>
  <c r="O193" i="7"/>
  <c r="O72" i="7"/>
  <c r="G232" i="7"/>
  <c r="G192" i="7"/>
  <c r="G71" i="7"/>
  <c r="G231" i="7"/>
  <c r="G70" i="7"/>
  <c r="G191" i="7"/>
  <c r="C232" i="7"/>
  <c r="C192" i="7"/>
  <c r="C71" i="7"/>
  <c r="C231" i="7"/>
  <c r="C191" i="7"/>
  <c r="C70" i="7"/>
  <c r="AP234" i="7"/>
  <c r="AP194" i="7"/>
  <c r="AP73" i="7"/>
  <c r="AH233" i="7"/>
  <c r="AH193" i="7"/>
  <c r="AH72" i="7"/>
  <c r="AH231" i="7"/>
  <c r="AH70" i="7"/>
  <c r="AH191" i="7"/>
  <c r="AL232" i="7"/>
  <c r="AL192" i="7"/>
  <c r="AL71" i="7"/>
  <c r="AM234" i="7"/>
  <c r="AM194" i="7"/>
  <c r="AM73" i="7"/>
  <c r="AM232" i="7"/>
  <c r="AM192" i="7"/>
  <c r="AM71" i="7"/>
  <c r="AN231" i="7"/>
  <c r="AN191" i="7"/>
  <c r="AN70" i="7"/>
  <c r="AO231" i="7"/>
  <c r="AO191" i="7"/>
  <c r="AO70" i="7"/>
  <c r="X232" i="7"/>
  <c r="X192" i="7"/>
  <c r="X71" i="7"/>
  <c r="D234" i="7"/>
  <c r="D194" i="7"/>
  <c r="D73" i="7"/>
  <c r="Y232" i="7"/>
  <c r="Y71" i="7"/>
  <c r="Y192" i="7"/>
  <c r="Y231" i="7"/>
  <c r="Y191" i="7"/>
  <c r="Y70" i="7"/>
  <c r="U231" i="7"/>
  <c r="U191" i="7"/>
  <c r="U70" i="7"/>
  <c r="U234" i="7"/>
  <c r="U194" i="7"/>
  <c r="U73" i="7"/>
  <c r="Q233" i="7"/>
  <c r="Q193" i="7"/>
  <c r="Q72" i="7"/>
  <c r="M231" i="7"/>
  <c r="M191" i="7"/>
  <c r="M70" i="7"/>
  <c r="I233" i="7"/>
  <c r="I193" i="7"/>
  <c r="I72" i="7"/>
  <c r="E234" i="7"/>
  <c r="E194" i="7"/>
  <c r="E73" i="7"/>
  <c r="AD232" i="7"/>
  <c r="AD192" i="7"/>
  <c r="AD71" i="7"/>
  <c r="Z232" i="7"/>
  <c r="Z192" i="7"/>
  <c r="Z71" i="7"/>
  <c r="V232" i="7"/>
  <c r="V192" i="7"/>
  <c r="V71" i="7"/>
  <c r="R234" i="7"/>
  <c r="R194" i="7"/>
  <c r="R73" i="7"/>
  <c r="R231" i="7"/>
  <c r="R70" i="7"/>
  <c r="R191" i="7"/>
  <c r="N232" i="7"/>
  <c r="N192" i="7"/>
  <c r="N71" i="7"/>
  <c r="J233" i="7"/>
  <c r="J193" i="7"/>
  <c r="J72" i="7"/>
  <c r="F231" i="7"/>
  <c r="F70" i="7"/>
  <c r="F191" i="7"/>
  <c r="AE234" i="7"/>
  <c r="AE194" i="7"/>
  <c r="AE73" i="7"/>
  <c r="AA231" i="7"/>
  <c r="AA191" i="7"/>
  <c r="AA70" i="7"/>
  <c r="W234" i="7"/>
  <c r="W194" i="7"/>
  <c r="W73" i="7"/>
  <c r="S233" i="7"/>
  <c r="S193" i="7"/>
  <c r="S72" i="7"/>
  <c r="O234" i="7"/>
  <c r="O194" i="7"/>
  <c r="O73" i="7"/>
  <c r="K233" i="7"/>
  <c r="K193" i="7"/>
  <c r="K72" i="7"/>
  <c r="AI232" i="7"/>
  <c r="AI192" i="7"/>
  <c r="AI71" i="7"/>
  <c r="AP231" i="7"/>
  <c r="AP191" i="7"/>
  <c r="AP70" i="7"/>
  <c r="AJ233" i="7"/>
  <c r="AJ193" i="7"/>
  <c r="AJ72" i="7"/>
  <c r="AJ231" i="7"/>
  <c r="AJ70" i="7"/>
  <c r="AJ191" i="7"/>
  <c r="AK233" i="7"/>
  <c r="AK193" i="7"/>
  <c r="AK72" i="7"/>
  <c r="AL234" i="7"/>
  <c r="AL194" i="7"/>
  <c r="AL73" i="7"/>
  <c r="AN233" i="7"/>
  <c r="AN193" i="7"/>
  <c r="AN72" i="7"/>
  <c r="AO232" i="7"/>
  <c r="AO192" i="7"/>
  <c r="AO71" i="7"/>
  <c r="AO233" i="7"/>
  <c r="AO193" i="7"/>
  <c r="AO72" i="7"/>
  <c r="AF231" i="7"/>
  <c r="AF191" i="7"/>
  <c r="AF70" i="7"/>
  <c r="AF234" i="7"/>
  <c r="AF194" i="7"/>
  <c r="AF73" i="7"/>
  <c r="AB233" i="7"/>
  <c r="AB193" i="7"/>
  <c r="AB72" i="7"/>
  <c r="AF233" i="7"/>
  <c r="AF193" i="7"/>
  <c r="AF72" i="7"/>
  <c r="AB232" i="7"/>
  <c r="AB192" i="7"/>
  <c r="AB71" i="7"/>
  <c r="X231" i="7"/>
  <c r="X191" i="7"/>
  <c r="X70" i="7"/>
  <c r="T234" i="7"/>
  <c r="T194" i="7"/>
  <c r="T73" i="7"/>
  <c r="P233" i="7"/>
  <c r="P193" i="7"/>
  <c r="P72" i="7"/>
  <c r="L234" i="7"/>
  <c r="L194" i="7"/>
  <c r="L73" i="7"/>
  <c r="H233" i="7"/>
  <c r="H193" i="7"/>
  <c r="H72" i="7"/>
  <c r="AF232" i="7"/>
  <c r="AF192" i="7"/>
  <c r="AF71" i="7"/>
  <c r="X234" i="7"/>
  <c r="X194" i="7"/>
  <c r="X73" i="7"/>
  <c r="T233" i="7"/>
  <c r="T193" i="7"/>
  <c r="T72" i="7"/>
  <c r="P232" i="7"/>
  <c r="P192" i="7"/>
  <c r="P71" i="7"/>
  <c r="L233" i="7"/>
  <c r="L193" i="7"/>
  <c r="L72" i="7"/>
  <c r="H232" i="7"/>
  <c r="H192" i="7"/>
  <c r="H71" i="7"/>
  <c r="D232" i="7"/>
  <c r="D192" i="7"/>
  <c r="D71" i="7"/>
  <c r="D233" i="7"/>
  <c r="D193" i="7"/>
  <c r="D72" i="7"/>
  <c r="AC233" i="7"/>
  <c r="AC193" i="7"/>
  <c r="AC72" i="7"/>
  <c r="U232" i="7"/>
  <c r="U192" i="7"/>
  <c r="U71" i="7"/>
  <c r="Q234" i="7"/>
  <c r="Q194" i="7"/>
  <c r="Q73" i="7"/>
  <c r="M232" i="7"/>
  <c r="M192" i="7"/>
  <c r="M71" i="7"/>
  <c r="I234" i="7"/>
  <c r="I194" i="7"/>
  <c r="I73" i="7"/>
  <c r="E232" i="7"/>
  <c r="E192" i="7"/>
  <c r="E71" i="7"/>
  <c r="E231" i="7"/>
  <c r="E191" i="7"/>
  <c r="E70" i="7"/>
  <c r="AD231" i="7"/>
  <c r="AD191" i="7"/>
  <c r="AD70" i="7"/>
  <c r="Z231" i="7"/>
  <c r="Z191" i="7"/>
  <c r="Z70" i="7"/>
  <c r="V231" i="7"/>
  <c r="V191" i="7"/>
  <c r="V70" i="7"/>
  <c r="N231" i="7"/>
  <c r="N70" i="7"/>
  <c r="N191" i="7"/>
  <c r="J232" i="7"/>
  <c r="J192" i="7"/>
  <c r="J71" i="7"/>
  <c r="AE232" i="7"/>
  <c r="AE192" i="7"/>
  <c r="AE71" i="7"/>
  <c r="AE231" i="7"/>
  <c r="AE191" i="7"/>
  <c r="AE70" i="7"/>
  <c r="AA232" i="7"/>
  <c r="AA71" i="7"/>
  <c r="AA192" i="7"/>
  <c r="W231" i="7"/>
  <c r="W191" i="7"/>
  <c r="W70" i="7"/>
  <c r="S234" i="7"/>
  <c r="S194" i="7"/>
  <c r="S73" i="7"/>
  <c r="K231" i="7"/>
  <c r="K70" i="7"/>
  <c r="K191" i="7"/>
  <c r="K234" i="7"/>
  <c r="K194" i="7"/>
  <c r="K73" i="7"/>
  <c r="G233" i="7"/>
  <c r="G193" i="7"/>
  <c r="G72" i="7"/>
  <c r="C234" i="7"/>
  <c r="C73" i="7"/>
  <c r="C194" i="7"/>
  <c r="C233" i="7"/>
  <c r="C72" i="7"/>
  <c r="C193" i="7"/>
  <c r="AI231" i="7"/>
  <c r="AI191" i="7"/>
  <c r="AI70" i="7"/>
  <c r="AI233" i="7"/>
  <c r="AI193" i="7"/>
  <c r="AI72" i="7"/>
  <c r="AP233" i="7"/>
  <c r="AP193" i="7"/>
  <c r="AP72" i="7"/>
  <c r="AG233" i="7"/>
  <c r="AG193" i="7"/>
  <c r="AG72" i="7"/>
  <c r="AG231" i="7"/>
  <c r="AG191" i="7"/>
  <c r="AG70" i="7"/>
  <c r="AH234" i="7"/>
  <c r="AH194" i="7"/>
  <c r="AH73" i="7"/>
  <c r="AH232" i="7"/>
  <c r="AH192" i="7"/>
  <c r="AH71" i="7"/>
  <c r="AK231" i="7"/>
  <c r="AK191" i="7"/>
  <c r="AK70" i="7"/>
  <c r="AK234" i="7"/>
  <c r="AK194" i="7"/>
  <c r="AK73" i="7"/>
  <c r="AL231" i="7"/>
  <c r="AL191" i="7"/>
  <c r="AL70" i="7"/>
  <c r="AN232" i="7"/>
  <c r="AN192" i="7"/>
  <c r="AN71" i="7"/>
  <c r="AO234" i="7"/>
  <c r="AO194" i="7"/>
  <c r="AO73" i="7"/>
  <c r="AI26" i="7"/>
  <c r="AI583" i="7"/>
  <c r="AI128" i="7"/>
  <c r="AP128" i="7"/>
  <c r="AG26" i="7"/>
  <c r="AG583" i="7"/>
  <c r="AH26" i="7"/>
  <c r="AH583" i="7"/>
  <c r="AJ26" i="7"/>
  <c r="AJ583" i="7"/>
  <c r="AK128" i="7"/>
  <c r="AL128" i="7"/>
  <c r="AM26" i="7"/>
  <c r="AM583" i="7"/>
  <c r="AN128" i="7"/>
  <c r="AO128" i="7"/>
  <c r="AP26" i="7"/>
  <c r="AP583" i="7"/>
  <c r="AG128" i="7"/>
  <c r="AH128" i="7"/>
  <c r="AJ128" i="7"/>
  <c r="AK26" i="7"/>
  <c r="AK583" i="7"/>
  <c r="AL26" i="7"/>
  <c r="AL583" i="7"/>
  <c r="AM128" i="7"/>
  <c r="AN26" i="7"/>
  <c r="AN583" i="7"/>
  <c r="AO26" i="7"/>
  <c r="AO583" i="7"/>
  <c r="AB26" i="7"/>
  <c r="AB583" i="7"/>
  <c r="T128" i="7"/>
  <c r="L26" i="7"/>
  <c r="L28" i="7" s="1"/>
  <c r="L583" i="7"/>
  <c r="L128" i="7"/>
  <c r="AC26" i="7"/>
  <c r="AC583" i="7"/>
  <c r="Y128" i="7"/>
  <c r="U128" i="7"/>
  <c r="Q128" i="7"/>
  <c r="E26" i="7"/>
  <c r="E28" i="7" s="1"/>
  <c r="E583" i="7"/>
  <c r="Z128" i="7"/>
  <c r="R26" i="7"/>
  <c r="R28" i="7" s="1"/>
  <c r="R583" i="7"/>
  <c r="J26" i="7"/>
  <c r="J28" i="7" s="1"/>
  <c r="J583" i="7"/>
  <c r="J128" i="7"/>
  <c r="F26" i="7"/>
  <c r="F28" i="7" s="1"/>
  <c r="F583" i="7"/>
  <c r="F128" i="7"/>
  <c r="AE26" i="7"/>
  <c r="AE583" i="7"/>
  <c r="W26" i="7"/>
  <c r="W28" i="7" s="1"/>
  <c r="W583" i="7"/>
  <c r="W128" i="7"/>
  <c r="O128" i="7"/>
  <c r="K26" i="7"/>
  <c r="K28" i="7" s="1"/>
  <c r="K583" i="7"/>
  <c r="G26" i="7"/>
  <c r="G28" i="7" s="1"/>
  <c r="G583" i="7"/>
  <c r="AF26" i="7"/>
  <c r="AF583" i="7"/>
  <c r="AF128" i="7"/>
  <c r="AB128" i="7"/>
  <c r="X26" i="7"/>
  <c r="X28" i="7" s="1"/>
  <c r="X583" i="7"/>
  <c r="X128" i="7"/>
  <c r="T26" i="7"/>
  <c r="T28" i="7" s="1"/>
  <c r="T583" i="7"/>
  <c r="P26" i="7"/>
  <c r="P28" i="7" s="1"/>
  <c r="P583" i="7"/>
  <c r="P128" i="7"/>
  <c r="H26" i="7"/>
  <c r="H28" i="7" s="1"/>
  <c r="H583" i="7"/>
  <c r="H128" i="7"/>
  <c r="D26" i="7"/>
  <c r="D28" i="7" s="1"/>
  <c r="D583" i="7"/>
  <c r="D128" i="7"/>
  <c r="AC128" i="7"/>
  <c r="Y26" i="7"/>
  <c r="Y28" i="7" s="1"/>
  <c r="Y583" i="7"/>
  <c r="U26" i="7"/>
  <c r="U28" i="7" s="1"/>
  <c r="U583" i="7"/>
  <c r="Q26" i="7"/>
  <c r="Q28" i="7" s="1"/>
  <c r="Q583" i="7"/>
  <c r="M26" i="7"/>
  <c r="M28" i="7" s="1"/>
  <c r="M583" i="7"/>
  <c r="M128" i="7"/>
  <c r="I26" i="7"/>
  <c r="I28" i="7" s="1"/>
  <c r="I583" i="7"/>
  <c r="I128" i="7"/>
  <c r="E128" i="7"/>
  <c r="AD26" i="7"/>
  <c r="AD583" i="7"/>
  <c r="AD128" i="7"/>
  <c r="Z26" i="7"/>
  <c r="Z28" i="7" s="1"/>
  <c r="Z583" i="7"/>
  <c r="V26" i="7"/>
  <c r="V28" i="7" s="1"/>
  <c r="V583" i="7"/>
  <c r="V128" i="7"/>
  <c r="R128" i="7"/>
  <c r="N26" i="7"/>
  <c r="N28" i="7" s="1"/>
  <c r="N583" i="7"/>
  <c r="N128" i="7"/>
  <c r="AE128" i="7"/>
  <c r="AA26" i="7"/>
  <c r="AA28" i="7" s="1"/>
  <c r="AA583" i="7"/>
  <c r="AA128" i="7"/>
  <c r="S26" i="7"/>
  <c r="S28" i="7" s="1"/>
  <c r="S583" i="7"/>
  <c r="S128" i="7"/>
  <c r="O26" i="7"/>
  <c r="O28" i="7" s="1"/>
  <c r="O583" i="7"/>
  <c r="K128" i="7"/>
  <c r="G128" i="7"/>
  <c r="C128" i="7"/>
  <c r="P632" i="7"/>
  <c r="P635" i="7" s="1"/>
  <c r="F92" i="7" l="1"/>
  <c r="F594" i="7"/>
  <c r="H92" i="7"/>
  <c r="H594" i="7"/>
  <c r="G92" i="7"/>
  <c r="G594" i="7"/>
  <c r="I92" i="7"/>
  <c r="I594" i="7"/>
  <c r="M92" i="7"/>
  <c r="M594" i="7"/>
  <c r="E92" i="7"/>
  <c r="E594" i="7"/>
  <c r="C92" i="7"/>
  <c r="C594" i="7"/>
  <c r="L92" i="7"/>
  <c r="L594" i="7"/>
  <c r="K92" i="7"/>
  <c r="K594" i="7"/>
  <c r="J92" i="7"/>
  <c r="J594" i="7"/>
  <c r="D92" i="7"/>
  <c r="D594" i="7"/>
  <c r="R92" i="7"/>
  <c r="R594" i="7"/>
  <c r="Q92" i="7"/>
  <c r="Q594" i="7"/>
  <c r="P92" i="7"/>
  <c r="P594" i="7"/>
  <c r="O92" i="7"/>
  <c r="O594" i="7"/>
  <c r="N92" i="7"/>
  <c r="N594" i="7"/>
  <c r="T92" i="7"/>
  <c r="T594" i="7"/>
  <c r="S92" i="7"/>
  <c r="S594" i="7"/>
  <c r="B153" i="7"/>
  <c r="B152" i="7"/>
  <c r="V235" i="7"/>
  <c r="V236" i="7" s="1"/>
  <c r="Z235" i="7"/>
  <c r="Z236" i="7" s="1"/>
  <c r="C195" i="7"/>
  <c r="F235" i="7"/>
  <c r="F236" i="7" s="1"/>
  <c r="AJ235" i="7"/>
  <c r="AJ236" i="7" s="1"/>
  <c r="Y235" i="7"/>
  <c r="Y236" i="7" s="1"/>
  <c r="AA235" i="7"/>
  <c r="AA236" i="7" s="1"/>
  <c r="AK235" i="7"/>
  <c r="AK236" i="7" s="1"/>
  <c r="K235" i="7"/>
  <c r="K236" i="7" s="1"/>
  <c r="N235" i="7"/>
  <c r="N236" i="7" s="1"/>
  <c r="AL235" i="7"/>
  <c r="AL236" i="7" s="1"/>
  <c r="W235" i="7"/>
  <c r="W236" i="7" s="1"/>
  <c r="AD235" i="7"/>
  <c r="AD236" i="7" s="1"/>
  <c r="X235" i="7"/>
  <c r="X236" i="7" s="1"/>
  <c r="R235" i="7"/>
  <c r="R236" i="7" s="1"/>
  <c r="AN235" i="7"/>
  <c r="AN236" i="7" s="1"/>
  <c r="AH235" i="7"/>
  <c r="AH236" i="7" s="1"/>
  <c r="L235" i="7"/>
  <c r="L236" i="7" s="1"/>
  <c r="AM235" i="7"/>
  <c r="AM236" i="7" s="1"/>
  <c r="O235" i="7"/>
  <c r="O236" i="7" s="1"/>
  <c r="I235" i="7"/>
  <c r="I236" i="7" s="1"/>
  <c r="M235" i="7"/>
  <c r="M236" i="7" s="1"/>
  <c r="AO235" i="7"/>
  <c r="AO236" i="7" s="1"/>
  <c r="H235" i="7"/>
  <c r="H236" i="7" s="1"/>
  <c r="T235" i="7"/>
  <c r="T236" i="7" s="1"/>
  <c r="AE235" i="7"/>
  <c r="AE236" i="7" s="1"/>
  <c r="U235" i="7"/>
  <c r="U236" i="7" s="1"/>
  <c r="AB235" i="7"/>
  <c r="AB236" i="7" s="1"/>
  <c r="S235" i="7"/>
  <c r="S236" i="7" s="1"/>
  <c r="J235" i="7"/>
  <c r="J236" i="7" s="1"/>
  <c r="Q235" i="7"/>
  <c r="Q236" i="7" s="1"/>
  <c r="D235" i="7"/>
  <c r="D236" i="7" s="1"/>
  <c r="AG235" i="7"/>
  <c r="AG236" i="7" s="1"/>
  <c r="AI235" i="7"/>
  <c r="AI236" i="7" s="1"/>
  <c r="E235" i="7"/>
  <c r="E236" i="7" s="1"/>
  <c r="AF235" i="7"/>
  <c r="AF236" i="7" s="1"/>
  <c r="AP235" i="7"/>
  <c r="AP236" i="7" s="1"/>
  <c r="G235" i="7"/>
  <c r="G236" i="7" s="1"/>
  <c r="AC235" i="7"/>
  <c r="AC236" i="7" s="1"/>
  <c r="P235" i="7"/>
  <c r="P236" i="7" s="1"/>
  <c r="S74" i="7"/>
  <c r="AF74" i="7"/>
  <c r="AP74" i="7"/>
  <c r="AK195" i="7"/>
  <c r="AK196" i="7" s="1"/>
  <c r="AL74" i="7"/>
  <c r="S195" i="7"/>
  <c r="S196" i="7" s="1"/>
  <c r="AJ74" i="7"/>
  <c r="AJ195" i="7"/>
  <c r="AJ196" i="7" s="1"/>
  <c r="AK74" i="7"/>
  <c r="AP195" i="7"/>
  <c r="AP196" i="7" s="1"/>
  <c r="AH74" i="7"/>
  <c r="AH195" i="7"/>
  <c r="AH196" i="7" s="1"/>
  <c r="AO195" i="7"/>
  <c r="AO196" i="7" s="1"/>
  <c r="AN195" i="7"/>
  <c r="AN196" i="7" s="1"/>
  <c r="AN74" i="7"/>
  <c r="AL195" i="7"/>
  <c r="AL196" i="7" s="1"/>
  <c r="AM74" i="7"/>
  <c r="AM195" i="7"/>
  <c r="AM196" i="7" s="1"/>
  <c r="AG195" i="7"/>
  <c r="AG196" i="7" s="1"/>
  <c r="AG74" i="7"/>
  <c r="AI74" i="7"/>
  <c r="AI195" i="7"/>
  <c r="AI196" i="7" s="1"/>
  <c r="AO74" i="7"/>
  <c r="I74" i="7"/>
  <c r="P74" i="7"/>
  <c r="X195" i="7"/>
  <c r="X196" i="7" s="1"/>
  <c r="Z74" i="7"/>
  <c r="I195" i="7"/>
  <c r="I196" i="7" s="1"/>
  <c r="H74" i="7"/>
  <c r="N74" i="7"/>
  <c r="O74" i="7"/>
  <c r="V74" i="7"/>
  <c r="Q74" i="7"/>
  <c r="Y195" i="7"/>
  <c r="Y196" i="7" s="1"/>
  <c r="H195" i="7"/>
  <c r="H196" i="7" s="1"/>
  <c r="AA74" i="7"/>
  <c r="N195" i="7"/>
  <c r="N196" i="7" s="1"/>
  <c r="AD195" i="7"/>
  <c r="AD196" i="7" s="1"/>
  <c r="P195" i="7"/>
  <c r="P196" i="7" s="1"/>
  <c r="M195" i="7"/>
  <c r="M196" i="7" s="1"/>
  <c r="U74" i="7"/>
  <c r="D195" i="7"/>
  <c r="D196" i="7" s="1"/>
  <c r="T74" i="7"/>
  <c r="G74" i="7"/>
  <c r="K195" i="7"/>
  <c r="K196" i="7" s="1"/>
  <c r="W195" i="7"/>
  <c r="W196" i="7" s="1"/>
  <c r="AE195" i="7"/>
  <c r="AE196" i="7" s="1"/>
  <c r="F74" i="7"/>
  <c r="J195" i="7"/>
  <c r="J196" i="7" s="1"/>
  <c r="R74" i="7"/>
  <c r="E195" i="7"/>
  <c r="E196" i="7" s="1"/>
  <c r="AC195" i="7"/>
  <c r="AC196" i="7" s="1"/>
  <c r="L74" i="7"/>
  <c r="AB195" i="7"/>
  <c r="AB196" i="7" s="1"/>
  <c r="O195" i="7"/>
  <c r="O196" i="7" s="1"/>
  <c r="AA195" i="7"/>
  <c r="AA196" i="7" s="1"/>
  <c r="V195" i="7"/>
  <c r="V196" i="7" s="1"/>
  <c r="Z195" i="7"/>
  <c r="Z196" i="7" s="1"/>
  <c r="AD74" i="7"/>
  <c r="M74" i="7"/>
  <c r="Q195" i="7"/>
  <c r="Q196" i="7" s="1"/>
  <c r="U195" i="7"/>
  <c r="U196" i="7" s="1"/>
  <c r="Y74" i="7"/>
  <c r="D74" i="7"/>
  <c r="T195" i="7"/>
  <c r="T196" i="7" s="1"/>
  <c r="X74" i="7"/>
  <c r="AF195" i="7"/>
  <c r="AF196" i="7" s="1"/>
  <c r="C74" i="7"/>
  <c r="C235" i="7"/>
  <c r="G195" i="7"/>
  <c r="G196" i="7" s="1"/>
  <c r="K74" i="7"/>
  <c r="W74" i="7"/>
  <c r="AE74" i="7"/>
  <c r="F195" i="7"/>
  <c r="F196" i="7" s="1"/>
  <c r="J74" i="7"/>
  <c r="R195" i="7"/>
  <c r="R196" i="7" s="1"/>
  <c r="E74" i="7"/>
  <c r="AC74" i="7"/>
  <c r="L195" i="7"/>
  <c r="L196" i="7" s="1"/>
  <c r="AB74" i="7"/>
  <c r="Q632" i="7"/>
  <c r="Q635" i="7" s="1"/>
  <c r="B154" i="7" l="1"/>
  <c r="F11" i="1" s="1"/>
  <c r="R632" i="7"/>
  <c r="R635" i="7" s="1"/>
  <c r="AO623" i="7" l="1"/>
  <c r="AM623" i="7"/>
  <c r="AL623" i="7"/>
  <c r="AK623" i="7"/>
  <c r="AJ623" i="7"/>
  <c r="AI623" i="7"/>
  <c r="AF623" i="7"/>
  <c r="AN623" i="7"/>
  <c r="AH623" i="7"/>
  <c r="AG623" i="7"/>
  <c r="AE623" i="7"/>
  <c r="AC623" i="7"/>
  <c r="AA623" i="7"/>
  <c r="Y623" i="7"/>
  <c r="W623" i="7"/>
  <c r="U623" i="7"/>
  <c r="S623" i="7"/>
  <c r="Q623" i="7"/>
  <c r="O623" i="7"/>
  <c r="M623" i="7"/>
  <c r="K623" i="7"/>
  <c r="I623" i="7"/>
  <c r="G623" i="7"/>
  <c r="E623" i="7"/>
  <c r="C623" i="7"/>
  <c r="AD623" i="7"/>
  <c r="AB623" i="7"/>
  <c r="Z623" i="7"/>
  <c r="X623" i="7"/>
  <c r="V623" i="7"/>
  <c r="T623" i="7"/>
  <c r="R623" i="7"/>
  <c r="P623" i="7"/>
  <c r="N623" i="7"/>
  <c r="L623" i="7"/>
  <c r="J623" i="7"/>
  <c r="H623" i="7"/>
  <c r="F623" i="7"/>
  <c r="D623" i="7"/>
  <c r="S632" i="7"/>
  <c r="S635" i="7" s="1"/>
  <c r="S620" i="7" l="1"/>
  <c r="M620" i="7"/>
  <c r="M621" i="7" s="1"/>
  <c r="M91" i="7" s="1"/>
  <c r="G620" i="7"/>
  <c r="G621" i="7" s="1"/>
  <c r="G91" i="7" s="1"/>
  <c r="O620" i="7"/>
  <c r="K620" i="7"/>
  <c r="K621" i="7" s="1"/>
  <c r="K91" i="7" s="1"/>
  <c r="E620" i="7"/>
  <c r="E621" i="7" s="1"/>
  <c r="E91" i="7" s="1"/>
  <c r="U620" i="7"/>
  <c r="U621" i="7" s="1"/>
  <c r="U91" i="7" s="1"/>
  <c r="O621" i="7"/>
  <c r="O91" i="7" s="1"/>
  <c r="I620" i="7"/>
  <c r="I621" i="7" s="1"/>
  <c r="I91" i="7" s="1"/>
  <c r="Q620" i="7"/>
  <c r="Q621" i="7" s="1"/>
  <c r="Q91" i="7" s="1"/>
  <c r="S621" i="7"/>
  <c r="AA620" i="7"/>
  <c r="AA622" i="7" s="1"/>
  <c r="AA91" i="7" s="1"/>
  <c r="AA96" i="7" s="1"/>
  <c r="AA102" i="7" s="1"/>
  <c r="AC620" i="7"/>
  <c r="AG620" i="7"/>
  <c r="W620" i="7"/>
  <c r="W621" i="7" s="1"/>
  <c r="W91" i="7" s="1"/>
  <c r="W96" i="7" s="1"/>
  <c r="W102" i="7" s="1"/>
  <c r="AE620" i="7"/>
  <c r="AJ620" i="7"/>
  <c r="Y620" i="7"/>
  <c r="Y621" i="7" s="1"/>
  <c r="Y91" i="7" s="1"/>
  <c r="Y96" i="7" s="1"/>
  <c r="Y102" i="7" s="1"/>
  <c r="B623" i="7"/>
  <c r="B621" i="7" s="1"/>
  <c r="AG91" i="7"/>
  <c r="AG96" i="7" s="1"/>
  <c r="AG102" i="7" s="1"/>
  <c r="AH620" i="7"/>
  <c r="AH91" i="7" s="1"/>
  <c r="AH96" i="7" s="1"/>
  <c r="AH102" i="7" s="1"/>
  <c r="AI620" i="7"/>
  <c r="AI91" i="7" s="1"/>
  <c r="AI96" i="7" s="1"/>
  <c r="AI102" i="7" s="1"/>
  <c r="AO620" i="7"/>
  <c r="AO91" i="7" s="1"/>
  <c r="AO96" i="7" s="1"/>
  <c r="AO102" i="7" s="1"/>
  <c r="AK620" i="7"/>
  <c r="AK91" i="7" s="1"/>
  <c r="AK96" i="7" s="1"/>
  <c r="AK102" i="7" s="1"/>
  <c r="AJ91" i="7"/>
  <c r="AJ96" i="7" s="1"/>
  <c r="AJ102" i="7" s="1"/>
  <c r="AL620" i="7"/>
  <c r="AL91" i="7" s="1"/>
  <c r="AL96" i="7" s="1"/>
  <c r="AL102" i="7" s="1"/>
  <c r="AP620" i="7"/>
  <c r="AP622" i="7" s="1"/>
  <c r="AP91" i="7" s="1"/>
  <c r="AP96" i="7" s="1"/>
  <c r="AP102" i="7" s="1"/>
  <c r="AM620" i="7"/>
  <c r="AM91" i="7" s="1"/>
  <c r="AM96" i="7" s="1"/>
  <c r="AM102" i="7" s="1"/>
  <c r="AN620" i="7"/>
  <c r="AN91" i="7" s="1"/>
  <c r="AN96" i="7" s="1"/>
  <c r="AN102" i="7" s="1"/>
  <c r="D620" i="7"/>
  <c r="F620" i="7"/>
  <c r="F621" i="7" s="1"/>
  <c r="H620" i="7"/>
  <c r="J620" i="7"/>
  <c r="J621" i="7" s="1"/>
  <c r="L620" i="7"/>
  <c r="L621" i="7" s="1"/>
  <c r="N620" i="7"/>
  <c r="P620" i="7"/>
  <c r="R620" i="7"/>
  <c r="R621" i="7" s="1"/>
  <c r="T620" i="7"/>
  <c r="S91" i="7"/>
  <c r="V620" i="7"/>
  <c r="X620" i="7"/>
  <c r="X621" i="7" s="1"/>
  <c r="Z620" i="7"/>
  <c r="AB620" i="7"/>
  <c r="AB91" i="7" s="1"/>
  <c r="AB96" i="7" s="1"/>
  <c r="AB102" i="7" s="1"/>
  <c r="AD620" i="7"/>
  <c r="AD91" i="7" s="1"/>
  <c r="AD96" i="7" s="1"/>
  <c r="AD102" i="7" s="1"/>
  <c r="AC91" i="7"/>
  <c r="AC96" i="7" s="1"/>
  <c r="AC102" i="7" s="1"/>
  <c r="AF620" i="7"/>
  <c r="AE91" i="7"/>
  <c r="AE96" i="7" s="1"/>
  <c r="AE102" i="7" s="1"/>
  <c r="C223" i="7"/>
  <c r="C236" i="7" s="1"/>
  <c r="C183" i="7"/>
  <c r="C196" i="7" s="1"/>
  <c r="T632" i="7"/>
  <c r="T635" i="7" s="1"/>
  <c r="H621" i="7" l="1"/>
  <c r="H91" i="7" s="1"/>
  <c r="T621" i="7"/>
  <c r="T91" i="7" s="1"/>
  <c r="L91" i="7"/>
  <c r="X91" i="7"/>
  <c r="X96" i="7" s="1"/>
  <c r="X102" i="7" s="1"/>
  <c r="R91" i="7"/>
  <c r="J91" i="7"/>
  <c r="F91" i="7"/>
  <c r="P621" i="7"/>
  <c r="P91" i="7" s="1"/>
  <c r="V621" i="7"/>
  <c r="V91" i="7" s="1"/>
  <c r="D621" i="7"/>
  <c r="D91" i="7" s="1"/>
  <c r="N621" i="7"/>
  <c r="N91" i="7" s="1"/>
  <c r="Z621" i="7"/>
  <c r="Z91" i="7" s="1"/>
  <c r="Z96" i="7" s="1"/>
  <c r="Z102" i="7" s="1"/>
  <c r="C620" i="7"/>
  <c r="C621" i="7" s="1"/>
  <c r="B91" i="7"/>
  <c r="AF622" i="7"/>
  <c r="U632" i="7"/>
  <c r="U635" i="7" s="1"/>
  <c r="C91" i="7" l="1"/>
  <c r="AF91" i="7"/>
  <c r="AF96" i="7" s="1"/>
  <c r="AF102" i="7" s="1"/>
  <c r="V632" i="7"/>
  <c r="V635" i="7" s="1"/>
  <c r="V728" i="7" s="1"/>
  <c r="W632" i="7" l="1"/>
  <c r="W635" i="7" s="1"/>
  <c r="W728" i="7" s="1"/>
  <c r="W729" i="7"/>
  <c r="W204" i="7" l="1"/>
  <c r="W167" i="7"/>
  <c r="W75" i="7"/>
  <c r="X632" i="7"/>
  <c r="X635" i="7" s="1"/>
  <c r="X728" i="7" s="1"/>
  <c r="X729" i="7"/>
  <c r="X204" i="7" l="1"/>
  <c r="X167" i="7"/>
  <c r="X75" i="7"/>
  <c r="Y632" i="7"/>
  <c r="Y635" i="7" s="1"/>
  <c r="Y728" i="7" s="1"/>
  <c r="Y729" i="7"/>
  <c r="Y204" i="7" l="1"/>
  <c r="Y167" i="7"/>
  <c r="Y75" i="7"/>
  <c r="Z632" i="7"/>
  <c r="Z635" i="7" s="1"/>
  <c r="Z728" i="7" s="1"/>
  <c r="Z729" i="7"/>
  <c r="AA632" i="7" l="1"/>
  <c r="AA635" i="7" s="1"/>
  <c r="AA728" i="7" s="1"/>
  <c r="AA729" i="7"/>
  <c r="Z204" i="7"/>
  <c r="Z167" i="7"/>
  <c r="Z75" i="7"/>
  <c r="AB632" i="7" l="1"/>
  <c r="AB635" i="7" s="1"/>
  <c r="AB728" i="7" s="1"/>
  <c r="AB729" i="7"/>
  <c r="AA204" i="7"/>
  <c r="AA167" i="7"/>
  <c r="AA75" i="7"/>
  <c r="AC632" i="7" l="1"/>
  <c r="AC635" i="7" s="1"/>
  <c r="AC728" i="7" s="1"/>
  <c r="AC729" i="7"/>
  <c r="AB204" i="7"/>
  <c r="AB167" i="7"/>
  <c r="AB75" i="7"/>
  <c r="AC204" i="7" l="1"/>
  <c r="AC167" i="7"/>
  <c r="AC75" i="7"/>
  <c r="AD632" i="7"/>
  <c r="AD635" i="7" s="1"/>
  <c r="AD728" i="7" s="1"/>
  <c r="AD729" i="7"/>
  <c r="AE632" i="7" l="1"/>
  <c r="AE635" i="7" s="1"/>
  <c r="AE728" i="7" s="1"/>
  <c r="AE729" i="7"/>
  <c r="AD204" i="7"/>
  <c r="AD167" i="7"/>
  <c r="AD75" i="7"/>
  <c r="AF632" i="7" l="1"/>
  <c r="AF635" i="7" s="1"/>
  <c r="AF728" i="7" s="1"/>
  <c r="AF729" i="7"/>
  <c r="AE204" i="7"/>
  <c r="AE167" i="7"/>
  <c r="AE75" i="7"/>
  <c r="AG632" i="7" l="1"/>
  <c r="AG635" i="7" s="1"/>
  <c r="AG728" i="7" s="1"/>
  <c r="AF204" i="7"/>
  <c r="AF167" i="7"/>
  <c r="AF75" i="7"/>
  <c r="AG167" i="7" l="1"/>
  <c r="AG204" i="7"/>
  <c r="AG75" i="7"/>
  <c r="M384" i="7"/>
  <c r="M386" i="7"/>
  <c r="AH632" i="7"/>
  <c r="AH635" i="7" s="1"/>
  <c r="AH728" i="7" s="1"/>
  <c r="M246" i="7" l="1"/>
  <c r="AH204" i="7"/>
  <c r="AH75" i="7"/>
  <c r="AH167" i="7"/>
  <c r="M249" i="7"/>
  <c r="M383" i="7"/>
  <c r="AI632" i="7"/>
  <c r="AI635" i="7" s="1"/>
  <c r="AI728" i="7" s="1"/>
  <c r="AI167" i="7" l="1"/>
  <c r="AI204" i="7"/>
  <c r="AI75" i="7"/>
  <c r="AJ632" i="7"/>
  <c r="AJ635" i="7" s="1"/>
  <c r="AJ728" i="7" s="1"/>
  <c r="AJ204" i="7" l="1"/>
  <c r="AJ167" i="7"/>
  <c r="AJ75" i="7"/>
  <c r="AK632" i="7"/>
  <c r="AK635" i="7" s="1"/>
  <c r="AK728" i="7" s="1"/>
  <c r="AK204" i="7" l="1"/>
  <c r="AK167" i="7"/>
  <c r="AK75" i="7"/>
  <c r="AL632" i="7"/>
  <c r="AL635" i="7" s="1"/>
  <c r="AL728" i="7" s="1"/>
  <c r="AL167" i="7" l="1"/>
  <c r="AL204" i="7"/>
  <c r="AL75" i="7"/>
  <c r="AM632" i="7"/>
  <c r="AM635" i="7" s="1"/>
  <c r="AM728" i="7" s="1"/>
  <c r="AM204" i="7" l="1"/>
  <c r="AM75" i="7"/>
  <c r="AM167" i="7"/>
  <c r="AN632" i="7"/>
  <c r="AN635" i="7" s="1"/>
  <c r="AN728" i="7" s="1"/>
  <c r="AN204" i="7" l="1"/>
  <c r="AN75" i="7"/>
  <c r="AN167" i="7"/>
  <c r="AO632" i="7"/>
  <c r="AO635" i="7" s="1"/>
  <c r="AO728" i="7" s="1"/>
  <c r="AO204" i="7" l="1"/>
  <c r="AO75" i="7"/>
  <c r="AO167" i="7"/>
  <c r="AP632" i="7"/>
  <c r="AP635" i="7" s="1"/>
  <c r="AP728" i="7" s="1"/>
  <c r="AP167" i="7" l="1"/>
  <c r="AP204" i="7"/>
  <c r="AP75" i="7"/>
  <c r="H64" i="7" l="1"/>
  <c r="AF64" i="7"/>
  <c r="AF68" i="7" s="1"/>
  <c r="AF77" i="7" s="1"/>
  <c r="AF117" i="7" s="1"/>
  <c r="AN64" i="7"/>
  <c r="AC64" i="7"/>
  <c r="AC68" i="7" s="1"/>
  <c r="AC77" i="7" s="1"/>
  <c r="AC117" i="7" s="1"/>
  <c r="AP64" i="7"/>
  <c r="AH64" i="7"/>
  <c r="H593" i="7" l="1"/>
  <c r="H595" i="7" s="1"/>
  <c r="AC166" i="7"/>
  <c r="Q64" i="7"/>
  <c r="H166" i="7"/>
  <c r="H68" i="7"/>
  <c r="H203" i="7"/>
  <c r="AC203" i="7"/>
  <c r="G64" i="7"/>
  <c r="AF203" i="7"/>
  <c r="AF166" i="7"/>
  <c r="L64" i="7"/>
  <c r="AO64" i="7"/>
  <c r="AM64" i="7"/>
  <c r="AI64" i="7"/>
  <c r="C593" i="7"/>
  <c r="C595" i="7" s="1"/>
  <c r="AC118" i="7"/>
  <c r="AF118" i="7"/>
  <c r="AN166" i="7"/>
  <c r="AN203" i="7"/>
  <c r="AN68" i="7"/>
  <c r="AN77" i="7" s="1"/>
  <c r="AN117" i="7" s="1"/>
  <c r="AP203" i="7"/>
  <c r="AP68" i="7"/>
  <c r="AP77" i="7" s="1"/>
  <c r="AP117" i="7" s="1"/>
  <c r="AP166" i="7"/>
  <c r="AB64" i="7"/>
  <c r="AD64" i="7"/>
  <c r="E64" i="7"/>
  <c r="AK64" i="7"/>
  <c r="U64" i="7"/>
  <c r="U593" i="7" s="1"/>
  <c r="U595" i="7" s="1"/>
  <c r="U597" i="7" s="1"/>
  <c r="AJ64" i="7"/>
  <c r="J64" i="7"/>
  <c r="AG64" i="7"/>
  <c r="R64" i="7"/>
  <c r="AE64" i="7"/>
  <c r="AH203" i="7"/>
  <c r="AH166" i="7"/>
  <c r="AH68" i="7"/>
  <c r="AH77" i="7" s="1"/>
  <c r="AH117" i="7" s="1"/>
  <c r="N64" i="7"/>
  <c r="T64" i="7"/>
  <c r="AL64" i="7"/>
  <c r="C597" i="7" l="1"/>
  <c r="C600" i="7" s="1"/>
  <c r="C601" i="7" s="1"/>
  <c r="C605" i="7"/>
  <c r="C587" i="7" s="1"/>
  <c r="H597" i="7"/>
  <c r="H600" i="7" s="1"/>
  <c r="H601" i="7" s="1"/>
  <c r="H605" i="7"/>
  <c r="H587" i="7" s="1"/>
  <c r="T728" i="7"/>
  <c r="T593" i="7"/>
  <c r="T595" i="7" s="1"/>
  <c r="Q593" i="7"/>
  <c r="Q595" i="7" s="1"/>
  <c r="R593" i="7"/>
  <c r="R595" i="7" s="1"/>
  <c r="AA64" i="7"/>
  <c r="AA203" i="7" s="1"/>
  <c r="M64" i="7"/>
  <c r="M166" i="7" s="1"/>
  <c r="F64" i="7"/>
  <c r="D64" i="7"/>
  <c r="K64" i="7"/>
  <c r="T68" i="7"/>
  <c r="T203" i="7"/>
  <c r="T166" i="7"/>
  <c r="AH118" i="7"/>
  <c r="R166" i="7"/>
  <c r="R68" i="7"/>
  <c r="R203" i="7"/>
  <c r="P64" i="7"/>
  <c r="J593" i="7"/>
  <c r="J595" i="7" s="1"/>
  <c r="J68" i="7"/>
  <c r="J203" i="7"/>
  <c r="J166" i="7"/>
  <c r="O64" i="7"/>
  <c r="S64" i="7"/>
  <c r="AJ68" i="7"/>
  <c r="AJ77" i="7" s="1"/>
  <c r="AJ117" i="7" s="1"/>
  <c r="AJ166" i="7"/>
  <c r="AJ203" i="7"/>
  <c r="AK166" i="7"/>
  <c r="AK68" i="7"/>
  <c r="AK77" i="7" s="1"/>
  <c r="AK117" i="7" s="1"/>
  <c r="AK203" i="7"/>
  <c r="E166" i="7"/>
  <c r="E68" i="7"/>
  <c r="E203" i="7"/>
  <c r="E593" i="7"/>
  <c r="E595" i="7" s="1"/>
  <c r="AP118" i="7"/>
  <c r="G68" i="7"/>
  <c r="G203" i="7"/>
  <c r="G166" i="7"/>
  <c r="G593" i="7"/>
  <c r="G595" i="7" s="1"/>
  <c r="AN118" i="7"/>
  <c r="C68" i="7"/>
  <c r="C166" i="7"/>
  <c r="C203" i="7"/>
  <c r="Z64" i="7"/>
  <c r="AI68" i="7"/>
  <c r="AI77" i="7" s="1"/>
  <c r="AI117" i="7" s="1"/>
  <c r="AI203" i="7"/>
  <c r="AI166" i="7"/>
  <c r="X64" i="7"/>
  <c r="Y64" i="7"/>
  <c r="AM68" i="7"/>
  <c r="AM77" i="7" s="1"/>
  <c r="AM117" i="7" s="1"/>
  <c r="AM166" i="7"/>
  <c r="AM203" i="7"/>
  <c r="AO68" i="7"/>
  <c r="AO77" i="7" s="1"/>
  <c r="AO117" i="7" s="1"/>
  <c r="AO166" i="7"/>
  <c r="AO203" i="7"/>
  <c r="L593" i="7"/>
  <c r="L595" i="7" s="1"/>
  <c r="L166" i="7"/>
  <c r="L203" i="7"/>
  <c r="L68" i="7"/>
  <c r="Q68" i="7"/>
  <c r="Q166" i="7"/>
  <c r="Q203" i="7"/>
  <c r="V64" i="7"/>
  <c r="V593" i="7" s="1"/>
  <c r="V595" i="7" s="1"/>
  <c r="V597" i="7" s="1"/>
  <c r="AL203" i="7"/>
  <c r="AL166" i="7"/>
  <c r="AL68" i="7"/>
  <c r="AL77" i="7" s="1"/>
  <c r="AL117" i="7" s="1"/>
  <c r="N166" i="7"/>
  <c r="N203" i="7"/>
  <c r="N68" i="7"/>
  <c r="N593" i="7"/>
  <c r="N595" i="7" s="1"/>
  <c r="AE166" i="7"/>
  <c r="AE68" i="7"/>
  <c r="AE77" i="7" s="1"/>
  <c r="AE117" i="7" s="1"/>
  <c r="AE203" i="7"/>
  <c r="W64" i="7"/>
  <c r="AG203" i="7"/>
  <c r="AG68" i="7"/>
  <c r="AG77" i="7" s="1"/>
  <c r="AG117" i="7" s="1"/>
  <c r="AG166" i="7"/>
  <c r="U166" i="7"/>
  <c r="U68" i="7"/>
  <c r="U203" i="7"/>
  <c r="AD68" i="7"/>
  <c r="AD77" i="7" s="1"/>
  <c r="AD117" i="7" s="1"/>
  <c r="AD203" i="7"/>
  <c r="AD166" i="7"/>
  <c r="AB166" i="7"/>
  <c r="AB68" i="7"/>
  <c r="AB77" i="7" s="1"/>
  <c r="AB117" i="7" s="1"/>
  <c r="AB203" i="7"/>
  <c r="I64" i="7"/>
  <c r="R597" i="7" l="1"/>
  <c r="R600" i="7" s="1"/>
  <c r="R601" i="7" s="1"/>
  <c r="R605" i="7"/>
  <c r="R587" i="7" s="1"/>
  <c r="L597" i="7"/>
  <c r="L600" i="7" s="1"/>
  <c r="L601" i="7" s="1"/>
  <c r="L605" i="7"/>
  <c r="L587" i="7" s="1"/>
  <c r="Q597" i="7"/>
  <c r="Q600" i="7" s="1"/>
  <c r="Q601" i="7" s="1"/>
  <c r="Q605" i="7"/>
  <c r="Q587" i="7" s="1"/>
  <c r="G597" i="7"/>
  <c r="G600" i="7" s="1"/>
  <c r="G601" i="7" s="1"/>
  <c r="G605" i="7"/>
  <c r="G587" i="7" s="1"/>
  <c r="J597" i="7"/>
  <c r="J600" i="7" s="1"/>
  <c r="J601" i="7" s="1"/>
  <c r="J605" i="7"/>
  <c r="J587" i="7" s="1"/>
  <c r="T597" i="7"/>
  <c r="T600" i="7" s="1"/>
  <c r="T601" i="7" s="1"/>
  <c r="T605" i="7"/>
  <c r="T587" i="7" s="1"/>
  <c r="N597" i="7"/>
  <c r="N600" i="7" s="1"/>
  <c r="N601" i="7" s="1"/>
  <c r="N605" i="7"/>
  <c r="N587" i="7" s="1"/>
  <c r="E597" i="7"/>
  <c r="E600" i="7" s="1"/>
  <c r="E601" i="7" s="1"/>
  <c r="E605" i="7"/>
  <c r="E587" i="7" s="1"/>
  <c r="U729" i="7"/>
  <c r="U614" i="7"/>
  <c r="U728" i="7"/>
  <c r="P593" i="7"/>
  <c r="P595" i="7" s="1"/>
  <c r="S593" i="7"/>
  <c r="S595" i="7" s="1"/>
  <c r="AA166" i="7"/>
  <c r="AA68" i="7"/>
  <c r="AA77" i="7" s="1"/>
  <c r="M203" i="7"/>
  <c r="M68" i="7"/>
  <c r="D166" i="7"/>
  <c r="M593" i="7"/>
  <c r="M595" i="7" s="1"/>
  <c r="D68" i="7"/>
  <c r="F593" i="7"/>
  <c r="F595" i="7" s="1"/>
  <c r="F203" i="7"/>
  <c r="F166" i="7"/>
  <c r="F68" i="7"/>
  <c r="D593" i="7"/>
  <c r="D595" i="7" s="1"/>
  <c r="D203" i="7"/>
  <c r="K203" i="7"/>
  <c r="K166" i="7"/>
  <c r="K593" i="7"/>
  <c r="K595" i="7" s="1"/>
  <c r="K68" i="7"/>
  <c r="AG118" i="7"/>
  <c r="W203" i="7"/>
  <c r="W166" i="7"/>
  <c r="W68" i="7"/>
  <c r="W77" i="7" s="1"/>
  <c r="W117" i="7" s="1"/>
  <c r="AL118" i="7"/>
  <c r="AM118" i="7"/>
  <c r="Y166" i="7"/>
  <c r="Y68" i="7"/>
  <c r="Y77" i="7" s="1"/>
  <c r="Y117" i="7" s="1"/>
  <c r="Y203" i="7"/>
  <c r="Z203" i="7"/>
  <c r="Z166" i="7"/>
  <c r="Z68" i="7"/>
  <c r="Z77" i="7" s="1"/>
  <c r="Z117" i="7" s="1"/>
  <c r="S166" i="7"/>
  <c r="S203" i="7"/>
  <c r="S68" i="7"/>
  <c r="O166" i="7"/>
  <c r="O593" i="7"/>
  <c r="O595" i="7" s="1"/>
  <c r="O203" i="7"/>
  <c r="O68" i="7"/>
  <c r="I68" i="7"/>
  <c r="I203" i="7"/>
  <c r="I166" i="7"/>
  <c r="I593" i="7"/>
  <c r="I595" i="7" s="1"/>
  <c r="AB118" i="7"/>
  <c r="AD118" i="7"/>
  <c r="AE118" i="7"/>
  <c r="V68" i="7"/>
  <c r="V203" i="7"/>
  <c r="V166" i="7"/>
  <c r="AO118" i="7"/>
  <c r="X166" i="7"/>
  <c r="X68" i="7"/>
  <c r="X77" i="7" s="1"/>
  <c r="X117" i="7" s="1"/>
  <c r="X203" i="7"/>
  <c r="AI118" i="7"/>
  <c r="AK118" i="7"/>
  <c r="AJ118" i="7"/>
  <c r="P68" i="7"/>
  <c r="P203" i="7"/>
  <c r="P166" i="7"/>
  <c r="I597" i="7" l="1"/>
  <c r="I600" i="7" s="1"/>
  <c r="I601" i="7" s="1"/>
  <c r="I605" i="7"/>
  <c r="I587" i="7" s="1"/>
  <c r="K597" i="7"/>
  <c r="K600" i="7" s="1"/>
  <c r="K601" i="7" s="1"/>
  <c r="K605" i="7"/>
  <c r="K587" i="7" s="1"/>
  <c r="D597" i="7"/>
  <c r="D600" i="7" s="1"/>
  <c r="D601" i="7" s="1"/>
  <c r="D605" i="7"/>
  <c r="D587" i="7" s="1"/>
  <c r="F597" i="7"/>
  <c r="F600" i="7" s="1"/>
  <c r="F601" i="7" s="1"/>
  <c r="F605" i="7"/>
  <c r="F587" i="7" s="1"/>
  <c r="S597" i="7"/>
  <c r="S600" i="7" s="1"/>
  <c r="S601" i="7" s="1"/>
  <c r="S605" i="7"/>
  <c r="S587" i="7" s="1"/>
  <c r="P597" i="7"/>
  <c r="P600" i="7" s="1"/>
  <c r="P601" i="7" s="1"/>
  <c r="P605" i="7"/>
  <c r="P587" i="7" s="1"/>
  <c r="O597" i="7"/>
  <c r="O600" i="7" s="1"/>
  <c r="O601" i="7" s="1"/>
  <c r="O605" i="7"/>
  <c r="O587" i="7" s="1"/>
  <c r="M597" i="7"/>
  <c r="M600" i="7" s="1"/>
  <c r="M601" i="7" s="1"/>
  <c r="M605" i="7"/>
  <c r="M587" i="7" s="1"/>
  <c r="AA117" i="7"/>
  <c r="AA118" i="7" s="1"/>
  <c r="V729" i="7"/>
  <c r="V614" i="7"/>
  <c r="V90" i="7" s="1"/>
  <c r="V96" i="7" s="1"/>
  <c r="V102" i="7" s="1"/>
  <c r="U90" i="7"/>
  <c r="U96" i="7" s="1"/>
  <c r="U102" i="7" s="1"/>
  <c r="U75" i="7"/>
  <c r="U167" i="7"/>
  <c r="U204" i="7"/>
  <c r="X118" i="7"/>
  <c r="Z118" i="7"/>
  <c r="Y118" i="7"/>
  <c r="W118" i="7"/>
  <c r="V204" i="7" l="1"/>
  <c r="V167" i="7"/>
  <c r="V75" i="7"/>
  <c r="U205" i="7" l="1"/>
  <c r="U76" i="7"/>
  <c r="U77" i="7" s="1"/>
  <c r="U168" i="7"/>
  <c r="U111" i="7" l="1"/>
  <c r="U112" i="7" s="1"/>
  <c r="U117" i="7" s="1"/>
  <c r="AN169" i="7"/>
  <c r="AN170" i="7" s="1"/>
  <c r="AN198" i="7" s="1"/>
  <c r="AN200" i="7" s="1"/>
  <c r="AP169" i="7"/>
  <c r="AP170" i="7" s="1"/>
  <c r="AP198" i="7" s="1"/>
  <c r="AP200" i="7" s="1"/>
  <c r="AL169" i="7"/>
  <c r="AL170" i="7" s="1"/>
  <c r="AL198" i="7" s="1"/>
  <c r="AL200" i="7" s="1"/>
  <c r="AH169" i="7"/>
  <c r="AH170" i="7" s="1"/>
  <c r="AH198" i="7" s="1"/>
  <c r="AH200" i="7" s="1"/>
  <c r="AO169" i="7"/>
  <c r="AO170" i="7" s="1"/>
  <c r="AO198" i="7" s="1"/>
  <c r="AO200" i="7" s="1"/>
  <c r="AK169" i="7"/>
  <c r="AK170" i="7" s="1"/>
  <c r="AK198" i="7" s="1"/>
  <c r="AK200" i="7" s="1"/>
  <c r="AG169" i="7"/>
  <c r="AG170" i="7" s="1"/>
  <c r="AG198" i="7" s="1"/>
  <c r="AG200" i="7" s="1"/>
  <c r="AJ169" i="7"/>
  <c r="AJ170" i="7" s="1"/>
  <c r="AJ198" i="7" s="1"/>
  <c r="AJ200" i="7" s="1"/>
  <c r="AM169" i="7"/>
  <c r="AM170" i="7" s="1"/>
  <c r="AM198" i="7" s="1"/>
  <c r="AM200" i="7" s="1"/>
  <c r="AI169" i="7"/>
  <c r="AI170" i="7" s="1"/>
  <c r="AI198" i="7" s="1"/>
  <c r="AI200" i="7" s="1"/>
  <c r="U118" i="7" l="1"/>
  <c r="AG207" i="7"/>
  <c r="AG130" i="7"/>
  <c r="AH207" i="7"/>
  <c r="AH130" i="7"/>
  <c r="AK207" i="7"/>
  <c r="AK130" i="7"/>
  <c r="AL130" i="7"/>
  <c r="AL207" i="7"/>
  <c r="AI207" i="7"/>
  <c r="AI130" i="7"/>
  <c r="AJ207" i="7"/>
  <c r="AJ130" i="7"/>
  <c r="AO207" i="7"/>
  <c r="AO130" i="7"/>
  <c r="AP207" i="7"/>
  <c r="AP130" i="7"/>
  <c r="AM207" i="7"/>
  <c r="AM130" i="7"/>
  <c r="AN207" i="7"/>
  <c r="AN130" i="7"/>
  <c r="AK206" i="7"/>
  <c r="AJ206" i="7"/>
  <c r="AG206" i="7"/>
  <c r="AI206" i="7"/>
  <c r="AL206" i="7"/>
  <c r="AO206" i="7"/>
  <c r="AH206" i="7"/>
  <c r="AN206" i="7"/>
  <c r="AP206" i="7"/>
  <c r="AM206" i="7"/>
  <c r="V76" i="7" l="1"/>
  <c r="V77" i="7" s="1"/>
  <c r="V205" i="7"/>
  <c r="V168" i="7"/>
  <c r="V111" i="7" l="1"/>
  <c r="V112" i="7" s="1"/>
  <c r="V117" i="7" s="1"/>
  <c r="V118" i="7" l="1"/>
  <c r="M385" i="7" l="1"/>
  <c r="M389" i="7" s="1"/>
  <c r="M247" i="7"/>
  <c r="M250" i="7"/>
  <c r="M248" i="7"/>
  <c r="M253" i="7" l="1"/>
  <c r="AD169" i="7"/>
  <c r="AD170" i="7" s="1"/>
  <c r="AD198" i="7" s="1"/>
  <c r="AD200" i="7" s="1"/>
  <c r="AD206" i="7"/>
  <c r="AB169" i="7"/>
  <c r="AB170" i="7" s="1"/>
  <c r="AB198" i="7" s="1"/>
  <c r="AB200" i="7" s="1"/>
  <c r="AB206" i="7"/>
  <c r="AF169" i="7"/>
  <c r="AF170" i="7" s="1"/>
  <c r="AF198" i="7" s="1"/>
  <c r="AF200" i="7" s="1"/>
  <c r="AF206" i="7"/>
  <c r="AC169" i="7"/>
  <c r="AC170" i="7" s="1"/>
  <c r="AC198" i="7" s="1"/>
  <c r="AC200" i="7" s="1"/>
  <c r="AC206" i="7"/>
  <c r="AE169" i="7"/>
  <c r="AE170" i="7" s="1"/>
  <c r="AE198" i="7" s="1"/>
  <c r="AE200" i="7" s="1"/>
  <c r="AE206" i="7"/>
  <c r="AD130" i="7" l="1"/>
  <c r="AD207" i="7"/>
  <c r="AB207" i="7"/>
  <c r="AB130" i="7"/>
  <c r="AE130" i="7"/>
  <c r="AE207" i="7"/>
  <c r="AF207" i="7"/>
  <c r="AF130" i="7"/>
  <c r="AC130" i="7"/>
  <c r="AC207" i="7"/>
  <c r="B609" i="7" l="1"/>
  <c r="B610" i="7" s="1"/>
  <c r="F20" i="1" s="1"/>
  <c r="B600" i="7" l="1"/>
  <c r="B602" i="7" s="1"/>
  <c r="N728" i="7"/>
  <c r="S90" i="7"/>
  <c r="S96" i="7" s="1"/>
  <c r="S102" i="7" s="1"/>
  <c r="O728" i="7"/>
  <c r="G728" i="7"/>
  <c r="B728" i="7"/>
  <c r="L728" i="7"/>
  <c r="J728" i="7"/>
  <c r="C728" i="7"/>
  <c r="H728" i="7"/>
  <c r="K728" i="7"/>
  <c r="Q728" i="7"/>
  <c r="M728" i="7"/>
  <c r="B601" i="7" l="1"/>
  <c r="E728" i="7"/>
  <c r="F729" i="7" s="1"/>
  <c r="F167" i="7" s="1"/>
  <c r="S614" i="7"/>
  <c r="R728" i="7"/>
  <c r="S729" i="7" s="1"/>
  <c r="S167" i="7" s="1"/>
  <c r="D728" i="7"/>
  <c r="E729" i="7" s="1"/>
  <c r="E167" i="7" s="1"/>
  <c r="G614" i="7"/>
  <c r="F728" i="7"/>
  <c r="G729" i="7" s="1"/>
  <c r="G204" i="7" s="1"/>
  <c r="P728" i="7"/>
  <c r="Q729" i="7" s="1"/>
  <c r="Q204" i="7" s="1"/>
  <c r="T614" i="7"/>
  <c r="T90" i="7" s="1"/>
  <c r="T96" i="7" s="1"/>
  <c r="T102" i="7" s="1"/>
  <c r="S728" i="7"/>
  <c r="T729" i="7" s="1"/>
  <c r="T204" i="7" s="1"/>
  <c r="J614" i="7"/>
  <c r="I728" i="7"/>
  <c r="J729" i="7" s="1"/>
  <c r="J167" i="7" s="1"/>
  <c r="E614" i="7"/>
  <c r="E90" i="7" s="1"/>
  <c r="E96" i="7" s="1"/>
  <c r="E102" i="7" s="1"/>
  <c r="F614" i="7"/>
  <c r="F90" i="7" s="1"/>
  <c r="F96" i="7" s="1"/>
  <c r="F102" i="7" s="1"/>
  <c r="Q614" i="7"/>
  <c r="L614" i="7"/>
  <c r="L90" i="7" s="1"/>
  <c r="L96" i="7" s="1"/>
  <c r="L102" i="7" s="1"/>
  <c r="L729" i="7"/>
  <c r="C90" i="7"/>
  <c r="C96" i="7" s="1"/>
  <c r="C102" i="7" s="1"/>
  <c r="C729" i="7"/>
  <c r="N614" i="7"/>
  <c r="N729" i="7"/>
  <c r="I614" i="7"/>
  <c r="I90" i="7" s="1"/>
  <c r="I96" i="7" s="1"/>
  <c r="I102" i="7" s="1"/>
  <c r="I729" i="7"/>
  <c r="K614" i="7"/>
  <c r="K90" i="7" s="1"/>
  <c r="K96" i="7" s="1"/>
  <c r="K102" i="7" s="1"/>
  <c r="J90" i="7"/>
  <c r="J96" i="7" s="1"/>
  <c r="J102" i="7" s="1"/>
  <c r="K729" i="7"/>
  <c r="H614" i="7"/>
  <c r="H90" i="7" s="1"/>
  <c r="H96" i="7" s="1"/>
  <c r="H102" i="7" s="1"/>
  <c r="G90" i="7"/>
  <c r="G96" i="7" s="1"/>
  <c r="G102" i="7" s="1"/>
  <c r="H729" i="7"/>
  <c r="O614" i="7"/>
  <c r="N90" i="7"/>
  <c r="N96" i="7" s="1"/>
  <c r="N102" i="7" s="1"/>
  <c r="O729" i="7"/>
  <c r="R614" i="7"/>
  <c r="R90" i="7" s="1"/>
  <c r="R96" i="7" s="1"/>
  <c r="R102" i="7" s="1"/>
  <c r="Q90" i="7"/>
  <c r="Q96" i="7" s="1"/>
  <c r="Q102" i="7" s="1"/>
  <c r="R729" i="7"/>
  <c r="D614" i="7"/>
  <c r="D90" i="7" s="1"/>
  <c r="D96" i="7" s="1"/>
  <c r="D102" i="7" s="1"/>
  <c r="D729" i="7"/>
  <c r="M614" i="7"/>
  <c r="M90" i="7" s="1"/>
  <c r="M96" i="7" s="1"/>
  <c r="M102" i="7" s="1"/>
  <c r="M729" i="7"/>
  <c r="P614" i="7"/>
  <c r="P90" i="7" s="1"/>
  <c r="P96" i="7" s="1"/>
  <c r="P102" i="7" s="1"/>
  <c r="O90" i="7"/>
  <c r="O96" i="7" s="1"/>
  <c r="O102" i="7" s="1"/>
  <c r="P729" i="7"/>
  <c r="J75" i="7" l="1"/>
  <c r="J204" i="7"/>
  <c r="F75" i="7"/>
  <c r="Q167" i="7"/>
  <c r="E204" i="7"/>
  <c r="F204" i="7"/>
  <c r="Q75" i="7"/>
  <c r="E75" i="7"/>
  <c r="B90" i="7"/>
  <c r="B96" i="7" s="1"/>
  <c r="B102" i="7" s="1"/>
  <c r="T167" i="7"/>
  <c r="T75" i="7"/>
  <c r="G75" i="7"/>
  <c r="S75" i="7"/>
  <c r="G167" i="7"/>
  <c r="S204" i="7"/>
  <c r="M167" i="7"/>
  <c r="M204" i="7"/>
  <c r="M75" i="7"/>
  <c r="I204" i="7"/>
  <c r="I167" i="7"/>
  <c r="I75" i="7"/>
  <c r="L167" i="7"/>
  <c r="L75" i="7"/>
  <c r="L204" i="7"/>
  <c r="H204" i="7"/>
  <c r="H167" i="7"/>
  <c r="H75" i="7"/>
  <c r="K204" i="7"/>
  <c r="K167" i="7"/>
  <c r="K75" i="7"/>
  <c r="R167" i="7"/>
  <c r="R204" i="7"/>
  <c r="R75" i="7"/>
  <c r="O75" i="7"/>
  <c r="O204" i="7"/>
  <c r="O167" i="7"/>
  <c r="C204" i="7"/>
  <c r="C167" i="7"/>
  <c r="C75" i="7"/>
  <c r="P167" i="7"/>
  <c r="P75" i="7"/>
  <c r="P204" i="7"/>
  <c r="D167" i="7"/>
  <c r="D75" i="7"/>
  <c r="D204" i="7"/>
  <c r="N167" i="7"/>
  <c r="N204" i="7"/>
  <c r="N75" i="7"/>
  <c r="C388" i="7" l="1"/>
  <c r="F388" i="7" s="1"/>
  <c r="C252" i="7"/>
  <c r="F252" i="7" s="1"/>
  <c r="B108" i="7"/>
  <c r="B109" i="7" s="1"/>
  <c r="B590" i="7"/>
  <c r="C251" i="7"/>
  <c r="F251" i="7" s="1"/>
  <c r="C250" i="7"/>
  <c r="F250" i="7" s="1"/>
  <c r="C248" i="7"/>
  <c r="F248" i="7" s="1"/>
  <c r="C387" i="7"/>
  <c r="F387" i="7" s="1"/>
  <c r="C386" i="7"/>
  <c r="F386" i="7" s="1"/>
  <c r="C384" i="7"/>
  <c r="F384" i="7" s="1"/>
  <c r="F17" i="1"/>
  <c r="C385" i="7"/>
  <c r="F385" i="7" s="1"/>
  <c r="C247" i="7"/>
  <c r="F247" i="7" s="1"/>
  <c r="C249" i="7"/>
  <c r="F249" i="7" s="1"/>
  <c r="C383" i="7"/>
  <c r="F383" i="7" s="1"/>
  <c r="C382" i="7"/>
  <c r="C246" i="7"/>
  <c r="C588" i="7" l="1"/>
  <c r="B110" i="7"/>
  <c r="B116" i="7" s="1"/>
  <c r="B144" i="7" s="1"/>
  <c r="F19" i="1"/>
  <c r="F21" i="1" s="1"/>
  <c r="F382" i="7"/>
  <c r="C389" i="7"/>
  <c r="C253" i="7"/>
  <c r="F246" i="7"/>
  <c r="F389" i="7" l="1"/>
  <c r="G382" i="7"/>
  <c r="G389" i="7" s="1"/>
  <c r="H382" i="7" s="1"/>
  <c r="F253" i="7"/>
  <c r="G246" i="7"/>
  <c r="G253" i="7" s="1"/>
  <c r="H251" i="7" s="1"/>
  <c r="C589" i="7"/>
  <c r="C168" i="7"/>
  <c r="C76" i="7"/>
  <c r="C77" i="7" s="1"/>
  <c r="C205" i="7"/>
  <c r="B112" i="7"/>
  <c r="B117" i="7" s="1"/>
  <c r="B118" i="7" s="1"/>
  <c r="B133" i="7" s="1"/>
  <c r="F18" i="1"/>
  <c r="H388" i="7"/>
  <c r="K388" i="7" s="1"/>
  <c r="L388" i="7" s="1"/>
  <c r="H383" i="7"/>
  <c r="K383" i="7" s="1"/>
  <c r="L383" i="7" s="1"/>
  <c r="H385" i="7"/>
  <c r="K385" i="7" s="1"/>
  <c r="L385" i="7" s="1"/>
  <c r="H387" i="7"/>
  <c r="H384" i="7"/>
  <c r="K384" i="7" s="1"/>
  <c r="L384" i="7" s="1"/>
  <c r="H386" i="7"/>
  <c r="K386" i="7" s="1"/>
  <c r="L386" i="7" s="1"/>
  <c r="H250" i="7" l="1"/>
  <c r="K250" i="7" s="1"/>
  <c r="L250" i="7" s="1"/>
  <c r="H252" i="7"/>
  <c r="K252" i="7" s="1"/>
  <c r="L252" i="7" s="1"/>
  <c r="H247" i="7"/>
  <c r="K247" i="7" s="1"/>
  <c r="L247" i="7" s="1"/>
  <c r="H246" i="7"/>
  <c r="K246" i="7" s="1"/>
  <c r="L246" i="7" s="1"/>
  <c r="AO528" i="7"/>
  <c r="AO529" i="7" s="1"/>
  <c r="AO123" i="7" s="1"/>
  <c r="Z528" i="7"/>
  <c r="Z529" i="7" s="1"/>
  <c r="Z123" i="7" s="1"/>
  <c r="AH528" i="7"/>
  <c r="AH529" i="7" s="1"/>
  <c r="AH123" i="7" s="1"/>
  <c r="Y528" i="7"/>
  <c r="Y529" i="7" s="1"/>
  <c r="Y123" i="7" s="1"/>
  <c r="AM528" i="7"/>
  <c r="AM529" i="7" s="1"/>
  <c r="AM123" i="7" s="1"/>
  <c r="AI528" i="7"/>
  <c r="AI529" i="7" s="1"/>
  <c r="AI123" i="7" s="1"/>
  <c r="AE528" i="7"/>
  <c r="AE529" i="7" s="1"/>
  <c r="AE123" i="7" s="1"/>
  <c r="R528" i="7"/>
  <c r="R529" i="7" s="1"/>
  <c r="R123" i="7" s="1"/>
  <c r="AB528" i="7"/>
  <c r="AB529" i="7" s="1"/>
  <c r="AB123" i="7" s="1"/>
  <c r="AG528" i="7"/>
  <c r="AG529" i="7" s="1"/>
  <c r="AG123" i="7" s="1"/>
  <c r="AF528" i="7"/>
  <c r="AF529" i="7" s="1"/>
  <c r="AF123" i="7" s="1"/>
  <c r="AD528" i="7"/>
  <c r="AD529" i="7" s="1"/>
  <c r="AD123" i="7" s="1"/>
  <c r="L528" i="7"/>
  <c r="L529" i="7" s="1"/>
  <c r="L123" i="7" s="1"/>
  <c r="C528" i="7"/>
  <c r="AK528" i="7"/>
  <c r="AK529" i="7" s="1"/>
  <c r="AK123" i="7" s="1"/>
  <c r="F528" i="7"/>
  <c r="F529" i="7" s="1"/>
  <c r="F123" i="7" s="1"/>
  <c r="AN528" i="7"/>
  <c r="AN529" i="7" s="1"/>
  <c r="AN123" i="7" s="1"/>
  <c r="P528" i="7"/>
  <c r="P529" i="7" s="1"/>
  <c r="P123" i="7" s="1"/>
  <c r="W528" i="7"/>
  <c r="W529" i="7" s="1"/>
  <c r="W123" i="7" s="1"/>
  <c r="I528" i="7"/>
  <c r="I529" i="7" s="1"/>
  <c r="I123" i="7" s="1"/>
  <c r="E528" i="7"/>
  <c r="E529" i="7" s="1"/>
  <c r="E123" i="7" s="1"/>
  <c r="AL528" i="7"/>
  <c r="AL529" i="7" s="1"/>
  <c r="AL123" i="7" s="1"/>
  <c r="AJ528" i="7"/>
  <c r="AJ529" i="7" s="1"/>
  <c r="AJ123" i="7" s="1"/>
  <c r="K528" i="7"/>
  <c r="K529" i="7" s="1"/>
  <c r="K123" i="7" s="1"/>
  <c r="U528" i="7"/>
  <c r="U529" i="7" s="1"/>
  <c r="U123" i="7" s="1"/>
  <c r="T528" i="7"/>
  <c r="T529" i="7" s="1"/>
  <c r="T123" i="7" s="1"/>
  <c r="AP528" i="7"/>
  <c r="AP529" i="7" s="1"/>
  <c r="AP123" i="7" s="1"/>
  <c r="AC528" i="7"/>
  <c r="AC529" i="7" s="1"/>
  <c r="AC123" i="7" s="1"/>
  <c r="AA528" i="7"/>
  <c r="AA529" i="7" s="1"/>
  <c r="AA123" i="7" s="1"/>
  <c r="Q528" i="7"/>
  <c r="Q529" i="7" s="1"/>
  <c r="Q123" i="7" s="1"/>
  <c r="J528" i="7"/>
  <c r="J529" i="7" s="1"/>
  <c r="J123" i="7" s="1"/>
  <c r="S528" i="7"/>
  <c r="S529" i="7" s="1"/>
  <c r="S123" i="7" s="1"/>
  <c r="M528" i="7"/>
  <c r="M529" i="7" s="1"/>
  <c r="M123" i="7" s="1"/>
  <c r="O528" i="7"/>
  <c r="O529" i="7" s="1"/>
  <c r="O123" i="7" s="1"/>
  <c r="G528" i="7"/>
  <c r="G529" i="7" s="1"/>
  <c r="G123" i="7" s="1"/>
  <c r="H528" i="7"/>
  <c r="H529" i="7" s="1"/>
  <c r="H123" i="7" s="1"/>
  <c r="N528" i="7"/>
  <c r="N529" i="7" s="1"/>
  <c r="N123" i="7" s="1"/>
  <c r="D528" i="7"/>
  <c r="D529" i="7" s="1"/>
  <c r="D123" i="7" s="1"/>
  <c r="V528" i="7"/>
  <c r="V529" i="7" s="1"/>
  <c r="V123" i="7" s="1"/>
  <c r="X528" i="7"/>
  <c r="X529" i="7" s="1"/>
  <c r="X123" i="7" s="1"/>
  <c r="C522" i="7"/>
  <c r="AH522" i="7"/>
  <c r="AH523" i="7" s="1"/>
  <c r="AH122" i="7" s="1"/>
  <c r="S522" i="7"/>
  <c r="S523" i="7" s="1"/>
  <c r="S122" i="7" s="1"/>
  <c r="E522" i="7"/>
  <c r="E523" i="7" s="1"/>
  <c r="E122" i="7" s="1"/>
  <c r="P522" i="7"/>
  <c r="P523" i="7" s="1"/>
  <c r="P122" i="7" s="1"/>
  <c r="AO522" i="7"/>
  <c r="AO523" i="7" s="1"/>
  <c r="AO122" i="7" s="1"/>
  <c r="K522" i="7"/>
  <c r="K523" i="7" s="1"/>
  <c r="K122" i="7" s="1"/>
  <c r="L522" i="7"/>
  <c r="L523" i="7" s="1"/>
  <c r="L122" i="7" s="1"/>
  <c r="AK522" i="7"/>
  <c r="AK523" i="7" s="1"/>
  <c r="AK122" i="7" s="1"/>
  <c r="AC522" i="7"/>
  <c r="AC523" i="7" s="1"/>
  <c r="AC122" i="7" s="1"/>
  <c r="AL522" i="7"/>
  <c r="AL523" i="7" s="1"/>
  <c r="AL122" i="7" s="1"/>
  <c r="AP522" i="7"/>
  <c r="AP523" i="7" s="1"/>
  <c r="AP122" i="7" s="1"/>
  <c r="R522" i="7"/>
  <c r="R523" i="7" s="1"/>
  <c r="R122" i="7" s="1"/>
  <c r="AJ522" i="7"/>
  <c r="AJ523" i="7" s="1"/>
  <c r="AJ122" i="7" s="1"/>
  <c r="N522" i="7"/>
  <c r="N523" i="7" s="1"/>
  <c r="N122" i="7" s="1"/>
  <c r="I522" i="7"/>
  <c r="I523" i="7" s="1"/>
  <c r="I122" i="7" s="1"/>
  <c r="AF522" i="7"/>
  <c r="AF523" i="7" s="1"/>
  <c r="AF122" i="7" s="1"/>
  <c r="J522" i="7"/>
  <c r="J523" i="7" s="1"/>
  <c r="J122" i="7" s="1"/>
  <c r="AM522" i="7"/>
  <c r="AM523" i="7" s="1"/>
  <c r="AM122" i="7" s="1"/>
  <c r="AD522" i="7"/>
  <c r="AD523" i="7" s="1"/>
  <c r="AD122" i="7" s="1"/>
  <c r="X522" i="7"/>
  <c r="X523" i="7" s="1"/>
  <c r="X122" i="7" s="1"/>
  <c r="AG522" i="7"/>
  <c r="AG523" i="7" s="1"/>
  <c r="AG122" i="7" s="1"/>
  <c r="AA522" i="7"/>
  <c r="AA523" i="7" s="1"/>
  <c r="AA122" i="7" s="1"/>
  <c r="T522" i="7"/>
  <c r="T523" i="7" s="1"/>
  <c r="T122" i="7" s="1"/>
  <c r="G522" i="7"/>
  <c r="G523" i="7" s="1"/>
  <c r="G122" i="7" s="1"/>
  <c r="U522" i="7"/>
  <c r="U523" i="7" s="1"/>
  <c r="U122" i="7" s="1"/>
  <c r="V522" i="7"/>
  <c r="V523" i="7" s="1"/>
  <c r="V122" i="7" s="1"/>
  <c r="AI522" i="7"/>
  <c r="AI523" i="7" s="1"/>
  <c r="AI122" i="7" s="1"/>
  <c r="AE522" i="7"/>
  <c r="AE523" i="7" s="1"/>
  <c r="AE122" i="7" s="1"/>
  <c r="AN522" i="7"/>
  <c r="AN523" i="7" s="1"/>
  <c r="AN122" i="7" s="1"/>
  <c r="D522" i="7"/>
  <c r="D523" i="7" s="1"/>
  <c r="D122" i="7" s="1"/>
  <c r="AB522" i="7"/>
  <c r="AB523" i="7" s="1"/>
  <c r="AB122" i="7" s="1"/>
  <c r="F522" i="7"/>
  <c r="F523" i="7" s="1"/>
  <c r="F122" i="7" s="1"/>
  <c r="W522" i="7"/>
  <c r="W523" i="7" s="1"/>
  <c r="W122" i="7" s="1"/>
  <c r="Y522" i="7"/>
  <c r="Y523" i="7" s="1"/>
  <c r="Y122" i="7" s="1"/>
  <c r="Q522" i="7"/>
  <c r="Q523" i="7" s="1"/>
  <c r="Q122" i="7" s="1"/>
  <c r="Z522" i="7"/>
  <c r="Z523" i="7" s="1"/>
  <c r="Z122" i="7" s="1"/>
  <c r="M522" i="7"/>
  <c r="M523" i="7" s="1"/>
  <c r="M122" i="7" s="1"/>
  <c r="O522" i="7"/>
  <c r="O523" i="7" s="1"/>
  <c r="O122" i="7" s="1"/>
  <c r="H522" i="7"/>
  <c r="H523" i="7" s="1"/>
  <c r="H122" i="7" s="1"/>
  <c r="H249" i="7"/>
  <c r="K249" i="7" s="1"/>
  <c r="L249" i="7" s="1"/>
  <c r="H248" i="7"/>
  <c r="K248" i="7" s="1"/>
  <c r="L248" i="7" s="1"/>
  <c r="C590" i="7"/>
  <c r="C111" i="7"/>
  <c r="C112" i="7" s="1"/>
  <c r="C117" i="7" s="1"/>
  <c r="C118" i="7" s="1"/>
  <c r="H389" i="7"/>
  <c r="K387" i="7"/>
  <c r="L387" i="7" s="1"/>
  <c r="K251" i="7"/>
  <c r="L251" i="7" s="1"/>
  <c r="H253" i="7"/>
  <c r="K382" i="7"/>
  <c r="L382" i="7" s="1"/>
  <c r="Q208" i="7" l="1"/>
  <c r="Q124" i="7"/>
  <c r="T208" i="7"/>
  <c r="T124" i="7"/>
  <c r="I208" i="7"/>
  <c r="I124" i="7"/>
  <c r="L208" i="7"/>
  <c r="L124" i="7"/>
  <c r="O208" i="7"/>
  <c r="O124" i="7"/>
  <c r="Y208" i="7"/>
  <c r="Y124" i="7"/>
  <c r="D208" i="7"/>
  <c r="D124" i="7"/>
  <c r="V208" i="7"/>
  <c r="V124" i="7"/>
  <c r="AA208" i="7"/>
  <c r="AA124" i="7"/>
  <c r="AM208" i="7"/>
  <c r="AM210" i="7" s="1"/>
  <c r="AM238" i="7" s="1"/>
  <c r="AM240" i="7" s="1"/>
  <c r="AM124" i="7"/>
  <c r="N208" i="7"/>
  <c r="N124" i="7"/>
  <c r="AL208" i="7"/>
  <c r="AL210" i="7" s="1"/>
  <c r="AL238" i="7" s="1"/>
  <c r="AL240" i="7" s="1"/>
  <c r="AL124" i="7"/>
  <c r="K208" i="7"/>
  <c r="K124" i="7"/>
  <c r="S208" i="7"/>
  <c r="S124" i="7"/>
  <c r="C529" i="7"/>
  <c r="C123" i="7" s="1"/>
  <c r="I389" i="7"/>
  <c r="H208" i="7"/>
  <c r="H124" i="7"/>
  <c r="AB208" i="7"/>
  <c r="AB210" i="7" s="1"/>
  <c r="AB238" i="7" s="1"/>
  <c r="AB240" i="7" s="1"/>
  <c r="AB124" i="7"/>
  <c r="AI208" i="7"/>
  <c r="AI210" i="7" s="1"/>
  <c r="AI238" i="7" s="1"/>
  <c r="AI240" i="7" s="1"/>
  <c r="AI124" i="7"/>
  <c r="AD208" i="7"/>
  <c r="AD210" i="7" s="1"/>
  <c r="AD238" i="7" s="1"/>
  <c r="AD240" i="7" s="1"/>
  <c r="AD124" i="7"/>
  <c r="AP208" i="7"/>
  <c r="AP210" i="7" s="1"/>
  <c r="AP238" i="7" s="1"/>
  <c r="AP240" i="7" s="1"/>
  <c r="AP124" i="7"/>
  <c r="E208" i="7"/>
  <c r="E124" i="7"/>
  <c r="M208" i="7"/>
  <c r="M124" i="7"/>
  <c r="W208" i="7"/>
  <c r="W124" i="7"/>
  <c r="AN208" i="7"/>
  <c r="AN210" i="7" s="1"/>
  <c r="AN238" i="7" s="1"/>
  <c r="AN240" i="7" s="1"/>
  <c r="AN124" i="7"/>
  <c r="U208" i="7"/>
  <c r="U124" i="7"/>
  <c r="AG208" i="7"/>
  <c r="AG210" i="7" s="1"/>
  <c r="AG238" i="7" s="1"/>
  <c r="AG240" i="7" s="1"/>
  <c r="AG124" i="7"/>
  <c r="J208" i="7"/>
  <c r="J124" i="7"/>
  <c r="AJ208" i="7"/>
  <c r="AJ210" i="7" s="1"/>
  <c r="AJ238" i="7" s="1"/>
  <c r="AJ240" i="7" s="1"/>
  <c r="AJ124" i="7"/>
  <c r="AC208" i="7"/>
  <c r="AC210" i="7" s="1"/>
  <c r="AC238" i="7" s="1"/>
  <c r="AC240" i="7" s="1"/>
  <c r="AC124" i="7"/>
  <c r="AO208" i="7"/>
  <c r="AO210" i="7" s="1"/>
  <c r="AO238" i="7" s="1"/>
  <c r="AO240" i="7" s="1"/>
  <c r="AO124" i="7"/>
  <c r="AH208" i="7"/>
  <c r="AH210" i="7" s="1"/>
  <c r="AH238" i="7" s="1"/>
  <c r="AH240" i="7" s="1"/>
  <c r="AH124" i="7"/>
  <c r="Z208" i="7"/>
  <c r="Z124" i="7"/>
  <c r="F208" i="7"/>
  <c r="F124" i="7"/>
  <c r="AE208" i="7"/>
  <c r="AE210" i="7" s="1"/>
  <c r="AE238" i="7" s="1"/>
  <c r="AE240" i="7" s="1"/>
  <c r="AE124" i="7"/>
  <c r="G208" i="7"/>
  <c r="G124" i="7"/>
  <c r="X208" i="7"/>
  <c r="X124" i="7"/>
  <c r="AF208" i="7"/>
  <c r="AF210" i="7" s="1"/>
  <c r="AF238" i="7" s="1"/>
  <c r="AF240" i="7" s="1"/>
  <c r="AF124" i="7"/>
  <c r="R208" i="7"/>
  <c r="R124" i="7"/>
  <c r="AK208" i="7"/>
  <c r="AK210" i="7" s="1"/>
  <c r="AK238" i="7" s="1"/>
  <c r="AK240" i="7" s="1"/>
  <c r="AK124" i="7"/>
  <c r="P208" i="7"/>
  <c r="P124" i="7"/>
  <c r="C523" i="7"/>
  <c r="C122" i="7" s="1"/>
  <c r="C208" i="7" s="1"/>
  <c r="I253" i="7"/>
  <c r="D588" i="7"/>
  <c r="L389" i="7"/>
  <c r="L253" i="7"/>
  <c r="AE144" i="7" l="1"/>
  <c r="AE131" i="7"/>
  <c r="AE132" i="7" s="1"/>
  <c r="AE133" i="7" s="1"/>
  <c r="AO144" i="7"/>
  <c r="AO131" i="7"/>
  <c r="AO132" i="7" s="1"/>
  <c r="AO133" i="7" s="1"/>
  <c r="AJ144" i="7"/>
  <c r="AJ131" i="7"/>
  <c r="AJ132" i="7" s="1"/>
  <c r="AJ133" i="7" s="1"/>
  <c r="AG144" i="7"/>
  <c r="AG131" i="7"/>
  <c r="AG132" i="7" s="1"/>
  <c r="AG133" i="7" s="1"/>
  <c r="AN144" i="7"/>
  <c r="AN131" i="7"/>
  <c r="AN132" i="7" s="1"/>
  <c r="AN133" i="7" s="1"/>
  <c r="AP144" i="7"/>
  <c r="AP131" i="7"/>
  <c r="AP132" i="7" s="1"/>
  <c r="AP133" i="7" s="1"/>
  <c r="AI144" i="7"/>
  <c r="AI131" i="7"/>
  <c r="AI132" i="7" s="1"/>
  <c r="AI133" i="7" s="1"/>
  <c r="AL144" i="7"/>
  <c r="AL131" i="7"/>
  <c r="AL132" i="7" s="1"/>
  <c r="AL133" i="7" s="1"/>
  <c r="AM144" i="7"/>
  <c r="AM131" i="7"/>
  <c r="AM132" i="7" s="1"/>
  <c r="AM133" i="7" s="1"/>
  <c r="I252" i="7"/>
  <c r="J252" i="7" s="1"/>
  <c r="I248" i="7"/>
  <c r="J248" i="7" s="1"/>
  <c r="I249" i="7"/>
  <c r="J249" i="7" s="1"/>
  <c r="I251" i="7"/>
  <c r="J251" i="7" s="1"/>
  <c r="I247" i="7"/>
  <c r="J247" i="7" s="1"/>
  <c r="I246" i="7"/>
  <c r="J246" i="7" s="1"/>
  <c r="I250" i="7"/>
  <c r="J250" i="7" s="1"/>
  <c r="I384" i="7"/>
  <c r="J384" i="7" s="1"/>
  <c r="I388" i="7"/>
  <c r="J388" i="7" s="1"/>
  <c r="I385" i="7"/>
  <c r="J385" i="7" s="1"/>
  <c r="I382" i="7"/>
  <c r="J382" i="7" s="1"/>
  <c r="I383" i="7"/>
  <c r="J383" i="7" s="1"/>
  <c r="I387" i="7"/>
  <c r="J387" i="7" s="1"/>
  <c r="I386" i="7"/>
  <c r="J386" i="7" s="1"/>
  <c r="AK144" i="7"/>
  <c r="AK131" i="7"/>
  <c r="AK132" i="7" s="1"/>
  <c r="AK133" i="7" s="1"/>
  <c r="AF144" i="7"/>
  <c r="AF131" i="7"/>
  <c r="AF132" i="7" s="1"/>
  <c r="AF133" i="7" s="1"/>
  <c r="AH144" i="7"/>
  <c r="AH131" i="7"/>
  <c r="AH132" i="7" s="1"/>
  <c r="AH133" i="7" s="1"/>
  <c r="AC144" i="7"/>
  <c r="AC131" i="7"/>
  <c r="AC132" i="7" s="1"/>
  <c r="AC133" i="7" s="1"/>
  <c r="AD144" i="7"/>
  <c r="AD131" i="7"/>
  <c r="AD132" i="7" s="1"/>
  <c r="AD133" i="7" s="1"/>
  <c r="AB144" i="7"/>
  <c r="AB131" i="7"/>
  <c r="AB132" i="7" s="1"/>
  <c r="AB133" i="7" s="1"/>
  <c r="C124" i="7"/>
  <c r="D589" i="7"/>
  <c r="D76" i="7"/>
  <c r="D77" i="7" s="1"/>
  <c r="D168" i="7"/>
  <c r="D205" i="7"/>
  <c r="J253" i="7" l="1"/>
  <c r="N385" i="7"/>
  <c r="O385" i="7" s="1"/>
  <c r="Q385" i="7" s="1"/>
  <c r="N249" i="7"/>
  <c r="O249" i="7" s="1"/>
  <c r="Q249" i="7" s="1"/>
  <c r="N251" i="7"/>
  <c r="O251" i="7" s="1"/>
  <c r="Q251" i="7" s="1"/>
  <c r="N387" i="7"/>
  <c r="O387" i="7" s="1"/>
  <c r="Q387" i="7" s="1"/>
  <c r="N252" i="7"/>
  <c r="O252" i="7" s="1"/>
  <c r="Q252" i="7" s="1"/>
  <c r="N388" i="7"/>
  <c r="O388" i="7" s="1"/>
  <c r="Q388" i="7" s="1"/>
  <c r="N383" i="7"/>
  <c r="O383" i="7" s="1"/>
  <c r="N247" i="7"/>
  <c r="O247" i="7" s="1"/>
  <c r="P247" i="7" s="1"/>
  <c r="Q247" i="7" s="1"/>
  <c r="R288" i="7" s="1"/>
  <c r="N248" i="7"/>
  <c r="O248" i="7" s="1"/>
  <c r="Q248" i="7" s="1"/>
  <c r="N384" i="7"/>
  <c r="O384" i="7" s="1"/>
  <c r="Q384" i="7" s="1"/>
  <c r="N250" i="7"/>
  <c r="O250" i="7" s="1"/>
  <c r="Q250" i="7" s="1"/>
  <c r="N386" i="7"/>
  <c r="O386" i="7" s="1"/>
  <c r="Q386" i="7" s="1"/>
  <c r="N382" i="7"/>
  <c r="N246" i="7"/>
  <c r="J389" i="7"/>
  <c r="F288" i="7"/>
  <c r="X288" i="7"/>
  <c r="C293" i="7"/>
  <c r="D293" i="7"/>
  <c r="E293" i="7"/>
  <c r="F293" i="7"/>
  <c r="G293" i="7"/>
  <c r="H293" i="7"/>
  <c r="I293" i="7"/>
  <c r="J293" i="7"/>
  <c r="K293" i="7"/>
  <c r="L293" i="7"/>
  <c r="M293" i="7"/>
  <c r="N293" i="7"/>
  <c r="O293" i="7"/>
  <c r="P293" i="7"/>
  <c r="Q293" i="7"/>
  <c r="R293" i="7"/>
  <c r="S293" i="7"/>
  <c r="T293" i="7"/>
  <c r="U293" i="7"/>
  <c r="V293" i="7"/>
  <c r="W293" i="7"/>
  <c r="X293" i="7"/>
  <c r="Y293" i="7"/>
  <c r="Z293" i="7"/>
  <c r="AA293" i="7"/>
  <c r="D111" i="7"/>
  <c r="D112" i="7" s="1"/>
  <c r="D117" i="7" s="1"/>
  <c r="D118" i="7" s="1"/>
  <c r="D590" i="7"/>
  <c r="AI288" i="7" l="1"/>
  <c r="AP288" i="7"/>
  <c r="AO288" i="7"/>
  <c r="M288" i="7"/>
  <c r="AH288" i="7"/>
  <c r="W288" i="7"/>
  <c r="AN288" i="7"/>
  <c r="V288" i="7"/>
  <c r="L288" i="7"/>
  <c r="AK288" i="7"/>
  <c r="S288" i="7"/>
  <c r="AF288" i="7"/>
  <c r="N288" i="7"/>
  <c r="AE288" i="7"/>
  <c r="AC288" i="7"/>
  <c r="AD291" i="7"/>
  <c r="N291" i="7"/>
  <c r="AB291" i="7"/>
  <c r="AC291" i="7"/>
  <c r="M291" i="7"/>
  <c r="AF291" i="7"/>
  <c r="H291" i="7"/>
  <c r="C291" i="7"/>
  <c r="AM291" i="7"/>
  <c r="G291" i="7"/>
  <c r="R291" i="7"/>
  <c r="Q291" i="7"/>
  <c r="S291" i="7"/>
  <c r="AI291" i="7"/>
  <c r="AP291" i="7"/>
  <c r="Z291" i="7"/>
  <c r="J291" i="7"/>
  <c r="AO291" i="7"/>
  <c r="Y291" i="7"/>
  <c r="I291" i="7"/>
  <c r="X291" i="7"/>
  <c r="D291" i="7"/>
  <c r="T291" i="7"/>
  <c r="W291" i="7"/>
  <c r="AJ291" i="7"/>
  <c r="AN291" i="7"/>
  <c r="O291" i="7"/>
  <c r="AL291" i="7"/>
  <c r="V291" i="7"/>
  <c r="F291" i="7"/>
  <c r="AK291" i="7"/>
  <c r="U291" i="7"/>
  <c r="E291" i="7"/>
  <c r="P291" i="7"/>
  <c r="AE291" i="7"/>
  <c r="AA291" i="7"/>
  <c r="K291" i="7"/>
  <c r="AH291" i="7"/>
  <c r="AG291" i="7"/>
  <c r="L291" i="7"/>
  <c r="P383" i="7"/>
  <c r="Q383" i="7" s="1"/>
  <c r="AH292" i="7"/>
  <c r="R292" i="7"/>
  <c r="AO292" i="7"/>
  <c r="Y292" i="7"/>
  <c r="I292" i="7"/>
  <c r="X292" i="7"/>
  <c r="AA292" i="7"/>
  <c r="W292" i="7"/>
  <c r="AB292" i="7"/>
  <c r="S292" i="7"/>
  <c r="AD292" i="7"/>
  <c r="N292" i="7"/>
  <c r="AK292" i="7"/>
  <c r="U292" i="7"/>
  <c r="E292" i="7"/>
  <c r="P292" i="7"/>
  <c r="K292" i="7"/>
  <c r="O292" i="7"/>
  <c r="T292" i="7"/>
  <c r="C292" i="7"/>
  <c r="AP292" i="7"/>
  <c r="Z292" i="7"/>
  <c r="J292" i="7"/>
  <c r="AG292" i="7"/>
  <c r="Q292" i="7"/>
  <c r="AN292" i="7"/>
  <c r="H292" i="7"/>
  <c r="AM292" i="7"/>
  <c r="G292" i="7"/>
  <c r="L292" i="7"/>
  <c r="V292" i="7"/>
  <c r="M292" i="7"/>
  <c r="AJ292" i="7"/>
  <c r="AF292" i="7"/>
  <c r="D292" i="7"/>
  <c r="AE292" i="7"/>
  <c r="AL292" i="7"/>
  <c r="F292" i="7"/>
  <c r="AI292" i="7"/>
  <c r="AC292" i="7"/>
  <c r="U288" i="7"/>
  <c r="P288" i="7"/>
  <c r="AA288" i="7"/>
  <c r="AL427" i="7"/>
  <c r="AK427" i="7"/>
  <c r="H427" i="7"/>
  <c r="Q427" i="7"/>
  <c r="AB427" i="7"/>
  <c r="V427" i="7"/>
  <c r="E427" i="7"/>
  <c r="AE427" i="7"/>
  <c r="AJ427" i="7"/>
  <c r="AP427" i="7"/>
  <c r="AH427" i="7"/>
  <c r="AI427" i="7"/>
  <c r="U427" i="7"/>
  <c r="AO427" i="7"/>
  <c r="D427" i="7"/>
  <c r="T427" i="7"/>
  <c r="J427" i="7"/>
  <c r="AA427" i="7"/>
  <c r="X427" i="7"/>
  <c r="K427" i="7"/>
  <c r="I427" i="7"/>
  <c r="P427" i="7"/>
  <c r="R427" i="7"/>
  <c r="AG427" i="7"/>
  <c r="AC427" i="7"/>
  <c r="AM427" i="7"/>
  <c r="Y427" i="7"/>
  <c r="AF427" i="7"/>
  <c r="O427" i="7"/>
  <c r="G427" i="7"/>
  <c r="AN427" i="7"/>
  <c r="S427" i="7"/>
  <c r="F427" i="7"/>
  <c r="Z427" i="7"/>
  <c r="L427" i="7"/>
  <c r="C427" i="7"/>
  <c r="W427" i="7"/>
  <c r="AD427" i="7"/>
  <c r="N427" i="7"/>
  <c r="M427" i="7"/>
  <c r="P428" i="7"/>
  <c r="I428" i="7"/>
  <c r="AL428" i="7"/>
  <c r="H428" i="7"/>
  <c r="G428" i="7"/>
  <c r="AO428" i="7"/>
  <c r="AF428" i="7"/>
  <c r="AG428" i="7"/>
  <c r="N428" i="7"/>
  <c r="L428" i="7"/>
  <c r="X428" i="7"/>
  <c r="T428" i="7"/>
  <c r="AB428" i="7"/>
  <c r="AK428" i="7"/>
  <c r="E428" i="7"/>
  <c r="AH428" i="7"/>
  <c r="AI428" i="7"/>
  <c r="R428" i="7"/>
  <c r="S428" i="7"/>
  <c r="AA428" i="7"/>
  <c r="AN428" i="7"/>
  <c r="AC428" i="7"/>
  <c r="M428" i="7"/>
  <c r="V428" i="7"/>
  <c r="Q428" i="7"/>
  <c r="AE428" i="7"/>
  <c r="D428" i="7"/>
  <c r="J428" i="7"/>
  <c r="O428" i="7"/>
  <c r="AJ428" i="7"/>
  <c r="U428" i="7"/>
  <c r="C428" i="7"/>
  <c r="AP428" i="7"/>
  <c r="Z428" i="7"/>
  <c r="W428" i="7"/>
  <c r="F428" i="7"/>
  <c r="AD428" i="7"/>
  <c r="K428" i="7"/>
  <c r="AM428" i="7"/>
  <c r="Y428" i="7"/>
  <c r="C288" i="7"/>
  <c r="Q288" i="7"/>
  <c r="AL288" i="7"/>
  <c r="AB288" i="7"/>
  <c r="J288" i="7"/>
  <c r="K288" i="7"/>
  <c r="I288" i="7"/>
  <c r="AD288" i="7"/>
  <c r="T288" i="7"/>
  <c r="D288" i="7"/>
  <c r="N253" i="7"/>
  <c r="O246" i="7"/>
  <c r="R425" i="7"/>
  <c r="U425" i="7"/>
  <c r="AO425" i="7"/>
  <c r="AP425" i="7"/>
  <c r="X425" i="7"/>
  <c r="AI425" i="7"/>
  <c r="O425" i="7"/>
  <c r="AJ425" i="7"/>
  <c r="AH425" i="7"/>
  <c r="AG425" i="7"/>
  <c r="L425" i="7"/>
  <c r="Y425" i="7"/>
  <c r="F425" i="7"/>
  <c r="AE425" i="7"/>
  <c r="S425" i="7"/>
  <c r="M425" i="7"/>
  <c r="N425" i="7"/>
  <c r="AN425" i="7"/>
  <c r="T425" i="7"/>
  <c r="H425" i="7"/>
  <c r="J425" i="7"/>
  <c r="K425" i="7"/>
  <c r="Z425" i="7"/>
  <c r="AM425" i="7"/>
  <c r="C425" i="7"/>
  <c r="AB425" i="7"/>
  <c r="E425" i="7"/>
  <c r="AF425" i="7"/>
  <c r="V425" i="7"/>
  <c r="W425" i="7"/>
  <c r="Q425" i="7"/>
  <c r="G425" i="7"/>
  <c r="AD425" i="7"/>
  <c r="AC425" i="7"/>
  <c r="P425" i="7"/>
  <c r="I425" i="7"/>
  <c r="AL425" i="7"/>
  <c r="AK425" i="7"/>
  <c r="D425" i="7"/>
  <c r="AA425" i="7"/>
  <c r="E429" i="7"/>
  <c r="I429" i="7"/>
  <c r="M429" i="7"/>
  <c r="Q429" i="7"/>
  <c r="U429" i="7"/>
  <c r="Y429" i="7"/>
  <c r="L429" i="7"/>
  <c r="X429" i="7"/>
  <c r="F429" i="7"/>
  <c r="J429" i="7"/>
  <c r="N429" i="7"/>
  <c r="R429" i="7"/>
  <c r="V429" i="7"/>
  <c r="Z429" i="7"/>
  <c r="H429" i="7"/>
  <c r="T429" i="7"/>
  <c r="C429" i="7"/>
  <c r="G429" i="7"/>
  <c r="K429" i="7"/>
  <c r="O429" i="7"/>
  <c r="S429" i="7"/>
  <c r="W429" i="7"/>
  <c r="AA429" i="7"/>
  <c r="D429" i="7"/>
  <c r="P429" i="7"/>
  <c r="AA290" i="7"/>
  <c r="K290" i="7"/>
  <c r="T290" i="7"/>
  <c r="AH290" i="7"/>
  <c r="R290" i="7"/>
  <c r="AJ290" i="7"/>
  <c r="AK290" i="7"/>
  <c r="U290" i="7"/>
  <c r="E290" i="7"/>
  <c r="D290" i="7"/>
  <c r="AE290" i="7"/>
  <c r="O290" i="7"/>
  <c r="AF290" i="7"/>
  <c r="AL290" i="7"/>
  <c r="V290" i="7"/>
  <c r="AO290" i="7"/>
  <c r="Y290" i="7"/>
  <c r="AM290" i="7"/>
  <c r="W290" i="7"/>
  <c r="G290" i="7"/>
  <c r="H290" i="7"/>
  <c r="AD290" i="7"/>
  <c r="N290" i="7"/>
  <c r="X290" i="7"/>
  <c r="AG290" i="7"/>
  <c r="Q290" i="7"/>
  <c r="AN290" i="7"/>
  <c r="P290" i="7"/>
  <c r="AI290" i="7"/>
  <c r="S290" i="7"/>
  <c r="C290" i="7"/>
  <c r="AP290" i="7"/>
  <c r="Z290" i="7"/>
  <c r="J290" i="7"/>
  <c r="L290" i="7"/>
  <c r="AC290" i="7"/>
  <c r="M290" i="7"/>
  <c r="AB290" i="7"/>
  <c r="F290" i="7"/>
  <c r="I290" i="7"/>
  <c r="H288" i="7"/>
  <c r="AG288" i="7"/>
  <c r="AM288" i="7"/>
  <c r="E288" i="7"/>
  <c r="Z288" i="7"/>
  <c r="O288" i="7"/>
  <c r="Y288" i="7"/>
  <c r="G288" i="7"/>
  <c r="AJ288" i="7"/>
  <c r="O382" i="7"/>
  <c r="N389" i="7"/>
  <c r="AD289" i="7"/>
  <c r="N289" i="7"/>
  <c r="AO289" i="7"/>
  <c r="Y289" i="7"/>
  <c r="I289" i="7"/>
  <c r="AF289" i="7"/>
  <c r="L289" i="7"/>
  <c r="W289" i="7"/>
  <c r="S289" i="7"/>
  <c r="K289" i="7"/>
  <c r="R289" i="7"/>
  <c r="AC289" i="7"/>
  <c r="AJ289" i="7"/>
  <c r="AI289" i="7"/>
  <c r="AP289" i="7"/>
  <c r="Z289" i="7"/>
  <c r="J289" i="7"/>
  <c r="AK289" i="7"/>
  <c r="U289" i="7"/>
  <c r="E289" i="7"/>
  <c r="AB289" i="7"/>
  <c r="H289" i="7"/>
  <c r="G289" i="7"/>
  <c r="C289" i="7"/>
  <c r="AH289" i="7"/>
  <c r="P289" i="7"/>
  <c r="M289" i="7"/>
  <c r="AM289" i="7"/>
  <c r="O289" i="7"/>
  <c r="AL289" i="7"/>
  <c r="V289" i="7"/>
  <c r="F289" i="7"/>
  <c r="AG289" i="7"/>
  <c r="Q289" i="7"/>
  <c r="AN289" i="7"/>
  <c r="X289" i="7"/>
  <c r="D289" i="7"/>
  <c r="AA289" i="7"/>
  <c r="AE289" i="7"/>
  <c r="T289" i="7"/>
  <c r="N426" i="7"/>
  <c r="AI426" i="7"/>
  <c r="AO426" i="7"/>
  <c r="E426" i="7"/>
  <c r="O426" i="7"/>
  <c r="C426" i="7"/>
  <c r="K426" i="7"/>
  <c r="X426" i="7"/>
  <c r="G426" i="7"/>
  <c r="Y426" i="7"/>
  <c r="AK426" i="7"/>
  <c r="L426" i="7"/>
  <c r="D426" i="7"/>
  <c r="AC426" i="7"/>
  <c r="Q426" i="7"/>
  <c r="R426" i="7"/>
  <c r="T426" i="7"/>
  <c r="AM426" i="7"/>
  <c r="AN426" i="7"/>
  <c r="S426" i="7"/>
  <c r="W426" i="7"/>
  <c r="AL426" i="7"/>
  <c r="P426" i="7"/>
  <c r="F426" i="7"/>
  <c r="U426" i="7"/>
  <c r="AA426" i="7"/>
  <c r="AH426" i="7"/>
  <c r="V426" i="7"/>
  <c r="AE426" i="7"/>
  <c r="AG426" i="7"/>
  <c r="AD426" i="7"/>
  <c r="I426" i="7"/>
  <c r="Z426" i="7"/>
  <c r="M426" i="7"/>
  <c r="H426" i="7"/>
  <c r="AJ426" i="7"/>
  <c r="AP426" i="7"/>
  <c r="AB426" i="7"/>
  <c r="J426" i="7"/>
  <c r="AF426" i="7"/>
  <c r="E588" i="7"/>
  <c r="B293" i="7" a="1"/>
  <c r="B293" i="7" s="1"/>
  <c r="B288" i="7" l="1" a="1"/>
  <c r="B288" i="7" s="1"/>
  <c r="B290" i="7" a="1"/>
  <c r="B290" i="7" s="1"/>
  <c r="P424" i="7"/>
  <c r="V424" i="7"/>
  <c r="AN424" i="7"/>
  <c r="Y424" i="7"/>
  <c r="N424" i="7"/>
  <c r="H424" i="7"/>
  <c r="AA424" i="7"/>
  <c r="I424" i="7"/>
  <c r="AE424" i="7"/>
  <c r="AI424" i="7"/>
  <c r="AF424" i="7"/>
  <c r="L424" i="7"/>
  <c r="F424" i="7"/>
  <c r="R424" i="7"/>
  <c r="Q424" i="7"/>
  <c r="C424" i="7"/>
  <c r="Z424" i="7"/>
  <c r="G424" i="7"/>
  <c r="AL424" i="7"/>
  <c r="AC424" i="7"/>
  <c r="AM424" i="7"/>
  <c r="E424" i="7"/>
  <c r="AP424" i="7"/>
  <c r="AG424" i="7"/>
  <c r="AB424" i="7"/>
  <c r="AO424" i="7"/>
  <c r="AJ424" i="7"/>
  <c r="AK424" i="7"/>
  <c r="W424" i="7"/>
  <c r="AH424" i="7"/>
  <c r="O424" i="7"/>
  <c r="X424" i="7"/>
  <c r="AD424" i="7"/>
  <c r="J424" i="7"/>
  <c r="D424" i="7"/>
  <c r="S424" i="7"/>
  <c r="U424" i="7"/>
  <c r="T424" i="7"/>
  <c r="K424" i="7"/>
  <c r="M424" i="7"/>
  <c r="B289" i="7" a="1"/>
  <c r="B289" i="7" s="1"/>
  <c r="O389" i="7"/>
  <c r="P382" i="7"/>
  <c r="B291" i="7" a="1"/>
  <c r="B291" i="7" s="1"/>
  <c r="P246" i="7"/>
  <c r="P253" i="7" s="1"/>
  <c r="C294" i="7" s="1"/>
  <c r="B294" i="7" s="1" a="1"/>
  <c r="B294" i="7" s="1"/>
  <c r="O253" i="7"/>
  <c r="B426" i="7" a="1"/>
  <c r="B426" i="7" s="1"/>
  <c r="B427" i="7" a="1"/>
  <c r="B427" i="7" s="1"/>
  <c r="B425" i="7" a="1"/>
  <c r="B425" i="7" s="1"/>
  <c r="B292" i="7" a="1"/>
  <c r="B292" i="7" s="1"/>
  <c r="E589" i="7"/>
  <c r="E168" i="7"/>
  <c r="E76" i="7"/>
  <c r="E77" i="7" s="1"/>
  <c r="E205" i="7"/>
  <c r="Q246" i="7" l="1"/>
  <c r="Q253" i="7"/>
  <c r="AL287" i="7"/>
  <c r="AL295" i="7" s="1"/>
  <c r="V287" i="7"/>
  <c r="V295" i="7" s="1"/>
  <c r="V169" i="7" s="1"/>
  <c r="V170" i="7" s="1"/>
  <c r="V198" i="7" s="1"/>
  <c r="V200" i="7" s="1"/>
  <c r="F287" i="7"/>
  <c r="F295" i="7" s="1"/>
  <c r="F169" i="7" s="1"/>
  <c r="AG287" i="7"/>
  <c r="AG295" i="7" s="1"/>
  <c r="Q287" i="7"/>
  <c r="Q295" i="7" s="1"/>
  <c r="Q169" i="7" s="1"/>
  <c r="AN287" i="7"/>
  <c r="AN295" i="7" s="1"/>
  <c r="T287" i="7"/>
  <c r="T295" i="7" s="1"/>
  <c r="T169" i="7" s="1"/>
  <c r="D287" i="7"/>
  <c r="D295" i="7" s="1"/>
  <c r="D169" i="7" s="1"/>
  <c r="D170" i="7" s="1"/>
  <c r="D198" i="7" s="1"/>
  <c r="D200" i="7" s="1"/>
  <c r="D130" i="7" s="1"/>
  <c r="K287" i="7"/>
  <c r="K295" i="7" s="1"/>
  <c r="K169" i="7" s="1"/>
  <c r="AE287" i="7"/>
  <c r="AE295" i="7" s="1"/>
  <c r="AP287" i="7"/>
  <c r="AP295" i="7" s="1"/>
  <c r="Z287" i="7"/>
  <c r="Z295" i="7" s="1"/>
  <c r="Z169" i="7" s="1"/>
  <c r="Z170" i="7" s="1"/>
  <c r="Z198" i="7" s="1"/>
  <c r="Z200" i="7" s="1"/>
  <c r="J287" i="7"/>
  <c r="J295" i="7" s="1"/>
  <c r="J169" i="7" s="1"/>
  <c r="AK287" i="7"/>
  <c r="AK295" i="7" s="1"/>
  <c r="U287" i="7"/>
  <c r="U295" i="7" s="1"/>
  <c r="U169" i="7" s="1"/>
  <c r="U170" i="7" s="1"/>
  <c r="U198" i="7" s="1"/>
  <c r="U200" i="7" s="1"/>
  <c r="E287" i="7"/>
  <c r="E295" i="7" s="1"/>
  <c r="E169" i="7" s="1"/>
  <c r="X287" i="7"/>
  <c r="X295" i="7" s="1"/>
  <c r="X169" i="7" s="1"/>
  <c r="X170" i="7" s="1"/>
  <c r="X198" i="7" s="1"/>
  <c r="X200" i="7" s="1"/>
  <c r="H287" i="7"/>
  <c r="H295" i="7" s="1"/>
  <c r="H169" i="7" s="1"/>
  <c r="G287" i="7"/>
  <c r="G295" i="7" s="1"/>
  <c r="G169" i="7" s="1"/>
  <c r="C287" i="7"/>
  <c r="AH287" i="7"/>
  <c r="AH295" i="7" s="1"/>
  <c r="R287" i="7"/>
  <c r="R295" i="7" s="1"/>
  <c r="R169" i="7" s="1"/>
  <c r="AJ287" i="7"/>
  <c r="AJ295" i="7" s="1"/>
  <c r="AC287" i="7"/>
  <c r="AC295" i="7" s="1"/>
  <c r="M287" i="7"/>
  <c r="M295" i="7" s="1"/>
  <c r="M169" i="7" s="1"/>
  <c r="AF287" i="7"/>
  <c r="AF295" i="7" s="1"/>
  <c r="P287" i="7"/>
  <c r="P295" i="7" s="1"/>
  <c r="P169" i="7" s="1"/>
  <c r="AM287" i="7"/>
  <c r="AM295" i="7" s="1"/>
  <c r="AI287" i="7"/>
  <c r="AI295" i="7" s="1"/>
  <c r="O287" i="7"/>
  <c r="O295" i="7" s="1"/>
  <c r="O169" i="7" s="1"/>
  <c r="AD287" i="7"/>
  <c r="AD295" i="7" s="1"/>
  <c r="N287" i="7"/>
  <c r="N295" i="7" s="1"/>
  <c r="N169" i="7" s="1"/>
  <c r="AO287" i="7"/>
  <c r="AO295" i="7" s="1"/>
  <c r="Y287" i="7"/>
  <c r="Y295" i="7" s="1"/>
  <c r="Y169" i="7" s="1"/>
  <c r="Y170" i="7" s="1"/>
  <c r="Y198" i="7" s="1"/>
  <c r="Y200" i="7" s="1"/>
  <c r="I287" i="7"/>
  <c r="I295" i="7" s="1"/>
  <c r="I169" i="7" s="1"/>
  <c r="AB287" i="7"/>
  <c r="AB295" i="7" s="1"/>
  <c r="L287" i="7"/>
  <c r="L295" i="7" s="1"/>
  <c r="L169" i="7" s="1"/>
  <c r="W287" i="7"/>
  <c r="W295" i="7" s="1"/>
  <c r="W169" i="7" s="1"/>
  <c r="W170" i="7" s="1"/>
  <c r="W198" i="7" s="1"/>
  <c r="W200" i="7" s="1"/>
  <c r="S287" i="7"/>
  <c r="S295" i="7" s="1"/>
  <c r="S169" i="7" s="1"/>
  <c r="AA287" i="7"/>
  <c r="AA295" i="7" s="1"/>
  <c r="AA169" i="7" s="1"/>
  <c r="AA170" i="7" s="1"/>
  <c r="AA198" i="7" s="1"/>
  <c r="AA200" i="7" s="1"/>
  <c r="Q382" i="7"/>
  <c r="P389" i="7"/>
  <c r="C430" i="7" s="1"/>
  <c r="B430" i="7" s="1" a="1"/>
  <c r="B430" i="7" s="1"/>
  <c r="B424" i="7" a="1"/>
  <c r="B424" i="7" s="1"/>
  <c r="E170" i="7"/>
  <c r="E198" i="7" s="1"/>
  <c r="E200" i="7" s="1"/>
  <c r="E207" i="7" s="1"/>
  <c r="E111" i="7"/>
  <c r="E112" i="7" s="1"/>
  <c r="E117" i="7" s="1"/>
  <c r="E118" i="7" s="1"/>
  <c r="E590" i="7"/>
  <c r="D207" i="7" l="1"/>
  <c r="E130" i="7"/>
  <c r="U207" i="7"/>
  <c r="U130" i="7"/>
  <c r="W130" i="7"/>
  <c r="W207" i="7"/>
  <c r="V207" i="7"/>
  <c r="V130" i="7"/>
  <c r="Q389" i="7"/>
  <c r="I423" i="7"/>
  <c r="I431" i="7" s="1"/>
  <c r="I206" i="7" s="1"/>
  <c r="AM423" i="7"/>
  <c r="AM431" i="7" s="1"/>
  <c r="K423" i="7"/>
  <c r="K431" i="7" s="1"/>
  <c r="K206" i="7" s="1"/>
  <c r="AB423" i="7"/>
  <c r="AB431" i="7" s="1"/>
  <c r="P423" i="7"/>
  <c r="P431" i="7" s="1"/>
  <c r="P206" i="7" s="1"/>
  <c r="J423" i="7"/>
  <c r="J431" i="7" s="1"/>
  <c r="J206" i="7" s="1"/>
  <c r="AH423" i="7"/>
  <c r="AH431" i="7" s="1"/>
  <c r="O423" i="7"/>
  <c r="O431" i="7" s="1"/>
  <c r="O206" i="7" s="1"/>
  <c r="F423" i="7"/>
  <c r="F431" i="7" s="1"/>
  <c r="F206" i="7" s="1"/>
  <c r="V423" i="7"/>
  <c r="V431" i="7" s="1"/>
  <c r="V206" i="7" s="1"/>
  <c r="V210" i="7" s="1"/>
  <c r="V238" i="7" s="1"/>
  <c r="V240" i="7" s="1"/>
  <c r="V144" i="7" s="1"/>
  <c r="AI423" i="7"/>
  <c r="AI431" i="7" s="1"/>
  <c r="AC423" i="7"/>
  <c r="AC431" i="7" s="1"/>
  <c r="T423" i="7"/>
  <c r="T431" i="7" s="1"/>
  <c r="T206" i="7" s="1"/>
  <c r="L423" i="7"/>
  <c r="L431" i="7" s="1"/>
  <c r="L206" i="7" s="1"/>
  <c r="S423" i="7"/>
  <c r="S431" i="7" s="1"/>
  <c r="S206" i="7" s="1"/>
  <c r="AE423" i="7"/>
  <c r="AE431" i="7" s="1"/>
  <c r="AF423" i="7"/>
  <c r="AF431" i="7" s="1"/>
  <c r="Q423" i="7"/>
  <c r="Q431" i="7" s="1"/>
  <c r="Q206" i="7" s="1"/>
  <c r="Y423" i="7"/>
  <c r="Y431" i="7" s="1"/>
  <c r="Y206" i="7" s="1"/>
  <c r="C423" i="7"/>
  <c r="AJ423" i="7"/>
  <c r="AJ431" i="7" s="1"/>
  <c r="AK423" i="7"/>
  <c r="AK431" i="7" s="1"/>
  <c r="AO423" i="7"/>
  <c r="AO431" i="7" s="1"/>
  <c r="AN423" i="7"/>
  <c r="AN431" i="7" s="1"/>
  <c r="AD423" i="7"/>
  <c r="AD431" i="7" s="1"/>
  <c r="H423" i="7"/>
  <c r="H431" i="7" s="1"/>
  <c r="H206" i="7" s="1"/>
  <c r="W423" i="7"/>
  <c r="W431" i="7" s="1"/>
  <c r="W206" i="7" s="1"/>
  <c r="R423" i="7"/>
  <c r="R431" i="7" s="1"/>
  <c r="R206" i="7" s="1"/>
  <c r="X423" i="7"/>
  <c r="X431" i="7" s="1"/>
  <c r="X206" i="7" s="1"/>
  <c r="U423" i="7"/>
  <c r="U431" i="7" s="1"/>
  <c r="U206" i="7" s="1"/>
  <c r="U210" i="7" s="1"/>
  <c r="U238" i="7" s="1"/>
  <c r="U240" i="7" s="1"/>
  <c r="U144" i="7" s="1"/>
  <c r="AP423" i="7"/>
  <c r="AP431" i="7" s="1"/>
  <c r="AG423" i="7"/>
  <c r="AG431" i="7" s="1"/>
  <c r="D423" i="7"/>
  <c r="D431" i="7" s="1"/>
  <c r="D206" i="7" s="1"/>
  <c r="G423" i="7"/>
  <c r="G431" i="7" s="1"/>
  <c r="G206" i="7" s="1"/>
  <c r="E423" i="7"/>
  <c r="E431" i="7" s="1"/>
  <c r="E206" i="7" s="1"/>
  <c r="E210" i="7" s="1"/>
  <c r="E238" i="7" s="1"/>
  <c r="E240" i="7" s="1"/>
  <c r="E144" i="7" s="1"/>
  <c r="AL423" i="7"/>
  <c r="AL431" i="7" s="1"/>
  <c r="M423" i="7"/>
  <c r="M431" i="7" s="1"/>
  <c r="M206" i="7" s="1"/>
  <c r="Z423" i="7"/>
  <c r="Z431" i="7" s="1"/>
  <c r="Z206" i="7" s="1"/>
  <c r="AA423" i="7"/>
  <c r="AA431" i="7" s="1"/>
  <c r="AA206" i="7" s="1"/>
  <c r="N423" i="7"/>
  <c r="N431" i="7" s="1"/>
  <c r="N206" i="7" s="1"/>
  <c r="X130" i="7"/>
  <c r="X207" i="7"/>
  <c r="Y207" i="7"/>
  <c r="Y130" i="7"/>
  <c r="AA130" i="7"/>
  <c r="AA207" i="7"/>
  <c r="B287" i="7" a="1"/>
  <c r="B287" i="7" s="1"/>
  <c r="C295" i="7"/>
  <c r="Z130" i="7"/>
  <c r="Z207" i="7"/>
  <c r="F588" i="7"/>
  <c r="D210" i="7" l="1"/>
  <c r="D238" i="7" s="1"/>
  <c r="D240" i="7" s="1"/>
  <c r="D144" i="7" s="1"/>
  <c r="E131" i="7"/>
  <c r="E132" i="7" s="1"/>
  <c r="E133" i="7" s="1"/>
  <c r="AA210" i="7"/>
  <c r="AA238" i="7" s="1"/>
  <c r="AA240" i="7" s="1"/>
  <c r="AA144" i="7" s="1"/>
  <c r="B295" i="7" a="1"/>
  <c r="B295" i="7" s="1"/>
  <c r="C169" i="7"/>
  <c r="C170" i="7" s="1"/>
  <c r="C198" i="7" s="1"/>
  <c r="C200" i="7" s="1"/>
  <c r="Y210" i="7"/>
  <c r="Y238" i="7" s="1"/>
  <c r="Y240" i="7" s="1"/>
  <c r="Y144" i="7" s="1"/>
  <c r="Z210" i="7"/>
  <c r="Z238" i="7" s="1"/>
  <c r="Z240" i="7" s="1"/>
  <c r="Z144" i="7" s="1"/>
  <c r="C431" i="7"/>
  <c r="B423" i="7" a="1"/>
  <c r="B423" i="7" s="1"/>
  <c r="W210" i="7"/>
  <c r="W238" i="7" s="1"/>
  <c r="W240" i="7" s="1"/>
  <c r="W144" i="7" s="1"/>
  <c r="X210" i="7"/>
  <c r="X238" i="7" s="1"/>
  <c r="X240" i="7" s="1"/>
  <c r="X144" i="7" s="1"/>
  <c r="F589" i="7"/>
  <c r="F205" i="7"/>
  <c r="F168" i="7"/>
  <c r="F170" i="7" s="1"/>
  <c r="F198" i="7" s="1"/>
  <c r="F200" i="7" s="1"/>
  <c r="F76" i="7"/>
  <c r="F77" i="7" s="1"/>
  <c r="V131" i="7"/>
  <c r="V132" i="7" s="1"/>
  <c r="V133" i="7" s="1"/>
  <c r="D131" i="7"/>
  <c r="D132" i="7" s="1"/>
  <c r="D133" i="7" s="1"/>
  <c r="U131" i="7"/>
  <c r="U132" i="7" s="1"/>
  <c r="U133" i="7" s="1"/>
  <c r="AA131" i="7" l="1"/>
  <c r="AA132" i="7" s="1"/>
  <c r="AA133" i="7" s="1"/>
  <c r="X131" i="7"/>
  <c r="X132" i="7" s="1"/>
  <c r="X133" i="7" s="1"/>
  <c r="Z131" i="7"/>
  <c r="Z132" i="7" s="1"/>
  <c r="Z133" i="7" s="1"/>
  <c r="Y131" i="7"/>
  <c r="Y132" i="7" s="1"/>
  <c r="Y133" i="7" s="1"/>
  <c r="W131" i="7"/>
  <c r="W132" i="7" s="1"/>
  <c r="W133" i="7" s="1"/>
  <c r="C207" i="7"/>
  <c r="C130" i="7"/>
  <c r="B431" i="7" a="1"/>
  <c r="B431" i="7" s="1"/>
  <c r="C206" i="7"/>
  <c r="F207" i="7"/>
  <c r="F210" i="7" s="1"/>
  <c r="F238" i="7" s="1"/>
  <c r="F240" i="7" s="1"/>
  <c r="F130" i="7"/>
  <c r="F111" i="7"/>
  <c r="F112" i="7" s="1"/>
  <c r="F117" i="7" s="1"/>
  <c r="F118" i="7" s="1"/>
  <c r="F590" i="7"/>
  <c r="C210" i="7" l="1"/>
  <c r="C238" i="7" s="1"/>
  <c r="C240" i="7" s="1"/>
  <c r="C144" i="7" s="1"/>
  <c r="F144" i="7"/>
  <c r="F131" i="7"/>
  <c r="F132" i="7" s="1"/>
  <c r="F133" i="7" s="1"/>
  <c r="G588" i="7"/>
  <c r="C131" i="7" l="1"/>
  <c r="C132" i="7" s="1"/>
  <c r="C133" i="7" s="1"/>
  <c r="G589" i="7"/>
  <c r="G76" i="7"/>
  <c r="G77" i="7" s="1"/>
  <c r="G168" i="7"/>
  <c r="G170" i="7" s="1"/>
  <c r="G198" i="7" s="1"/>
  <c r="G200" i="7" s="1"/>
  <c r="G205" i="7"/>
  <c r="E137" i="7" l="1"/>
  <c r="C137" i="7"/>
  <c r="D137" i="7"/>
  <c r="F137" i="7"/>
  <c r="G130" i="7"/>
  <c r="G207" i="7"/>
  <c r="G210" i="7" s="1"/>
  <c r="G238" i="7" s="1"/>
  <c r="G240" i="7" s="1"/>
  <c r="G111" i="7"/>
  <c r="G112" i="7" s="1"/>
  <c r="G117" i="7" s="1"/>
  <c r="G118" i="7" s="1"/>
  <c r="G590" i="7"/>
  <c r="F139" i="7"/>
  <c r="G139" i="7"/>
  <c r="E139" i="7"/>
  <c r="D139" i="7"/>
  <c r="C139" i="7"/>
  <c r="C138" i="7" l="1"/>
  <c r="E138" i="7"/>
  <c r="D138" i="7"/>
  <c r="F138" i="7"/>
  <c r="H588" i="7"/>
  <c r="G144" i="7"/>
  <c r="G131" i="7"/>
  <c r="G132" i="7" s="1"/>
  <c r="G133" i="7" s="1"/>
  <c r="G137" i="7" s="1"/>
  <c r="G138" i="7" s="1"/>
  <c r="H589" i="7" l="1"/>
  <c r="H76" i="7"/>
  <c r="H77" i="7" s="1"/>
  <c r="H205" i="7"/>
  <c r="H168" i="7"/>
  <c r="H170" i="7" s="1"/>
  <c r="H198" i="7" s="1"/>
  <c r="H200" i="7" s="1"/>
  <c r="H139" i="7"/>
  <c r="H130" i="7" l="1"/>
  <c r="H207" i="7"/>
  <c r="H210" i="7" s="1"/>
  <c r="H238" i="7" s="1"/>
  <c r="H240" i="7" s="1"/>
  <c r="H111" i="7"/>
  <c r="H112" i="7" s="1"/>
  <c r="H117" i="7" s="1"/>
  <c r="H118" i="7" s="1"/>
  <c r="H590" i="7"/>
  <c r="I588" i="7" l="1"/>
  <c r="H144" i="7"/>
  <c r="H131" i="7"/>
  <c r="H132" i="7" s="1"/>
  <c r="H133" i="7" s="1"/>
  <c r="H137" i="7" s="1"/>
  <c r="H138" i="7" s="1"/>
  <c r="I589" i="7" l="1"/>
  <c r="I168" i="7"/>
  <c r="I170" i="7" s="1"/>
  <c r="I198" i="7" s="1"/>
  <c r="I200" i="7" s="1"/>
  <c r="I205" i="7"/>
  <c r="I76" i="7"/>
  <c r="I77" i="7" s="1"/>
  <c r="I139" i="7"/>
  <c r="I207" i="7" l="1"/>
  <c r="I210" i="7" s="1"/>
  <c r="I238" i="7" s="1"/>
  <c r="I240" i="7" s="1"/>
  <c r="I130" i="7"/>
  <c r="I111" i="7"/>
  <c r="I112" i="7" s="1"/>
  <c r="I117" i="7" s="1"/>
  <c r="I118" i="7" s="1"/>
  <c r="I590" i="7"/>
  <c r="J588" i="7" l="1"/>
  <c r="I144" i="7"/>
  <c r="I131" i="7"/>
  <c r="I132" i="7" s="1"/>
  <c r="I133" i="7" s="1"/>
  <c r="I137" i="7" s="1"/>
  <c r="I138" i="7" s="1"/>
  <c r="J589" i="7" l="1"/>
  <c r="J76" i="7"/>
  <c r="J77" i="7" s="1"/>
  <c r="J205" i="7"/>
  <c r="J168" i="7"/>
  <c r="J170" i="7" s="1"/>
  <c r="J198" i="7" s="1"/>
  <c r="J200" i="7" s="1"/>
  <c r="J139" i="7"/>
  <c r="J207" i="7" l="1"/>
  <c r="J210" i="7" s="1"/>
  <c r="J238" i="7" s="1"/>
  <c r="J240" i="7" s="1"/>
  <c r="J130" i="7"/>
  <c r="J111" i="7"/>
  <c r="J112" i="7" s="1"/>
  <c r="J117" i="7" s="1"/>
  <c r="J118" i="7" s="1"/>
  <c r="J590" i="7"/>
  <c r="K588" i="7" l="1"/>
  <c r="J144" i="7"/>
  <c r="J131" i="7"/>
  <c r="J132" i="7" s="1"/>
  <c r="J133" i="7" s="1"/>
  <c r="J137" i="7" s="1"/>
  <c r="J138" i="7" s="1"/>
  <c r="K589" i="7" l="1"/>
  <c r="K76" i="7"/>
  <c r="K77" i="7" s="1"/>
  <c r="K168" i="7"/>
  <c r="K170" i="7" s="1"/>
  <c r="K198" i="7" s="1"/>
  <c r="K200" i="7" s="1"/>
  <c r="K205" i="7"/>
  <c r="K207" i="7" l="1"/>
  <c r="K210" i="7" s="1"/>
  <c r="K238" i="7" s="1"/>
  <c r="K240" i="7" s="1"/>
  <c r="K130" i="7"/>
  <c r="K111" i="7"/>
  <c r="K112" i="7" s="1"/>
  <c r="K117" i="7" s="1"/>
  <c r="K118" i="7" s="1"/>
  <c r="K590" i="7"/>
  <c r="L588" i="7" l="1"/>
  <c r="K144" i="7"/>
  <c r="K131" i="7"/>
  <c r="K132" i="7" s="1"/>
  <c r="K133" i="7" s="1"/>
  <c r="K137" i="7" s="1"/>
  <c r="K138" i="7" s="1"/>
  <c r="K139" i="7" s="1"/>
  <c r="L589" i="7" l="1"/>
  <c r="L205" i="7"/>
  <c r="L76" i="7"/>
  <c r="L77" i="7" s="1"/>
  <c r="L168" i="7"/>
  <c r="L170" i="7" s="1"/>
  <c r="L198" i="7" s="1"/>
  <c r="L200" i="7" s="1"/>
  <c r="L130" i="7" l="1"/>
  <c r="L207" i="7"/>
  <c r="L210" i="7" s="1"/>
  <c r="L238" i="7" s="1"/>
  <c r="L240" i="7" s="1"/>
  <c r="L111" i="7"/>
  <c r="L112" i="7" s="1"/>
  <c r="L117" i="7" s="1"/>
  <c r="L118" i="7" s="1"/>
  <c r="L590" i="7"/>
  <c r="M588" i="7" l="1"/>
  <c r="L144" i="7"/>
  <c r="L131" i="7"/>
  <c r="L132" i="7" s="1"/>
  <c r="L133" i="7" s="1"/>
  <c r="L137" i="7" s="1"/>
  <c r="L138" i="7" s="1"/>
  <c r="L139" i="7" s="1"/>
  <c r="M589" i="7" l="1"/>
  <c r="M76" i="7"/>
  <c r="M77" i="7" s="1"/>
  <c r="M168" i="7"/>
  <c r="M170" i="7" s="1"/>
  <c r="M198" i="7" s="1"/>
  <c r="M200" i="7" s="1"/>
  <c r="M205" i="7"/>
  <c r="M207" i="7" l="1"/>
  <c r="M210" i="7" s="1"/>
  <c r="M238" i="7" s="1"/>
  <c r="M240" i="7" s="1"/>
  <c r="M130" i="7"/>
  <c r="M111" i="7"/>
  <c r="M112" i="7" s="1"/>
  <c r="M117" i="7" s="1"/>
  <c r="M118" i="7" s="1"/>
  <c r="M590" i="7"/>
  <c r="N588" i="7" l="1"/>
  <c r="M144" i="7"/>
  <c r="M131" i="7"/>
  <c r="M132" i="7" s="1"/>
  <c r="M133" i="7" s="1"/>
  <c r="M137" i="7" s="1"/>
  <c r="M138" i="7" s="1"/>
  <c r="M139" i="7" s="1"/>
  <c r="N589" i="7" l="1"/>
  <c r="N76" i="7"/>
  <c r="N77" i="7" s="1"/>
  <c r="N168" i="7"/>
  <c r="N170" i="7" s="1"/>
  <c r="N198" i="7" s="1"/>
  <c r="N200" i="7" s="1"/>
  <c r="N205" i="7"/>
  <c r="N207" i="7" l="1"/>
  <c r="N210" i="7" s="1"/>
  <c r="N238" i="7" s="1"/>
  <c r="N240" i="7" s="1"/>
  <c r="N130" i="7"/>
  <c r="N111" i="7"/>
  <c r="N112" i="7" s="1"/>
  <c r="N117" i="7" s="1"/>
  <c r="N118" i="7" s="1"/>
  <c r="N590" i="7"/>
  <c r="O588" i="7" l="1"/>
  <c r="N144" i="7"/>
  <c r="N131" i="7"/>
  <c r="N132" i="7" s="1"/>
  <c r="N133" i="7" s="1"/>
  <c r="N137" i="7" s="1"/>
  <c r="N138" i="7" s="1"/>
  <c r="N139" i="7" s="1"/>
  <c r="O589" i="7" l="1"/>
  <c r="O76" i="7"/>
  <c r="O77" i="7" s="1"/>
  <c r="O205" i="7"/>
  <c r="O168" i="7"/>
  <c r="O170" i="7" s="1"/>
  <c r="O198" i="7" s="1"/>
  <c r="O200" i="7" s="1"/>
  <c r="O207" i="7" l="1"/>
  <c r="O210" i="7" s="1"/>
  <c r="O238" i="7" s="1"/>
  <c r="O240" i="7" s="1"/>
  <c r="O130" i="7"/>
  <c r="O111" i="7"/>
  <c r="O112" i="7" s="1"/>
  <c r="O117" i="7" s="1"/>
  <c r="O118" i="7" s="1"/>
  <c r="O590" i="7"/>
  <c r="P588" i="7" l="1"/>
  <c r="O144" i="7"/>
  <c r="O131" i="7"/>
  <c r="O132" i="7" s="1"/>
  <c r="O133" i="7" s="1"/>
  <c r="O137" i="7" s="1"/>
  <c r="O138" i="7" s="1"/>
  <c r="O139" i="7" s="1"/>
  <c r="P589" i="7" l="1"/>
  <c r="P168" i="7"/>
  <c r="P170" i="7" s="1"/>
  <c r="P198" i="7" s="1"/>
  <c r="P200" i="7" s="1"/>
  <c r="P76" i="7"/>
  <c r="P77" i="7" s="1"/>
  <c r="P205" i="7"/>
  <c r="P130" i="7" l="1"/>
  <c r="P207" i="7"/>
  <c r="P210" i="7" s="1"/>
  <c r="P238" i="7" s="1"/>
  <c r="P240" i="7" s="1"/>
  <c r="P111" i="7"/>
  <c r="P112" i="7" s="1"/>
  <c r="P117" i="7" s="1"/>
  <c r="P118" i="7" s="1"/>
  <c r="P590" i="7"/>
  <c r="Q588" i="7" l="1"/>
  <c r="P144" i="7"/>
  <c r="P131" i="7"/>
  <c r="P132" i="7" s="1"/>
  <c r="P133" i="7" s="1"/>
  <c r="P137" i="7" s="1"/>
  <c r="P138" i="7" s="1"/>
  <c r="P139" i="7" s="1"/>
  <c r="Q589" i="7" l="1"/>
  <c r="Q168" i="7"/>
  <c r="Q170" i="7" s="1"/>
  <c r="Q198" i="7" s="1"/>
  <c r="Q200" i="7" s="1"/>
  <c r="Q76" i="7"/>
  <c r="Q77" i="7" s="1"/>
  <c r="Q205" i="7"/>
  <c r="Q207" i="7" l="1"/>
  <c r="Q210" i="7" s="1"/>
  <c r="Q238" i="7" s="1"/>
  <c r="Q240" i="7" s="1"/>
  <c r="Q130" i="7"/>
  <c r="Q111" i="7"/>
  <c r="Q112" i="7" s="1"/>
  <c r="Q117" i="7" s="1"/>
  <c r="Q118" i="7" s="1"/>
  <c r="Q590" i="7"/>
  <c r="R588" i="7" l="1"/>
  <c r="Q144" i="7"/>
  <c r="Q131" i="7"/>
  <c r="Q132" i="7" s="1"/>
  <c r="Q133" i="7" s="1"/>
  <c r="Q137" i="7" s="1"/>
  <c r="Q138" i="7" s="1"/>
  <c r="Q139" i="7" s="1"/>
  <c r="R589" i="7" l="1"/>
  <c r="R168" i="7"/>
  <c r="R170" i="7" s="1"/>
  <c r="R198" i="7" s="1"/>
  <c r="R200" i="7" s="1"/>
  <c r="R205" i="7"/>
  <c r="R76" i="7"/>
  <c r="R77" i="7" s="1"/>
  <c r="R130" i="7" l="1"/>
  <c r="R207" i="7"/>
  <c r="R210" i="7" s="1"/>
  <c r="R238" i="7" s="1"/>
  <c r="R240" i="7" s="1"/>
  <c r="R111" i="7"/>
  <c r="R112" i="7" s="1"/>
  <c r="R117" i="7" s="1"/>
  <c r="R118" i="7" s="1"/>
  <c r="R590" i="7"/>
  <c r="S588" i="7" l="1"/>
  <c r="R144" i="7"/>
  <c r="R131" i="7"/>
  <c r="R132" i="7" s="1"/>
  <c r="R133" i="7" s="1"/>
  <c r="R137" i="7" s="1"/>
  <c r="R138" i="7" s="1"/>
  <c r="R139" i="7" s="1"/>
  <c r="S589" i="7" l="1"/>
  <c r="S76" i="7"/>
  <c r="S77" i="7" s="1"/>
  <c r="S205" i="7"/>
  <c r="S168" i="7"/>
  <c r="S170" i="7" s="1"/>
  <c r="S198" i="7" s="1"/>
  <c r="S200" i="7" s="1"/>
  <c r="S207" i="7" l="1"/>
  <c r="S210" i="7" s="1"/>
  <c r="S238" i="7" s="1"/>
  <c r="S240" i="7" s="1"/>
  <c r="S130" i="7"/>
  <c r="S111" i="7"/>
  <c r="S112" i="7" s="1"/>
  <c r="S117" i="7" s="1"/>
  <c r="S118" i="7" s="1"/>
  <c r="S590" i="7"/>
  <c r="T588" i="7" l="1"/>
  <c r="S144" i="7"/>
  <c r="S131" i="7"/>
  <c r="S132" i="7" s="1"/>
  <c r="S133" i="7" s="1"/>
  <c r="S137" i="7" s="1"/>
  <c r="S138" i="7" s="1"/>
  <c r="S139" i="7" s="1"/>
  <c r="T589" i="7" l="1"/>
  <c r="T76" i="7"/>
  <c r="T77" i="7" s="1"/>
  <c r="T168" i="7"/>
  <c r="T170" i="7" s="1"/>
  <c r="T198" i="7" s="1"/>
  <c r="T200" i="7" s="1"/>
  <c r="T205" i="7"/>
  <c r="T139" i="7"/>
  <c r="T111" i="7" l="1"/>
  <c r="T112" i="7" s="1"/>
  <c r="T117" i="7" s="1"/>
  <c r="T118" i="7" s="1"/>
  <c r="T590" i="7"/>
  <c r="U590" i="7" s="1"/>
  <c r="V590" i="7" s="1"/>
  <c r="W590" i="7" s="1"/>
  <c r="X590" i="7" s="1"/>
  <c r="Y590" i="7" s="1"/>
  <c r="Z590" i="7" s="1"/>
  <c r="AA590" i="7" s="1"/>
  <c r="AB590" i="7" s="1"/>
  <c r="AC590" i="7" s="1"/>
  <c r="AD590" i="7" s="1"/>
  <c r="AE590" i="7" s="1"/>
  <c r="AF590" i="7" s="1"/>
  <c r="AG590" i="7" s="1"/>
  <c r="AH590" i="7" s="1"/>
  <c r="AI590" i="7" s="1"/>
  <c r="AJ590" i="7" s="1"/>
  <c r="AK590" i="7" s="1"/>
  <c r="AL590" i="7" s="1"/>
  <c r="AM590" i="7" s="1"/>
  <c r="AN590" i="7" s="1"/>
  <c r="AO590" i="7" s="1"/>
  <c r="AP590" i="7" s="1"/>
  <c r="T130" i="7"/>
  <c r="T207" i="7"/>
  <c r="T210" i="7" s="1"/>
  <c r="T238" i="7" s="1"/>
  <c r="T240" i="7" s="1"/>
  <c r="AN139" i="7"/>
  <c r="AI139" i="7"/>
  <c r="AB139" i="7"/>
  <c r="V139" i="7"/>
  <c r="AM139" i="7"/>
  <c r="AG139" i="7"/>
  <c r="W139" i="7"/>
  <c r="AD139" i="7"/>
  <c r="AH139" i="7"/>
  <c r="Y139" i="7"/>
  <c r="AA139" i="7"/>
  <c r="AF139" i="7"/>
  <c r="AC139" i="7"/>
  <c r="AO139" i="7"/>
  <c r="AL139" i="7"/>
  <c r="AK139" i="7"/>
  <c r="Z139" i="7"/>
  <c r="X139" i="7"/>
  <c r="AJ139" i="7"/>
  <c r="AE139" i="7"/>
  <c r="U139" i="7"/>
  <c r="T144" i="7" l="1"/>
  <c r="B148" i="7" s="1"/>
  <c r="B150" i="7" s="1"/>
  <c r="F12" i="1" s="1"/>
  <c r="T131" i="7"/>
  <c r="T132" i="7" s="1"/>
  <c r="T133" i="7" s="1"/>
  <c r="W137" i="7" l="1"/>
  <c r="X137" i="7"/>
  <c r="AA137" i="7"/>
  <c r="F16" i="1" s="1"/>
  <c r="AL137" i="7"/>
  <c r="AG137" i="7"/>
  <c r="AM137" i="7"/>
  <c r="AP137" i="7"/>
  <c r="T137" i="7"/>
  <c r="AH137" i="7"/>
  <c r="Z137" i="7"/>
  <c r="U137" i="7"/>
  <c r="AO137" i="7"/>
  <c r="AC137" i="7"/>
  <c r="AJ137" i="7"/>
  <c r="B141" i="7"/>
  <c r="F13" i="1" s="1"/>
  <c r="Y137" i="7"/>
  <c r="AI137" i="7"/>
  <c r="AD137" i="7"/>
  <c r="AB137" i="7"/>
  <c r="AN137" i="7"/>
  <c r="AE137" i="7"/>
  <c r="AF137" i="7"/>
  <c r="AK137" i="7"/>
  <c r="V137" i="7"/>
  <c r="T138" i="7" l="1"/>
  <c r="AE138" i="7"/>
  <c r="Z138" i="7"/>
  <c r="AK138" i="7"/>
  <c r="V138" i="7"/>
  <c r="AP138" i="7"/>
  <c r="AO138" i="7"/>
  <c r="AP139" i="7" s="1"/>
  <c r="B139" i="7" s="1"/>
  <c r="F15" i="1" s="1"/>
  <c r="F14" i="1" s="1"/>
  <c r="AI138" i="7"/>
  <c r="Y138" i="7"/>
  <c r="AN138" i="7"/>
  <c r="X138" i="7"/>
  <c r="AJ138" i="7"/>
  <c r="U138" i="7"/>
  <c r="AB138" i="7"/>
  <c r="AA138" i="7"/>
  <c r="AL138" i="7"/>
  <c r="AC138" i="7"/>
  <c r="AF138" i="7"/>
  <c r="AD138" i="7"/>
  <c r="W138" i="7"/>
  <c r="AH138" i="7"/>
  <c r="AM138" i="7"/>
  <c r="AG13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<sst xmlns="http://schemas.openxmlformats.org/spreadsheetml/2006/main" count="789" uniqueCount="428">
  <si>
    <t>Property Tax</t>
  </si>
  <si>
    <t>Operating Year</t>
  </si>
  <si>
    <t>Investment Tax Credit</t>
  </si>
  <si>
    <t>Amount</t>
  </si>
  <si>
    <t>Federal</t>
  </si>
  <si>
    <t>State</t>
  </si>
  <si>
    <t>Production Tax Credit</t>
  </si>
  <si>
    <t>%</t>
  </si>
  <si>
    <t>Maximum</t>
  </si>
  <si>
    <t>Amount ($/kWh)</t>
  </si>
  <si>
    <t>Price  (¢/kWh)</t>
  </si>
  <si>
    <t>Capacity (DC kW)</t>
  </si>
  <si>
    <t>Fixed Cost ($/DC kW-yr)</t>
  </si>
  <si>
    <t>Total</t>
  </si>
  <si>
    <t>Generation (AC-MWh)</t>
  </si>
  <si>
    <t>Variable Cost ($/AC-MWh)</t>
  </si>
  <si>
    <t>Investment Based Incentive (IBI)</t>
  </si>
  <si>
    <t>Yes</t>
  </si>
  <si>
    <t>No</t>
  </si>
  <si>
    <t>Total Expenses</t>
  </si>
  <si>
    <t>Production Based Incentive (included if available for debt service)</t>
  </si>
  <si>
    <t>Total PBI</t>
  </si>
  <si>
    <t>Summary</t>
  </si>
  <si>
    <t>Debt</t>
  </si>
  <si>
    <t>Funding</t>
  </si>
  <si>
    <t>Repayment</t>
  </si>
  <si>
    <t>Principal</t>
  </si>
  <si>
    <t>Interest</t>
  </si>
  <si>
    <t>Total P&amp;I</t>
  </si>
  <si>
    <t>Taxes</t>
  </si>
  <si>
    <t>EBITDA</t>
  </si>
  <si>
    <t>Less: Interest Payment</t>
  </si>
  <si>
    <t>Taxable Income Prior to Incentives</t>
  </si>
  <si>
    <t>Federal Income Taxes</t>
  </si>
  <si>
    <t>Less: Tax Depreciation</t>
  </si>
  <si>
    <t>Production Based Incentive (PBI)</t>
  </si>
  <si>
    <t>Incentive ($/kWh)</t>
  </si>
  <si>
    <t>Capacity Based Incentive (CBI)</t>
  </si>
  <si>
    <t>Plus: Interest Earned</t>
  </si>
  <si>
    <t>State Tax Benefit/(Liability)</t>
  </si>
  <si>
    <t>Total Taxable Incentives</t>
  </si>
  <si>
    <t>Taxable Income Including Incentives</t>
  </si>
  <si>
    <t>State Income Taxes</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</si>
  <si>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</si>
  <si>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</si>
  <si>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</si>
  <si>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</si>
  <si>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</si>
  <si>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</si>
  <si>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</si>
  <si>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</si>
  <si>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</si>
  <si>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</si>
  <si>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</si>
  <si>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</si>
  <si>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</si>
  <si>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</si>
  <si>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</si>
  <si>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</si>
  <si>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</si>
  <si>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</si>
  <si>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</si>
  <si>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</si>
  <si>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</si>
  <si>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</si>
  <si>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</si>
  <si>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</si>
  <si>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</si>
  <si>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</si>
  <si>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</si>
  <si>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</si>
  <si>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</si>
  <si>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</si>
  <si>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</si>
  <si>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</si>
  <si>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</si>
  <si>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</si>
  <si>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</si>
  <si>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</si>
  <si>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</si>
  <si>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</si>
  <si>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Federal Tax Benefit/(Liability)</t>
  </si>
  <si>
    <t>State Depreciation Amounts</t>
  </si>
  <si>
    <t>Federal Depreciation Amounts</t>
  </si>
  <si>
    <t>Total Revenue</t>
  </si>
  <si>
    <t>Cash Flow: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</si>
  <si>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</si>
  <si>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</si>
  <si>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</si>
  <si>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</si>
  <si>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</si>
  <si>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</si>
  <si>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</si>
  <si>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</si>
  <si>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</si>
  <si>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</si>
  <si>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</si>
  <si>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</si>
  <si>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</si>
  <si>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</si>
  <si>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</si>
  <si>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IRR Target</t>
  </si>
  <si>
    <t>Target year</t>
  </si>
  <si>
    <t>Analysis Parameters</t>
  </si>
  <si>
    <t>Tax and Insurance Rates</t>
  </si>
  <si>
    <t>Federal income tax rate (%/year)</t>
  </si>
  <si>
    <t>State income tax rate (%/year)</t>
  </si>
  <si>
    <t>Insurance rate (annual, % of installed cost)</t>
  </si>
  <si>
    <t>PPA price escalation (%/year)</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</si>
  <si>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</si>
  <si>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</si>
  <si>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</si>
  <si>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</si>
  <si>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</si>
  <si>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</si>
  <si>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</si>
  <si>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</si>
  <si>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</si>
  <si>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</si>
  <si>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</si>
  <si>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PROJECT TERM DEBT</t>
  </si>
  <si>
    <t>Tenor (years)</t>
  </si>
  <si>
    <t>Annual all-in interest rate (%)</t>
  </si>
  <si>
    <t>Debt closing costs ($)</t>
  </si>
  <si>
    <t>Up-front fee (% of total debt)</t>
  </si>
  <si>
    <t>COST OF ACQUIRING FINANCING</t>
  </si>
  <si>
    <t>Financing cost ($)</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</si>
  <si>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</si>
  <si>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</si>
  <si>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</si>
  <si>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</si>
  <si>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</si>
  <si>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</si>
  <si>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</si>
  <si>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</si>
  <si>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</si>
  <si>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</si>
  <si>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</si>
  <si>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</si>
  <si>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</si>
  <si>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</si>
  <si>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Debt service reserve account (months of P&amp;I payments)</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</si>
  <si>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</si>
  <si>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</si>
  <si>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</si>
  <si>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</si>
  <si>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</si>
  <si>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</si>
  <si>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</si>
  <si>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</si>
  <si>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</si>
  <si>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</si>
  <si>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</si>
  <si>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</si>
  <si>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</si>
  <si>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</si>
  <si>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</si>
  <si>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</si>
  <si>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</si>
  <si>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</si>
  <si>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</si>
  <si>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</si>
  <si>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</si>
  <si>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</si>
  <si>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</si>
  <si>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</si>
  <si>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</si>
  <si>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</si>
  <si>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</si>
  <si>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</si>
  <si>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</si>
  <si>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</si>
  <si>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</si>
  <si>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</si>
  <si>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</si>
  <si>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</si>
  <si>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</si>
  <si>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</si>
  <si>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</si>
  <si>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</si>
  <si>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</si>
  <si>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</si>
  <si>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</si>
  <si>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</si>
  <si>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</si>
  <si>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</si>
  <si>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</si>
  <si>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Taxable Income before Incentives</t>
  </si>
  <si>
    <t>Taxable Income after Incentives</t>
  </si>
  <si>
    <t>For additional information on depreciation schedules, see IRS publication 946.</t>
  </si>
  <si>
    <t>Depreciation Percent (%)</t>
  </si>
  <si>
    <t>Plus: PBI (if not included above)</t>
  </si>
  <si>
    <t>Principal payment</t>
  </si>
  <si>
    <t>Interest payment</t>
  </si>
  <si>
    <t>Replacement cost ($/W)</t>
  </si>
  <si>
    <t>Nameplate capacity (kW)</t>
  </si>
  <si>
    <t>Non-depreciable</t>
  </si>
  <si>
    <t>Capital Costs</t>
  </si>
  <si>
    <t>Total installed cost</t>
  </si>
  <si>
    <t>Construction financing</t>
  </si>
  <si>
    <t xml:space="preserve">Reserve Accounts (Increase)/Decrease </t>
  </si>
  <si>
    <t>METRICS</t>
  </si>
  <si>
    <t>IRR Year</t>
  </si>
  <si>
    <t>PPA price escalation (%/yr)</t>
  </si>
  <si>
    <r>
      <t>PPA price, year 1 (</t>
    </r>
    <r>
      <rPr>
        <sz val="10"/>
        <color theme="1"/>
        <rFont val="Calibri"/>
        <family val="2"/>
      </rPr>
      <t>¢</t>
    </r>
    <r>
      <rPr>
        <sz val="9"/>
        <color theme="1"/>
        <rFont val="Calibri"/>
        <family val="2"/>
      </rPr>
      <t>/kWh)</t>
    </r>
  </si>
  <si>
    <t>NPV ($)</t>
  </si>
  <si>
    <t>Equity ($)</t>
  </si>
  <si>
    <t>NPV of annual generation (kWh)</t>
  </si>
  <si>
    <t>NPV of annual costs ($)</t>
  </si>
  <si>
    <t>Annual costs ($)</t>
  </si>
  <si>
    <t>Total purchase of property</t>
  </si>
  <si>
    <t>Cumulative after-tax IRR (%)</t>
  </si>
  <si>
    <t>Year target IRR reached</t>
  </si>
  <si>
    <t>Incentive Amounts</t>
  </si>
  <si>
    <t>NPV of after-tax returns</t>
  </si>
  <si>
    <t>Single Owner Cash Flow</t>
  </si>
  <si>
    <t>Annual PPA revenues ($)</t>
  </si>
  <si>
    <t>NPV of annual PPA revenues ($)</t>
  </si>
  <si>
    <t>Escalation (%/year)</t>
  </si>
  <si>
    <t>Amount ($)</t>
  </si>
  <si>
    <t>Term (years)</t>
  </si>
  <si>
    <t>Allocations (%)</t>
  </si>
  <si>
    <t>CONSTRUCTION FINANCING CALCULATION (provided here for reference, only total financing cost above is input to cash flow)</t>
  </si>
  <si>
    <t>Debt principal payment</t>
  </si>
  <si>
    <t>Issuance of equity</t>
  </si>
  <si>
    <t>Incentives and size of debt</t>
  </si>
  <si>
    <t>Size of debt</t>
  </si>
  <si>
    <t>NPV and IRR</t>
  </si>
  <si>
    <t>Annual usage (kWh)</t>
  </si>
  <si>
    <t>Cost ($/MMBtu)</t>
  </si>
  <si>
    <t>Escalation (%/year above inflation)</t>
  </si>
  <si>
    <t>Single Owner Inputs</t>
  </si>
  <si>
    <t>Depreciation Schedules (Half Year)</t>
  </si>
  <si>
    <t>Operation and maintenance (O&amp;M)</t>
  </si>
  <si>
    <t>Fixed</t>
  </si>
  <si>
    <t>Capacity</t>
  </si>
  <si>
    <t>Variable</t>
  </si>
  <si>
    <t>Biomass feedstock (Biopower only)</t>
  </si>
  <si>
    <t>Coal feedstock (Biopower only)</t>
  </si>
  <si>
    <t>Summary table</t>
  </si>
  <si>
    <t>IRR at end of project (%)</t>
  </si>
  <si>
    <t>PPA price ($/kWh)</t>
  </si>
  <si>
    <t>IRR (%)</t>
  </si>
  <si>
    <t>Avail. for debt svc.</t>
  </si>
  <si>
    <t>Federal taxable</t>
  </si>
  <si>
    <t>State taxable</t>
  </si>
  <si>
    <t>Red. fed. depr. &amp; ITC</t>
  </si>
  <si>
    <t>Red. st. depr. &amp; ITC</t>
  </si>
  <si>
    <t>Qual. for fed. ITC</t>
  </si>
  <si>
    <t>Qual. for state ITC</t>
  </si>
  <si>
    <t>Federal bonus</t>
  </si>
  <si>
    <t>State bonus</t>
  </si>
  <si>
    <t>Reduces depreciation basis</t>
  </si>
  <si>
    <t>Heat rate (MMBtu/MWh)</t>
  </si>
  <si>
    <t>Operating Expenses</t>
  </si>
  <si>
    <t>Cash Flows from Operating Activities</t>
  </si>
  <si>
    <t>Reserve Capital Spending</t>
  </si>
  <si>
    <r>
      <t>Levelized PPA price (</t>
    </r>
    <r>
      <rPr>
        <sz val="10"/>
        <color theme="1"/>
        <rFont val="Calibri"/>
        <family val="2"/>
      </rPr>
      <t>¢</t>
    </r>
    <r>
      <rPr>
        <sz val="10"/>
        <color theme="1"/>
        <rFont val="Calibri"/>
        <family val="2"/>
        <scheme val="minor"/>
      </rPr>
      <t>/kWh)</t>
    </r>
  </si>
  <si>
    <t>Levelized PPA price nominal  (¢/kWh)</t>
  </si>
  <si>
    <t>Debt Parameters</t>
  </si>
  <si>
    <t>Value depends on option in SAM</t>
  </si>
  <si>
    <t>Debt service coverage ratio</t>
  </si>
  <si>
    <t>Ending balance</t>
  </si>
  <si>
    <t>Size of debt calculation</t>
  </si>
  <si>
    <t>Up-front fee amount ($, from SAM results)</t>
  </si>
  <si>
    <t>Debt closing costs</t>
  </si>
  <si>
    <t>Debt up-front fee</t>
  </si>
  <si>
    <t>Financing cost</t>
  </si>
  <si>
    <t>Cash available for debt service (CAFDS)</t>
  </si>
  <si>
    <t>Present value of CAFDS</t>
  </si>
  <si>
    <t>CAFDS</t>
  </si>
  <si>
    <t>Present value debt interest factor</t>
  </si>
  <si>
    <t>Total IBI</t>
  </si>
  <si>
    <t>Total CBI</t>
  </si>
  <si>
    <t>Plus: Interest earned on reserve accounts</t>
  </si>
  <si>
    <t>Less: Debt interest payment</t>
  </si>
  <si>
    <t>Project Returns</t>
  </si>
  <si>
    <t>Project Returns: Pre-Tax</t>
  </si>
  <si>
    <t>Project Returns: After-Tax</t>
  </si>
  <si>
    <t>Total capital cost ($)</t>
  </si>
  <si>
    <t>Size of debt ($)</t>
  </si>
  <si>
    <t>Operation and maintenance costs specified as annual values</t>
  </si>
  <si>
    <t>Production Based Incentive (PBI) specified as annual values</t>
  </si>
  <si>
    <t>Production Tax Credit (PTC) specified as annual values</t>
  </si>
  <si>
    <t>Unadjusted PTC ($/kWh)</t>
  </si>
  <si>
    <t>Adjusted PTC ($/MWh)</t>
  </si>
  <si>
    <t>Income tax rates specified as annual values</t>
  </si>
  <si>
    <t>State Tax Rate (%/year)</t>
  </si>
  <si>
    <t>Federal Tax Rate (%/year)</t>
  </si>
  <si>
    <t>Debt sizing and payment schedule</t>
  </si>
  <si>
    <t>Moratorium (years)</t>
  </si>
  <si>
    <t>Equal payments</t>
  </si>
  <si>
    <t>Constant DSCR (sculpted payments)</t>
  </si>
  <si>
    <t>Payment calculation</t>
  </si>
  <si>
    <t>P&amp;I for constant DSCR equal payments</t>
  </si>
  <si>
    <t>P&amp;I for mortgage style equal payments</t>
  </si>
  <si>
    <t>Principal for mortgage style fixed principal</t>
  </si>
  <si>
    <t>Working capital reserve</t>
  </si>
  <si>
    <t>Debt service reserve</t>
  </si>
  <si>
    <t>Beginning balance</t>
  </si>
  <si>
    <t>Release of funds</t>
  </si>
  <si>
    <t>Major equipment replacement reserve 1</t>
  </si>
  <si>
    <t>Timing of funding</t>
  </si>
  <si>
    <t>Cost of each occurrence</t>
  </si>
  <si>
    <t>Funding of each occurence</t>
  </si>
  <si>
    <t>Interest on reserves</t>
  </si>
  <si>
    <t>Total reserves</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</si>
  <si>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</si>
  <si>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</si>
  <si>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</si>
  <si>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</si>
  <si>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</si>
  <si>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</si>
  <si>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</si>
  <si>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</si>
  <si>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</si>
  <si>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Less: Receivables and replacement reserve funding</t>
  </si>
  <si>
    <t>Battery replacement</t>
  </si>
  <si>
    <t>Funding ($)</t>
  </si>
  <si>
    <t>Disbursement ($)</t>
  </si>
  <si>
    <t>Balance ($)</t>
  </si>
  <si>
    <t>Annual values from SAM</t>
  </si>
  <si>
    <t>Purchase of electricity for battery charging and inverter nighttime consumption</t>
  </si>
  <si>
    <t>Electricity purchase</t>
  </si>
  <si>
    <t>Custom</t>
  </si>
  <si>
    <t>Depreciation</t>
  </si>
  <si>
    <t>Custom allocation (%/year)</t>
  </si>
  <si>
    <t>* Note custom schedule is defined on Inputs sheet around Row 180</t>
  </si>
  <si>
    <t>PPA price is modifed by TOD multipliers</t>
  </si>
  <si>
    <t>Solution Mode and PPA Price</t>
  </si>
  <si>
    <t>Net production (AC kWh)</t>
  </si>
  <si>
    <t>Salvage value</t>
  </si>
  <si>
    <t>Federal income tax rate in Year 1 (%/year)</t>
  </si>
  <si>
    <t>State income tax rate in Year 1 (%/year)</t>
  </si>
  <si>
    <t>Pre-tax cash flow</t>
  </si>
  <si>
    <t>Energy</t>
  </si>
  <si>
    <t>Revenue</t>
  </si>
  <si>
    <t>PPA revenue</t>
  </si>
  <si>
    <t>Other revenue</t>
  </si>
  <si>
    <t>Curtailment payments</t>
  </si>
  <si>
    <t>Capacity payments</t>
  </si>
  <si>
    <t>Variable Cost in $/MWh</t>
  </si>
  <si>
    <t>ANNUAL VALUES IMPORTED FROM SAM</t>
  </si>
  <si>
    <t>PPA price by year ($/kWh)</t>
  </si>
  <si>
    <t>Fixed in $/year</t>
  </si>
  <si>
    <t>Fixed Cost in $/kW-year</t>
  </si>
  <si>
    <t>Fuel cell fixed</t>
  </si>
  <si>
    <t>Fuel cell capacity-based</t>
  </si>
  <si>
    <t>Battery fixed</t>
  </si>
  <si>
    <t>Battery capacity-based</t>
  </si>
  <si>
    <t>Fuel cell replacement</t>
  </si>
  <si>
    <t>Expenses Specific to Fuel Cell Systems</t>
  </si>
  <si>
    <t>Operating expenses specific to fuel cell systems</t>
  </si>
  <si>
    <t>Fuel</t>
  </si>
  <si>
    <t>NPV of annual storage costs ($)</t>
  </si>
  <si>
    <t>NPV of annual storage energy discharge (kWh)</t>
  </si>
  <si>
    <t>Annual storage costs ($)</t>
  </si>
  <si>
    <t>Storage costs ($)</t>
  </si>
  <si>
    <t>Operating expenses specific to battery systems</t>
  </si>
  <si>
    <t>Battery variable</t>
  </si>
  <si>
    <t>Fuel costs</t>
  </si>
  <si>
    <t>Biomass feedstock</t>
  </si>
  <si>
    <t>Biomass coal feedstock</t>
  </si>
  <si>
    <t>Geothermal recapitalization</t>
  </si>
  <si>
    <t>Recapitalization</t>
  </si>
  <si>
    <t>Estimates for levelized cost of storage (LCOS) calculations</t>
  </si>
  <si>
    <t>Fuel cell variable</t>
  </si>
  <si>
    <t>Electricity to grid (AC kWh)</t>
  </si>
  <si>
    <t>Electricity from grid (AC kWh)</t>
  </si>
  <si>
    <t>Expenses Specific to Battery Systems</t>
  </si>
  <si>
    <t>Annual electricity to grid (kWh)</t>
  </si>
  <si>
    <t>Electricity to grid (MWh)</t>
  </si>
  <si>
    <t>Electricity to grid (kWh)</t>
  </si>
  <si>
    <t>LAND LEASE</t>
  </si>
  <si>
    <t>Annual land lease cost ($/acre)</t>
  </si>
  <si>
    <t>Land area estimate (acres)</t>
  </si>
  <si>
    <t>Land lease escalation rate (% above inflation)</t>
  </si>
  <si>
    <t>Land lease</t>
  </si>
  <si>
    <t>Land lease payments ($)</t>
  </si>
  <si>
    <t>Land Lease</t>
  </si>
  <si>
    <t>Electricity to grid (kWh/year)</t>
  </si>
  <si>
    <t>Electricity from grid (kWh/year)</t>
  </si>
  <si>
    <t>Electricity generated without storage (kWh/year)</t>
  </si>
  <si>
    <t>Electricity to grid net (kWh/year)</t>
  </si>
  <si>
    <t>Battery annual energy discharged (kWh/year)</t>
  </si>
  <si>
    <t>Fuel cell annual energy discharged (kWh/year)</t>
  </si>
  <si>
    <t>Electricity to grid net (AC kWh)</t>
  </si>
  <si>
    <t>Electricity generated without storage (AC kWh)</t>
  </si>
  <si>
    <t>Battery annual energy discharged (AC kWh)</t>
  </si>
  <si>
    <t>Fuel cell annual energy discharged (AC kWh)</t>
  </si>
  <si>
    <t>Fuel cell fuel</t>
  </si>
  <si>
    <t>Fuel (CSP, generic only)</t>
  </si>
  <si>
    <t>Levelized COE and PPA Price (Nominal)</t>
  </si>
  <si>
    <t>Annual payment schedule (for mortgage style debt only)</t>
  </si>
  <si>
    <t>Debt service coverage ratio ("Calculated" for mortgage style)</t>
  </si>
  <si>
    <t>Limit debt fraction (for sculpted payments only)</t>
  </si>
  <si>
    <t>Adjusted for size of debt limit</t>
  </si>
  <si>
    <t>Debt percent (%) ("Calculated" for sculpted payments)</t>
  </si>
  <si>
    <t>Maximum debt percent (%) (for sculpted payments only)</t>
  </si>
  <si>
    <t>LCOE, nominal  (¢/kWh)</t>
  </si>
  <si>
    <t>Size of debt ($) ("N/A" for sculpted payments)</t>
  </si>
  <si>
    <t>N/A</t>
  </si>
  <si>
    <t>Debt fraction (%)</t>
  </si>
  <si>
    <t>Levelized Cost of Storage (Nominal)</t>
  </si>
  <si>
    <t>LCOS (¢/kWh)</t>
  </si>
  <si>
    <r>
      <t>LCOE (</t>
    </r>
    <r>
      <rPr>
        <sz val="10"/>
        <color theme="1"/>
        <rFont val="Calibri"/>
        <family val="2"/>
      </rPr>
      <t>¢</t>
    </r>
    <r>
      <rPr>
        <sz val="10"/>
        <color theme="1"/>
        <rFont val="Calibri"/>
        <family val="2"/>
        <scheme val="minor"/>
      </rPr>
      <t>/kWh)</t>
    </r>
  </si>
  <si>
    <t>FUEL COSTS (CSP AND GENERIC SYSTEMS ONLY)</t>
  </si>
  <si>
    <t>Annual storage energy discharged (kWh)</t>
  </si>
  <si>
    <t>Storage energy discharged (kWh)</t>
  </si>
  <si>
    <t>PPA revenue (TOD multipliers may apply)</t>
  </si>
  <si>
    <t>Receivables reserve (months of total revenue)</t>
  </si>
  <si>
    <t>Thermal revenue (fuel cell only)</t>
  </si>
  <si>
    <t>Minimum debt service coverage ratio</t>
  </si>
  <si>
    <t>Fixed cost by capacity ($/kW-yr)</t>
  </si>
  <si>
    <t>Investment Tax Credit (ITC) specified as annual values</t>
  </si>
  <si>
    <t>Federal ITC as percentage maximum amount</t>
  </si>
  <si>
    <t>State ITC as percentage maximum amount</t>
  </si>
  <si>
    <t>State ITC as fixed amount</t>
  </si>
  <si>
    <t>Federal ITC as fixed amount</t>
  </si>
  <si>
    <t>Federal ITC  percentage (%)</t>
  </si>
  <si>
    <t>State ITC percentage (%)</t>
  </si>
  <si>
    <t>ITC as fixed amount</t>
  </si>
  <si>
    <t>ITC as percentage maximum</t>
  </si>
  <si>
    <t>ITC as percentage amount</t>
  </si>
  <si>
    <t>ITC  percentage (%)</t>
  </si>
  <si>
    <t>ITC percentage (%)</t>
  </si>
  <si>
    <t>Investment Tax Credit (ITC)</t>
  </si>
  <si>
    <t>Depreciation and ITC Basis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</si>
</sst>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0.000"/>
  </numFmts>
  <fonts count="16"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9"/>
      <color theme="1"/>
      <name val="Calibri"/>
      <family val="2"/>
    </font>
    <font>
      <sz val="10"/>
      <name val="Arial"/>
      <family val="2"/>
    </font>
    <font>
      <b/>
      <sz val="14"/>
      <color theme="0"/>
      <name val="Segoe UI"/>
      <family val="2"/>
    </font>
    <font>
      <b/>
      <sz val="11"/>
      <color theme="1"/>
      <name val="Calibri"/>
      <family val="2"/>
      <scheme val="minor"/>
    </font>
    <font>
      <u/>
      <sz val="11"/>
      <color theme="1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s>
  <borders count="3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xf numFmtId="0" fontId="15" fillId="0" borderId="0" applyNumberFormat="0" applyFill="0" applyBorder="0" applyAlignment="0" applyProtection="0"/>
  </cellStyleXfs>
  <cellXfs count="331">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7" xfId="0" applyFont="1" applyFill="1" applyBorder="1"/>
    <xf numFmtId="0" fontId="4" fillId="2" borderId="18" xfId="0" applyFont="1" applyFill="1" applyBorder="1"/>
    <xf numFmtId="0" fontId="4" fillId="2" borderId="19" xfId="0" applyFont="1" applyFill="1" applyBorder="1"/>
    <xf numFmtId="0" fontId="4" fillId="0" borderId="8" xfId="0" applyFont="1" applyBorder="1" applyAlignment="1">
      <alignment horizontal="center"/>
    </xf>
    <xf numFmtId="0" fontId="4" fillId="0" borderId="23" xfId="0" applyFont="1" applyBorder="1"/>
    <xf numFmtId="0" fontId="3" fillId="0" borderId="16"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7" xfId="0" applyFont="1" applyBorder="1"/>
    <xf numFmtId="0" fontId="4" fillId="0" borderId="19" xfId="0" applyFont="1" applyBorder="1"/>
    <xf numFmtId="0" fontId="4" fillId="0" borderId="18"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6" xfId="0" applyFont="1" applyFill="1" applyBorder="1"/>
    <xf numFmtId="0" fontId="4" fillId="0" borderId="16" xfId="0" applyFont="1" applyBorder="1"/>
    <xf numFmtId="0" fontId="4" fillId="0" borderId="16" xfId="0" applyFont="1" applyBorder="1" applyAlignment="1">
      <alignment horizontal="left" indent="1"/>
    </xf>
    <xf numFmtId="0" fontId="4" fillId="0" borderId="16" xfId="0" applyFont="1" applyBorder="1" applyAlignment="1">
      <alignment horizontal="left" indent="3"/>
    </xf>
    <xf numFmtId="0" fontId="4" fillId="0" borderId="17" xfId="0" applyFont="1" applyBorder="1" applyAlignment="1">
      <alignment horizontal="left" indent="1"/>
    </xf>
    <xf numFmtId="0" fontId="4" fillId="0" borderId="17" xfId="0" applyFont="1" applyBorder="1" applyAlignment="1">
      <alignment horizontal="right"/>
    </xf>
    <xf numFmtId="9" fontId="3" fillId="0" borderId="17" xfId="0" applyNumberFormat="1" applyFont="1" applyBorder="1"/>
    <xf numFmtId="9" fontId="4" fillId="0" borderId="18" xfId="1" applyFont="1" applyBorder="1"/>
    <xf numFmtId="43" fontId="4" fillId="3" borderId="18" xfId="3" applyFont="1" applyFill="1" applyBorder="1"/>
    <xf numFmtId="43" fontId="4" fillId="3" borderId="16" xfId="0" applyNumberFormat="1" applyFont="1" applyFill="1" applyBorder="1"/>
    <xf numFmtId="43" fontId="5" fillId="3" borderId="16" xfId="0" applyNumberFormat="1" applyFont="1" applyFill="1" applyBorder="1"/>
    <xf numFmtId="11" fontId="3" fillId="0" borderId="16" xfId="0" applyNumberFormat="1" applyFont="1" applyBorder="1"/>
    <xf numFmtId="0" fontId="4" fillId="0" borderId="16" xfId="0" applyFont="1" applyBorder="1" applyAlignment="1">
      <alignment horizontal="left" indent="2"/>
    </xf>
    <xf numFmtId="0" fontId="4" fillId="0" borderId="16" xfId="0" applyFont="1" applyBorder="1" applyAlignment="1">
      <alignment horizontal="left" indent="4"/>
    </xf>
    <xf numFmtId="0" fontId="4" fillId="0" borderId="14" xfId="0" applyFont="1" applyBorder="1" applyAlignment="1">
      <alignment horizontal="left" indent="1"/>
    </xf>
    <xf numFmtId="0" fontId="4" fillId="0" borderId="22" xfId="0" applyFont="1" applyBorder="1"/>
    <xf numFmtId="0" fontId="4" fillId="0" borderId="23"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8" xfId="0" applyFont="1" applyBorder="1"/>
    <xf numFmtId="0" fontId="3" fillId="0" borderId="23" xfId="0" applyFont="1" applyBorder="1" applyAlignment="1">
      <alignment horizontal="center"/>
    </xf>
    <xf numFmtId="0" fontId="3" fillId="0" borderId="17" xfId="0" applyFont="1" applyBorder="1"/>
    <xf numFmtId="0" fontId="3" fillId="0" borderId="7" xfId="0" applyFont="1" applyBorder="1" applyAlignment="1">
      <alignment horizontal="center"/>
    </xf>
    <xf numFmtId="0" fontId="3" fillId="0" borderId="22" xfId="0" applyFont="1" applyBorder="1" applyAlignment="1">
      <alignment horizontal="center"/>
    </xf>
    <xf numFmtId="0" fontId="4" fillId="0" borderId="20" xfId="0" applyFont="1" applyBorder="1"/>
    <xf numFmtId="0" fontId="4" fillId="0" borderId="23"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6" xfId="0" applyFont="1" applyBorder="1"/>
    <xf numFmtId="0" fontId="3" fillId="0" borderId="24" xfId="0" applyFont="1" applyBorder="1" applyAlignment="1">
      <alignment horizontal="center"/>
    </xf>
    <xf numFmtId="0" fontId="3" fillId="0" borderId="18" xfId="0" applyFont="1" applyBorder="1" applyAlignment="1">
      <alignment horizontal="center"/>
    </xf>
    <xf numFmtId="0" fontId="4" fillId="0" borderId="16" xfId="0" applyFont="1" applyBorder="1" applyAlignment="1">
      <alignment horizontal="center"/>
    </xf>
    <xf numFmtId="0" fontId="3" fillId="0" borderId="17" xfId="0" applyFont="1" applyBorder="1" applyAlignment="1">
      <alignment horizontal="center"/>
    </xf>
    <xf numFmtId="0" fontId="6" fillId="0" borderId="0" xfId="0" applyFont="1" applyAlignment="1">
      <alignment horizontal="center"/>
    </xf>
    <xf numFmtId="0" fontId="3" fillId="0" borderId="19" xfId="0" applyFont="1" applyBorder="1"/>
    <xf numFmtId="0" fontId="3" fillId="0" borderId="19"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3" xfId="0" applyFont="1" applyBorder="1" applyAlignment="1">
      <alignment horizontal="left" indent="4"/>
    </xf>
    <xf numFmtId="0" fontId="5" fillId="0" borderId="5" xfId="0" applyFont="1" applyBorder="1"/>
    <xf numFmtId="0" fontId="4" fillId="0" borderId="24" xfId="0" applyFont="1" applyBorder="1" applyAlignment="1">
      <alignment horizontal="left" indent="4"/>
    </xf>
    <xf numFmtId="0" fontId="5" fillId="0" borderId="14" xfId="0" applyFont="1" applyBorder="1"/>
    <xf numFmtId="0" fontId="4" fillId="0" borderId="14" xfId="0" applyFont="1" applyBorder="1" applyAlignment="1">
      <alignment horizontal="center" wrapText="1"/>
    </xf>
    <xf numFmtId="0" fontId="4" fillId="0" borderId="24" xfId="0" applyFont="1" applyBorder="1" applyAlignment="1">
      <alignment horizontal="left" indent="2"/>
    </xf>
    <xf numFmtId="0" fontId="4" fillId="0" borderId="0" xfId="0" applyFont="1" applyAlignment="1">
      <alignment horizontal="left" indent="5"/>
    </xf>
    <xf numFmtId="0" fontId="2" fillId="0" borderId="0" xfId="0" applyFont="1"/>
    <xf numFmtId="0" fontId="5" fillId="2" borderId="16" xfId="0" applyFont="1" applyFill="1" applyBorder="1"/>
    <xf numFmtId="0" fontId="4" fillId="0" borderId="5" xfId="0" applyFont="1" applyBorder="1" applyAlignment="1">
      <alignment horizontal="right"/>
    </xf>
    <xf numFmtId="10" fontId="4" fillId="0" borderId="0" xfId="0" applyNumberFormat="1" applyFont="1"/>
    <xf numFmtId="10" fontId="4" fillId="0" borderId="0" xfId="0" applyNumberFormat="1" applyFont="1" applyAlignment="1">
      <alignment horizontal="right"/>
    </xf>
    <xf numFmtId="0" fontId="4" fillId="0" borderId="3" xfId="0" applyFont="1" applyBorder="1" applyAlignment="1">
      <alignment horizontal="left"/>
    </xf>
    <xf numFmtId="0" fontId="4" fillId="0" borderId="3" xfId="0" applyFont="1" applyBorder="1" applyAlignment="1">
      <alignment horizontal="left" indent="1"/>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41" fontId="3" fillId="0" borderId="16" xfId="0" applyNumberFormat="1" applyFont="1" applyBorder="1" applyAlignment="1">
      <alignment horizontal="center"/>
    </xf>
    <xf numFmtId="2" fontId="3" fillId="0" borderId="16" xfId="1" applyNumberFormat="1" applyFont="1" applyFill="1" applyBorder="1"/>
    <xf numFmtId="2" fontId="4" fillId="0" borderId="0" xfId="0" applyNumberFormat="1" applyFont="1"/>
    <xf numFmtId="4" fontId="3" fillId="0" borderId="0" xfId="3" applyNumberFormat="1" applyFont="1" applyFill="1" applyBorder="1"/>
    <xf numFmtId="4" fontId="4" fillId="2" borderId="18" xfId="3" applyNumberFormat="1" applyFont="1" applyFill="1" applyBorder="1"/>
    <xf numFmtId="4" fontId="3" fillId="0" borderId="16" xfId="3" applyNumberFormat="1" applyFont="1" applyFill="1" applyBorder="1"/>
    <xf numFmtId="4" fontId="4" fillId="0" borderId="0" xfId="3" applyNumberFormat="1" applyFont="1"/>
    <xf numFmtId="4" fontId="3" fillId="0" borderId="3" xfId="0" applyNumberFormat="1" applyFont="1" applyBorder="1"/>
    <xf numFmtId="4" fontId="3" fillId="0" borderId="3" xfId="1" applyNumberFormat="1" applyFont="1" applyBorder="1"/>
    <xf numFmtId="4" fontId="2" fillId="2" borderId="18" xfId="0" applyNumberFormat="1" applyFont="1" applyFill="1" applyBorder="1"/>
    <xf numFmtId="4" fontId="3" fillId="0" borderId="16" xfId="0" applyNumberFormat="1" applyFont="1" applyBorder="1"/>
    <xf numFmtId="4" fontId="4" fillId="0" borderId="16" xfId="0" applyNumberFormat="1" applyFont="1" applyBorder="1"/>
    <xf numFmtId="4" fontId="4" fillId="2" borderId="18" xfId="0" applyNumberFormat="1" applyFont="1" applyFill="1" applyBorder="1"/>
    <xf numFmtId="4" fontId="4" fillId="0" borderId="0" xfId="0" applyNumberFormat="1" applyFont="1"/>
    <xf numFmtId="4" fontId="3" fillId="0" borderId="0" xfId="1" applyNumberFormat="1" applyFont="1" applyBorder="1"/>
    <xf numFmtId="4" fontId="3" fillId="0" borderId="16" xfId="1" applyNumberFormat="1" applyFont="1" applyBorder="1"/>
    <xf numFmtId="4" fontId="4" fillId="0" borderId="18" xfId="0" applyNumberFormat="1" applyFont="1" applyBorder="1"/>
    <xf numFmtId="4" fontId="3" fillId="0" borderId="18" xfId="0" applyNumberFormat="1" applyFont="1" applyBorder="1"/>
    <xf numFmtId="4" fontId="4" fillId="0" borderId="16" xfId="1" applyNumberFormat="1" applyFont="1" applyFill="1" applyBorder="1"/>
    <xf numFmtId="4" fontId="3" fillId="3" borderId="16" xfId="1" applyNumberFormat="1" applyFont="1" applyFill="1" applyBorder="1"/>
    <xf numFmtId="4" fontId="3" fillId="0" borderId="16" xfId="1" applyNumberFormat="1" applyFont="1" applyFill="1" applyBorder="1"/>
    <xf numFmtId="4" fontId="4" fillId="0" borderId="16"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20" xfId="0" applyNumberFormat="1" applyFont="1" applyBorder="1"/>
    <xf numFmtId="3" fontId="4" fillId="0" borderId="5" xfId="0" applyNumberFormat="1" applyFont="1" applyBorder="1"/>
    <xf numFmtId="3" fontId="4" fillId="0" borderId="14" xfId="0" applyNumberFormat="1" applyFont="1" applyBorder="1"/>
    <xf numFmtId="3" fontId="4" fillId="0" borderId="21" xfId="0" applyNumberFormat="1" applyFont="1" applyBorder="1"/>
    <xf numFmtId="3" fontId="4" fillId="0" borderId="22" xfId="0" applyNumberFormat="1" applyFont="1" applyBorder="1"/>
    <xf numFmtId="3" fontId="4" fillId="0" borderId="23" xfId="0" applyNumberFormat="1" applyFont="1" applyBorder="1"/>
    <xf numFmtId="3" fontId="4" fillId="0" borderId="6" xfId="0" applyNumberFormat="1" applyFont="1" applyBorder="1"/>
    <xf numFmtId="1" fontId="4" fillId="0" borderId="21" xfId="1" applyNumberFormat="1" applyFont="1" applyFill="1" applyBorder="1"/>
    <xf numFmtId="1" fontId="4" fillId="0" borderId="0" xfId="1" applyNumberFormat="1" applyFont="1" applyFill="1" applyBorder="1"/>
    <xf numFmtId="1" fontId="4" fillId="0" borderId="19" xfId="1" applyNumberFormat="1" applyFont="1" applyFill="1" applyBorder="1"/>
    <xf numFmtId="170" fontId="4" fillId="0" borderId="21" xfId="1" applyNumberFormat="1" applyFont="1" applyFill="1" applyBorder="1"/>
    <xf numFmtId="170" fontId="4" fillId="0" borderId="0" xfId="1" applyNumberFormat="1" applyFont="1" applyFill="1" applyBorder="1"/>
    <xf numFmtId="3" fontId="4" fillId="0" borderId="8" xfId="0" applyNumberFormat="1" applyFont="1" applyBorder="1"/>
    <xf numFmtId="3" fontId="4" fillId="0" borderId="17" xfId="0" applyNumberFormat="1" applyFont="1" applyBorder="1"/>
    <xf numFmtId="170" fontId="4" fillId="0" borderId="19" xfId="1" applyNumberFormat="1" applyFont="1" applyFill="1" applyBorder="1"/>
    <xf numFmtId="3" fontId="4" fillId="0" borderId="19" xfId="0" applyNumberFormat="1" applyFont="1" applyBorder="1"/>
    <xf numFmtId="3" fontId="4" fillId="0" borderId="18" xfId="0" applyNumberFormat="1" applyFont="1" applyBorder="1"/>
    <xf numFmtId="0" fontId="8" fillId="0" borderId="19" xfId="0" applyFont="1" applyBorder="1" applyAlignment="1">
      <alignment horizontal="center" wrapText="1"/>
    </xf>
    <xf numFmtId="0" fontId="8" fillId="0" borderId="3" xfId="0" applyFont="1" applyBorder="1" applyAlignment="1">
      <alignment horizontal="center" wrapText="1"/>
    </xf>
    <xf numFmtId="4" fontId="3" fillId="0" borderId="17" xfId="0" applyNumberFormat="1" applyFont="1" applyBorder="1"/>
    <xf numFmtId="1" fontId="3" fillId="0" borderId="17" xfId="0" applyNumberFormat="1" applyFont="1" applyBorder="1"/>
    <xf numFmtId="37" fontId="3" fillId="0" borderId="17" xfId="0" applyNumberFormat="1" applyFont="1" applyBorder="1"/>
    <xf numFmtId="37" fontId="3" fillId="0" borderId="20" xfId="0" applyNumberFormat="1" applyFont="1" applyBorder="1"/>
    <xf numFmtId="2" fontId="3" fillId="0" borderId="24" xfId="1" applyNumberFormat="1" applyFont="1" applyFill="1" applyBorder="1"/>
    <xf numFmtId="4" fontId="3" fillId="0" borderId="24" xfId="0" applyNumberFormat="1" applyFont="1" applyBorder="1"/>
    <xf numFmtId="1" fontId="3" fillId="0" borderId="16" xfId="0" applyNumberFormat="1" applyFont="1" applyBorder="1"/>
    <xf numFmtId="3" fontId="4" fillId="0" borderId="2" xfId="0" applyNumberFormat="1" applyFont="1" applyBorder="1"/>
    <xf numFmtId="3" fontId="4" fillId="0" borderId="3" xfId="0" applyNumberFormat="1" applyFont="1" applyBorder="1"/>
    <xf numFmtId="2" fontId="3" fillId="3" borderId="17"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3" xfId="0" applyNumberFormat="1" applyFont="1" applyBorder="1"/>
    <xf numFmtId="1" fontId="4" fillId="0" borderId="16"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19"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6" xfId="0"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6" xfId="0" applyNumberFormat="1" applyFont="1" applyBorder="1"/>
    <xf numFmtId="37" fontId="4" fillId="0" borderId="16" xfId="0" applyNumberFormat="1" applyFont="1" applyBorder="1"/>
    <xf numFmtId="3" fontId="3" fillId="0" borderId="16" xfId="0" applyNumberFormat="1" applyFont="1" applyBorder="1"/>
    <xf numFmtId="43" fontId="4" fillId="0" borderId="5" xfId="0" applyNumberFormat="1" applyFont="1" applyBorder="1"/>
    <xf numFmtId="3" fontId="4" fillId="0" borderId="0" xfId="0" applyNumberFormat="1" applyFont="1" applyAlignment="1">
      <alignment horizontal="center"/>
    </xf>
    <xf numFmtId="170" fontId="3" fillId="0" borderId="0" xfId="0" applyNumberFormat="1" applyFont="1"/>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6" xfId="0" applyNumberFormat="1" applyFont="1" applyBorder="1"/>
    <xf numFmtId="2" fontId="3" fillId="0" borderId="23" xfId="0" applyNumberFormat="1" applyFont="1" applyBorder="1"/>
    <xf numFmtId="2" fontId="4" fillId="0" borderId="16" xfId="0" applyNumberFormat="1" applyFont="1" applyBorder="1"/>
    <xf numFmtId="2" fontId="4" fillId="0" borderId="23" xfId="0" applyNumberFormat="1" applyFont="1" applyBorder="1"/>
    <xf numFmtId="1" fontId="4" fillId="0" borderId="23" xfId="0" applyNumberFormat="1" applyFont="1" applyBorder="1"/>
    <xf numFmtId="2" fontId="4" fillId="0" borderId="16" xfId="1" applyNumberFormat="1" applyFont="1" applyBorder="1"/>
    <xf numFmtId="2" fontId="4" fillId="0" borderId="23" xfId="1" applyNumberFormat="1" applyFont="1" applyBorder="1"/>
    <xf numFmtId="0" fontId="4" fillId="0" borderId="21" xfId="0" applyFont="1" applyBorder="1"/>
    <xf numFmtId="2" fontId="4" fillId="0" borderId="16"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6" xfId="0" applyNumberFormat="1" applyFont="1" applyFill="1" applyBorder="1" applyAlignment="1">
      <alignment horizontal="left"/>
    </xf>
    <xf numFmtId="3" fontId="5" fillId="2" borderId="16" xfId="0" quotePrefix="1" applyNumberFormat="1" applyFont="1" applyFill="1" applyBorder="1" applyAlignment="1">
      <alignment horizontal="center"/>
    </xf>
    <xf numFmtId="3" fontId="4" fillId="0" borderId="16" xfId="0" applyNumberFormat="1" applyFont="1" applyBorder="1" applyAlignment="1">
      <alignment horizontal="left"/>
    </xf>
    <xf numFmtId="172" fontId="4" fillId="0" borderId="0" xfId="0" applyNumberFormat="1" applyFont="1"/>
    <xf numFmtId="3" fontId="4" fillId="5" borderId="16" xfId="0" applyNumberFormat="1" applyFont="1" applyFill="1" applyBorder="1"/>
    <xf numFmtId="4" fontId="3" fillId="5" borderId="16" xfId="0" applyNumberFormat="1" applyFont="1" applyFill="1" applyBorder="1"/>
    <xf numFmtId="173" fontId="4" fillId="5" borderId="16" xfId="0" applyNumberFormat="1" applyFont="1" applyFill="1" applyBorder="1"/>
    <xf numFmtId="0" fontId="4" fillId="0" borderId="19" xfId="0" applyFont="1" applyBorder="1" applyAlignment="1">
      <alignment horizontal="left"/>
    </xf>
    <xf numFmtId="0" fontId="4" fillId="0" borderId="21" xfId="0" applyFont="1" applyBorder="1" applyAlignment="1">
      <alignment horizontal="left"/>
    </xf>
    <xf numFmtId="0" fontId="4" fillId="0" borderId="15" xfId="0" applyFont="1" applyBorder="1"/>
    <xf numFmtId="0" fontId="5" fillId="0" borderId="19" xfId="0" applyFont="1" applyBorder="1"/>
    <xf numFmtId="0" fontId="4" fillId="0" borderId="19" xfId="0" applyFont="1" applyBorder="1" applyAlignment="1">
      <alignment horizontal="left" indent="1"/>
    </xf>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9" xfId="1" applyNumberFormat="1" applyFont="1" applyFill="1" applyBorder="1"/>
    <xf numFmtId="41" fontId="4" fillId="2" borderId="19" xfId="0" applyNumberFormat="1" applyFont="1" applyFill="1" applyBorder="1"/>
    <xf numFmtId="0" fontId="4" fillId="0" borderId="16" xfId="0" applyFont="1" applyBorder="1" applyAlignment="1">
      <alignment horizontal="center" wrapText="1"/>
    </xf>
    <xf numFmtId="41" fontId="3" fillId="0" borderId="16" xfId="0" applyNumberFormat="1" applyFont="1" applyBorder="1" applyAlignment="1">
      <alignment horizontal="center" wrapText="1"/>
    </xf>
    <xf numFmtId="0" fontId="13" fillId="6" borderId="27" xfId="4" applyFont="1" applyFill="1" applyBorder="1" applyAlignment="1">
      <alignment horizontal="center"/>
    </xf>
    <xf numFmtId="0" fontId="5" fillId="2" borderId="20" xfId="0" applyFont="1" applyFill="1" applyBorder="1"/>
    <xf numFmtId="4" fontId="4" fillId="2" borderId="22" xfId="0" applyNumberFormat="1" applyFont="1" applyFill="1" applyBorder="1"/>
    <xf numFmtId="4" fontId="3" fillId="0" borderId="14" xfId="0" applyNumberFormat="1" applyFont="1" applyBorder="1"/>
    <xf numFmtId="0" fontId="3" fillId="4" borderId="23" xfId="0" applyFont="1" applyFill="1" applyBorder="1"/>
    <xf numFmtId="0" fontId="13" fillId="6" borderId="27"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3" fillId="0" borderId="17" xfId="0" applyFont="1" applyBorder="1" applyAlignment="1">
      <alignment horizontal="right"/>
    </xf>
    <xf numFmtId="0" fontId="4" fillId="0" borderId="17" xfId="0" applyFont="1" applyBorder="1" applyAlignment="1">
      <alignment horizontal="center" wrapText="1"/>
    </xf>
    <xf numFmtId="41" fontId="3" fillId="0" borderId="17"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1" xfId="0" applyFont="1" applyFill="1" applyBorder="1"/>
    <xf numFmtId="0" fontId="4" fillId="2" borderId="22"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30" xfId="0" applyFont="1" applyBorder="1" applyAlignment="1">
      <alignment horizontal="center"/>
    </xf>
    <xf numFmtId="11" fontId="3" fillId="0" borderId="24" xfId="0" applyNumberFormat="1" applyFont="1" applyBorder="1"/>
    <xf numFmtId="4" fontId="3" fillId="7" borderId="16" xfId="0" applyNumberFormat="1" applyFont="1" applyFill="1" applyBorder="1"/>
    <xf numFmtId="0" fontId="4" fillId="7" borderId="28" xfId="0" applyFont="1" applyFill="1" applyBorder="1" applyAlignment="1">
      <alignment horizontal="left" indent="1"/>
    </xf>
    <xf numFmtId="4" fontId="3" fillId="7" borderId="29" xfId="0" applyNumberFormat="1" applyFont="1" applyFill="1" applyBorder="1"/>
    <xf numFmtId="0" fontId="4" fillId="7" borderId="25" xfId="0" applyFont="1" applyFill="1" applyBorder="1" applyAlignment="1">
      <alignment horizontal="left" indent="1"/>
    </xf>
    <xf numFmtId="4" fontId="3" fillId="7" borderId="26" xfId="0" applyNumberFormat="1" applyFont="1" applyFill="1" applyBorder="1"/>
    <xf numFmtId="4" fontId="3" fillId="3" borderId="16"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6" xfId="0" applyFont="1" applyBorder="1" applyAlignment="1">
      <alignment horizontal="center"/>
    </xf>
    <xf numFmtId="0" fontId="13" fillId="0" borderId="0" xfId="4" applyFont="1" applyAlignment="1">
      <alignment horizontal="center"/>
    </xf>
    <xf numFmtId="0" fontId="13" fillId="6" borderId="31" xfId="4" applyFont="1" applyFill="1" applyBorder="1" applyAlignment="1">
      <alignment horizontal="center"/>
    </xf>
    <xf numFmtId="0" fontId="5" fillId="2" borderId="19" xfId="0" applyFont="1" applyFill="1" applyBorder="1" applyAlignment="1">
      <alignment horizontal="center" vertical="center"/>
    </xf>
    <xf numFmtId="0" fontId="4" fillId="4" borderId="16" xfId="0" applyFont="1" applyFill="1" applyBorder="1"/>
    <xf numFmtId="0" fontId="4" fillId="5" borderId="16" xfId="0" applyFont="1" applyFill="1" applyBorder="1"/>
    <xf numFmtId="3" fontId="5" fillId="0" borderId="17" xfId="0" applyNumberFormat="1" applyFont="1" applyBorder="1"/>
    <xf numFmtId="0" fontId="4" fillId="4" borderId="14" xfId="0" applyFont="1" applyFill="1" applyBorder="1"/>
    <xf numFmtId="0" fontId="4" fillId="5" borderId="14" xfId="0" applyFont="1" applyFill="1" applyBorder="1"/>
    <xf numFmtId="0" fontId="4" fillId="4" borderId="19" xfId="0" applyFont="1" applyFill="1" applyBorder="1"/>
    <xf numFmtId="0" fontId="4" fillId="4" borderId="18" xfId="0" applyFont="1" applyFill="1" applyBorder="1"/>
    <xf numFmtId="0" fontId="4" fillId="4" borderId="23" xfId="0" applyFont="1" applyFill="1" applyBorder="1"/>
    <xf numFmtId="0" fontId="4" fillId="5" borderId="23" xfId="0" applyFont="1" applyFill="1" applyBorder="1"/>
    <xf numFmtId="2" fontId="3" fillId="0" borderId="17"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4" xfId="1" applyNumberFormat="1" applyFont="1" applyBorder="1"/>
    <xf numFmtId="0" fontId="5" fillId="0" borderId="32" xfId="0" applyFont="1" applyBorder="1"/>
    <xf numFmtId="4" fontId="3" fillId="0" borderId="33" xfId="0" applyNumberFormat="1" applyFont="1" applyBorder="1"/>
    <xf numFmtId="0" fontId="2" fillId="0" borderId="17" xfId="0" applyFont="1" applyBorder="1" applyAlignment="1">
      <alignment horizontal="left"/>
    </xf>
    <xf numFmtId="0" fontId="3" fillId="0" borderId="16" xfId="0" applyFont="1" applyBorder="1" applyAlignment="1">
      <alignment horizontal="left" indent="1"/>
    </xf>
    <xf numFmtId="4" fontId="3" fillId="0" borderId="22" xfId="0" applyNumberFormat="1" applyFont="1" applyBorder="1"/>
    <xf numFmtId="0" fontId="3" fillId="0" borderId="17" xfId="0" applyFont="1" applyBorder="1" applyAlignment="1">
      <alignment horizontal="left" indent="1"/>
    </xf>
    <xf numFmtId="0" fontId="3" fillId="4" borderId="16" xfId="4" applyFont="1" applyFill="1" applyBorder="1" applyAlignment="1">
      <alignment horizontal="right"/>
    </xf>
    <xf numFmtId="2" fontId="4" fillId="0" borderId="0" xfId="1" applyNumberFormat="1" applyFont="1" applyFill="1" applyBorder="1"/>
    <xf numFmtId="3" fontId="4" fillId="0" borderId="7" xfId="0" applyNumberFormat="1" applyFont="1" applyBorder="1"/>
    <xf numFmtId="0" fontId="14" fillId="0" borderId="0" xfId="0" applyFont="1"/>
    <xf numFmtId="4" fontId="3" fillId="5" borderId="16" xfId="1" applyNumberFormat="1" applyFont="1" applyFill="1" applyBorder="1"/>
    <xf numFmtId="0" fontId="4" fillId="7" borderId="16" xfId="0" applyFont="1" applyFill="1" applyBorder="1" applyAlignment="1">
      <alignment horizontal="left" indent="1"/>
    </xf>
    <xf numFmtId="3" fontId="3" fillId="0" borderId="16" xfId="1" applyNumberFormat="1" applyFont="1" applyFill="1" applyBorder="1"/>
    <xf numFmtId="0" fontId="4" fillId="7" borderId="16" xfId="0" applyFont="1" applyFill="1" applyBorder="1" applyAlignment="1">
      <alignment horizontal="left"/>
    </xf>
    <xf numFmtId="3" fontId="4" fillId="0" borderId="23" xfId="0" applyNumberFormat="1" applyFont="1" applyBorder="1" applyAlignment="1">
      <alignment horizontal="left" indent="1"/>
    </xf>
    <xf numFmtId="3" fontId="4" fillId="0" borderId="20" xfId="0" applyNumberFormat="1" applyFont="1" applyBorder="1" applyAlignment="1">
      <alignment horizontal="left" indent="1"/>
    </xf>
    <xf numFmtId="3" fontId="5" fillId="0" borderId="23" xfId="0" applyNumberFormat="1" applyFont="1" applyBorder="1"/>
    <xf numFmtId="0" fontId="15" fillId="0" borderId="0" xfId="6" applyFill="1" applyBorder="1"/>
    <xf numFmtId="0" fontId="5" fillId="0" borderId="16" xfId="0" applyFont="1" applyBorder="1"/>
    <xf numFmtId="0" fontId="3" fillId="0" borderId="0" xfId="4" applyFont="1" applyAlignment="1">
      <alignment horizontal="left"/>
    </xf>
    <xf numFmtId="0" fontId="3" fillId="0" borderId="0" xfId="5" applyNumberFormat="1" applyFont="1" applyFill="1" applyBorder="1" applyAlignment="1">
      <alignment horizontal="left"/>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3" fontId="5" fillId="0" borderId="20" xfId="0" applyNumberFormat="1" applyFont="1" applyBorder="1"/>
    <xf numFmtId="173" fontId="4" fillId="0" borderId="17" xfId="0" applyNumberFormat="1" applyFont="1" applyBorder="1"/>
    <xf numFmtId="173" fontId="4" fillId="0" borderId="19" xfId="0" applyNumberFormat="1" applyFont="1" applyBorder="1"/>
    <xf numFmtId="173" fontId="4" fillId="0" borderId="18" xfId="0" applyNumberFormat="1" applyFont="1" applyBorder="1"/>
    <xf numFmtId="170" fontId="4" fillId="0" borderId="1" xfId="0" applyNumberFormat="1" applyFont="1" applyBorder="1"/>
    <xf numFmtId="0" fontId="4" fillId="7" borderId="34" xfId="0" applyFont="1" applyFill="1" applyBorder="1" applyAlignment="1">
      <alignment horizontal="left" indent="1"/>
    </xf>
    <xf numFmtId="4" fontId="3" fillId="7" borderId="35" xfId="0" applyNumberFormat="1" applyFont="1" applyFill="1" applyBorder="1"/>
    <xf numFmtId="170" fontId="4" fillId="0" borderId="0" xfId="3" applyNumberFormat="1" applyFont="1"/>
    <xf numFmtId="170" fontId="4" fillId="0" borderId="16" xfId="0" applyNumberFormat="1" applyFont="1" applyBorder="1"/>
    <xf numFmtId="172" fontId="3" fillId="7" borderId="16" xfId="0" applyNumberFormat="1" applyFont="1" applyFill="1" applyBorder="1" applyAlignment="1">
      <alignment horizontal="left"/>
    </xf>
    <xf numFmtId="172" fontId="3" fillId="0" borderId="16" xfId="0" applyNumberFormat="1" applyFont="1" applyBorder="1"/>
    <xf numFmtId="0" fontId="3" fillId="0" borderId="20" xfId="0" applyFont="1" applyBorder="1" applyAlignment="1">
      <alignment horizontal="left" indent="1"/>
    </xf>
    <xf numFmtId="4" fontId="3" fillId="5" borderId="23" xfId="0" applyNumberFormat="1" applyFont="1" applyFill="1" applyBorder="1"/>
    <xf numFmtId="0" fontId="3" fillId="0" borderId="8" xfId="0" applyFont="1" applyBorder="1" applyAlignment="1">
      <alignment horizontal="left" indent="1"/>
    </xf>
    <xf numFmtId="4" fontId="3" fillId="5" borderId="14" xfId="0" applyNumberFormat="1" applyFont="1" applyFill="1" applyBorder="1"/>
    <xf numFmtId="0" fontId="2" fillId="4" borderId="17" xfId="0" applyFont="1" applyFill="1" applyBorder="1" applyAlignment="1">
      <alignment horizontal="left"/>
    </xf>
    <xf numFmtId="4" fontId="3" fillId="4" borderId="19" xfId="0" applyNumberFormat="1" applyFont="1" applyFill="1" applyBorder="1"/>
    <xf numFmtId="4" fontId="3" fillId="4" borderId="18" xfId="0" applyNumberFormat="1" applyFont="1" applyFill="1" applyBorder="1"/>
    <xf numFmtId="0" fontId="4" fillId="0" borderId="20" xfId="0" applyFont="1" applyBorder="1" applyAlignment="1">
      <alignment horizontal="left" indent="1"/>
    </xf>
    <xf numFmtId="0" fontId="4" fillId="0" borderId="8" xfId="0" applyFont="1" applyBorder="1" applyAlignment="1">
      <alignment horizontal="left" indent="1"/>
    </xf>
    <xf numFmtId="3" fontId="3" fillId="5" borderId="23" xfId="0" applyNumberFormat="1" applyFont="1" applyFill="1" applyBorder="1"/>
    <xf numFmtId="3" fontId="4" fillId="0" borderId="0" xfId="0" applyNumberFormat="1" applyFont="1" applyAlignment="1">
      <alignment horizontal="left" indent="1"/>
    </xf>
    <xf numFmtId="0" fontId="4" fillId="0" borderId="6" xfId="0" applyFont="1" applyBorder="1"/>
    <xf numFmtId="0" fontId="5" fillId="2" borderId="36" xfId="0" applyFont="1" applyFill="1" applyBorder="1"/>
    <xf numFmtId="41" fontId="4" fillId="2" borderId="37" xfId="0" applyNumberFormat="1" applyFont="1" applyFill="1" applyBorder="1"/>
    <xf numFmtId="11" fontId="4" fillId="0" borderId="0" xfId="0" applyNumberFormat="1" applyFont="1"/>
    <xf numFmtId="11" fontId="4" fillId="5" borderId="14" xfId="0" applyNumberFormat="1" applyFont="1" applyFill="1" applyBorder="1"/>
    <xf numFmtId="0" fontId="4" fillId="0" borderId="17" xfId="0" applyFont="1" applyBorder="1" applyAlignment="1">
      <alignment horizontal="center"/>
    </xf>
    <xf numFmtId="0" fontId="4" fillId="0" borderId="18" xfId="0" applyFont="1" applyBorder="1" applyAlignment="1">
      <alignment horizontal="center"/>
    </xf>
    <xf numFmtId="0" fontId="5" fillId="0" borderId="17" xfId="0" applyFont="1" applyBorder="1" applyAlignment="1">
      <alignment horizontal="center"/>
    </xf>
    <xf numFmtId="0" fontId="5" fillId="0" borderId="19" xfId="0" applyFont="1" applyBorder="1" applyAlignment="1">
      <alignment horizontal="center"/>
    </xf>
    <xf numFmtId="0" fontId="5" fillId="0" borderId="18" xfId="0" applyFont="1" applyBorder="1" applyAlignment="1">
      <alignment horizontal="center"/>
    </xf>
    <xf numFmtId="41" fontId="5" fillId="0" borderId="17" xfId="0" applyNumberFormat="1" applyFont="1" applyBorder="1" applyAlignment="1">
      <alignment horizontal="center"/>
    </xf>
    <xf numFmtId="41" fontId="5" fillId="0" borderId="18" xfId="0" applyNumberFormat="1" applyFont="1" applyBorder="1" applyAlignment="1">
      <alignment horizontal="center"/>
    </xf>
    <xf numFmtId="11" fontId="4" fillId="5" borderId="16" xfId="0" applyNumberFormat="1" applyFont="1" applyFill="1" applyBorder="1"/>
  </cellXfs>
  <cellStyles count="7">
    <cellStyle name="Comma" xfId="3" builtinId="3"/>
    <cellStyle name="Currency" xfId="2" builtinId="4"/>
    <cellStyle name="Hyperlink" xfId="6" builtinId="8"/>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63501</xdr:colOff>
      <xdr:row>57</xdr:row>
      <xdr:rowOff>0</xdr:rowOff>
    </xdr:from>
    <xdr:to>
      <xdr:col>5</xdr:col>
      <xdr:colOff>21168</xdr:colOff>
      <xdr:row>74</xdr:row>
      <xdr:rowOff>31751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99668" y="9387417"/>
          <a:ext cx="3429000" cy="2741084"/>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latin typeface="+mn-lt"/>
              <a:ea typeface="+mn-ea"/>
              <a:cs typeface="+mn-cs"/>
            </a:rPr>
            <a:t>Mortgage-style size of debt is the product of the debt fraction and total capital cost. The total capital cost includes debt service reserve funding and debt up-front costs, which are both calculated from the size of debt value. To calculate the value, SAM uses a two-step iteration that is not possible to replicate in this workbook using static formulas.</a:t>
          </a:r>
        </a:p>
        <a:p>
          <a:pPr marL="0" indent="0"/>
          <a:endParaRPr lang="en-US" sz="1100">
            <a:solidFill>
              <a:schemeClr val="dk1"/>
            </a:solidFill>
            <a:latin typeface="+mn-lt"/>
            <a:ea typeface="+mn-ea"/>
            <a:cs typeface="+mn-cs"/>
          </a:endParaRPr>
        </a:p>
        <a:p>
          <a:pPr marL="0" indent="0"/>
          <a:r>
            <a:rPr lang="en-US" sz="1100">
              <a:solidFill>
                <a:schemeClr val="dk1"/>
              </a:solidFill>
              <a:latin typeface="+mn-lt"/>
              <a:ea typeface="+mn-ea"/>
              <a:cs typeface="+mn-cs"/>
            </a:rPr>
            <a:t>Sculpted debt sizes</a:t>
          </a:r>
          <a:r>
            <a:rPr lang="en-US" sz="1100" baseline="0">
              <a:solidFill>
                <a:schemeClr val="dk1"/>
              </a:solidFill>
              <a:latin typeface="+mn-lt"/>
              <a:ea typeface="+mn-ea"/>
              <a:cs typeface="+mn-cs"/>
            </a:rPr>
            <a:t> debt based on EBITDA to maintain a constant DSCR from year to year.</a:t>
          </a:r>
          <a:endParaRPr lang="en-US" sz="1100">
            <a:solidFill>
              <a:schemeClr val="dk1"/>
            </a:solidFill>
            <a:latin typeface="+mn-lt"/>
            <a:ea typeface="+mn-ea"/>
            <a:cs typeface="+mn-cs"/>
          </a:endParaRPr>
        </a:p>
        <a:p>
          <a:pPr marL="0" indent="0"/>
          <a:endParaRPr lang="en-US" sz="1100">
            <a:solidFill>
              <a:schemeClr val="dk1"/>
            </a:solidFill>
            <a:latin typeface="+mn-lt"/>
            <a:ea typeface="+mn-ea"/>
            <a:cs typeface="+mn-cs"/>
          </a:endParaRPr>
        </a:p>
        <a:p>
          <a:pPr marL="0" indent="0"/>
          <a:r>
            <a:rPr lang="en-US" sz="1100">
              <a:solidFill>
                <a:schemeClr val="dk1"/>
              </a:solidFill>
              <a:latin typeface="+mn-lt"/>
              <a:ea typeface="+mn-ea"/>
              <a:cs typeface="+mn-cs"/>
            </a:rPr>
            <a:t>"Equal payments" for the annual payment schedule indicates a standard amortization with constant total annual P&amp;I payments. "Fixed principal" indicates fixed principal with declining interest annual payments.</a:t>
          </a:r>
        </a:p>
      </xdr:txBody>
    </xdr:sp>
    <xdr:clientData/>
  </xdr:twoCellAnchor>
  <xdr:twoCellAnchor>
    <xdr:from>
      <xdr:col>1</xdr:col>
      <xdr:colOff>116414</xdr:colOff>
      <xdr:row>14</xdr:row>
      <xdr:rowOff>42335</xdr:rowOff>
    </xdr:from>
    <xdr:to>
      <xdr:col>3</xdr:col>
      <xdr:colOff>635000</xdr:colOff>
      <xdr:row>16</xdr:row>
      <xdr:rowOff>158750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49247" y="2370668"/>
          <a:ext cx="6021920" cy="49741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effectLst/>
              <a:latin typeface="+mn-lt"/>
              <a:ea typeface="+mn-ea"/>
              <a:cs typeface="+mn-cs"/>
            </a:rPr>
            <a:t>'N/A' indicates O&amp;M or land lease  costs entered as annual values. See "ANNUAL VALUES" below.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Additional operation and maintenance and fuel costs are listed below under "ANNUAL VALUES."</a:t>
          </a:r>
        </a:p>
        <a:p>
          <a:pPr marL="0" indent="0"/>
          <a:endParaRPr lang="en-US" sz="1100">
            <a:solidFill>
              <a:schemeClr val="dk1"/>
            </a:solidFill>
            <a:effectLst/>
            <a:latin typeface="+mn-lt"/>
            <a:ea typeface="+mn-ea"/>
            <a:cs typeface="+mn-cs"/>
          </a:endParaRPr>
        </a:p>
      </xdr:txBody>
    </xdr:sp>
    <xdr:clientData/>
  </xdr:twoCellAnchor>
  <xdr:oneCellAnchor>
    <xdr:from>
      <xdr:col>3</xdr:col>
      <xdr:colOff>582083</xdr:colOff>
      <xdr:row>25</xdr:row>
      <xdr:rowOff>10584</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318250" y="4307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5</xdr:col>
      <xdr:colOff>31747</xdr:colOff>
      <xdr:row>107</xdr:row>
      <xdr:rowOff>42334</xdr:rowOff>
    </xdr:from>
    <xdr:to>
      <xdr:col>7</xdr:col>
      <xdr:colOff>444497</xdr:colOff>
      <xdr:row>110</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7547167"/>
          <a:ext cx="3429000" cy="488104"/>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42</xdr:row>
      <xdr:rowOff>4232</xdr:rowOff>
    </xdr:from>
    <xdr:to>
      <xdr:col>5</xdr:col>
      <xdr:colOff>10583</xdr:colOff>
      <xdr:row>52</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6999815"/>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Year 1 rates </a:t>
          </a:r>
          <a:r>
            <a:rPr lang="en-US" sz="1100" baseline="0">
              <a:solidFill>
                <a:schemeClr val="dk1"/>
              </a:solidFill>
              <a:effectLst/>
              <a:latin typeface="+mn-lt"/>
              <a:ea typeface="+mn-ea"/>
              <a:cs typeface="+mn-cs"/>
            </a:rPr>
            <a:t>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Installation Costs input page.</a:t>
          </a:r>
          <a:endParaRPr lang="en-US">
            <a:effectLst/>
          </a:endParaRPr>
        </a:p>
        <a:p>
          <a:endParaRPr lang="en-US" sz="1100"/>
        </a:p>
      </xdr:txBody>
    </xdr:sp>
    <xdr:clientData/>
  </xdr:twoCellAnchor>
  <xdr:twoCellAnchor>
    <xdr:from>
      <xdr:col>1</xdr:col>
      <xdr:colOff>1227665</xdr:colOff>
      <xdr:row>201</xdr:row>
      <xdr:rowOff>10585</xdr:rowOff>
    </xdr:from>
    <xdr:to>
      <xdr:col>3</xdr:col>
      <xdr:colOff>105833</xdr:colOff>
      <xdr:row>205</xdr:row>
      <xdr:rowOff>105835</xdr:rowOff>
    </xdr:to>
    <xdr:sp macro="" textlink="">
      <xdr:nvSpPr>
        <xdr:cNvPr id="7" name="TextBox 6">
          <a:extLst>
            <a:ext uri="{FF2B5EF4-FFF2-40B4-BE49-F238E27FC236}">
              <a16:creationId xmlns:a16="http://schemas.microsoft.com/office/drawing/2014/main" id="{BE977134-0C2F-4D11-AE86-EEA1A68EB043}"/>
            </a:ext>
          </a:extLst>
        </xdr:cNvPr>
        <xdr:cNvSpPr txBox="1"/>
      </xdr:nvSpPr>
      <xdr:spPr>
        <a:xfrm>
          <a:off x="1460498" y="31369002"/>
          <a:ext cx="4381502" cy="730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the debt fraction</a:t>
          </a:r>
          <a:r>
            <a:rPr lang="en-US" sz="1100" baseline="0"/>
            <a:t> input option, debt service reserve calculations involve an iterative calculation that is not replicated in this workbook. The iteration is required because the capital cost on which the debt amount depends includes the initial debt service funding amount.</a:t>
          </a:r>
          <a:endParaRPr lang="en-US">
            <a:effectLst/>
          </a:endParaRPr>
        </a:p>
      </xdr:txBody>
    </xdr:sp>
    <xdr:clientData/>
  </xdr:twoCellAnchor>
  <xdr:twoCellAnchor>
    <xdr:from>
      <xdr:col>3</xdr:col>
      <xdr:colOff>74083</xdr:colOff>
      <xdr:row>28</xdr:row>
      <xdr:rowOff>10582</xdr:rowOff>
    </xdr:from>
    <xdr:to>
      <xdr:col>5</xdr:col>
      <xdr:colOff>27519</xdr:colOff>
      <xdr:row>39</xdr:row>
      <xdr:rowOff>137582</xdr:rowOff>
    </xdr:to>
    <xdr:sp macro="" textlink="">
      <xdr:nvSpPr>
        <xdr:cNvPr id="8" name="TextBox 7">
          <a:extLst>
            <a:ext uri="{FF2B5EF4-FFF2-40B4-BE49-F238E27FC236}">
              <a16:creationId xmlns:a16="http://schemas.microsoft.com/office/drawing/2014/main" id="{42CB5C88-220A-4D96-9650-3F8BD4C5015A}"/>
            </a:ext>
          </a:extLst>
        </xdr:cNvPr>
        <xdr:cNvSpPr txBox="1"/>
      </xdr:nvSpPr>
      <xdr:spPr>
        <a:xfrm>
          <a:off x="5810250" y="4783665"/>
          <a:ext cx="3424769" cy="1873250"/>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An IRR target value of "N/A" indicates the solution mode in SAM is "Specify PPA price."</a:t>
          </a:r>
          <a:r>
            <a:rPr lang="en-US" sz="1100" baseline="0">
              <a:solidFill>
                <a:schemeClr val="dk1"/>
              </a:solidFill>
              <a:effectLst/>
              <a:latin typeface="+mn-lt"/>
              <a:ea typeface="+mn-ea"/>
              <a:cs typeface="+mn-cs"/>
            </a:rPr>
            <a:t> </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If the PPA Price is modified by Time</a:t>
          </a:r>
          <a:r>
            <a:rPr lang="en-US" sz="1100" baseline="0"/>
            <a:t> of Delivery (TOD) multipliers, then the total PPA revenue in the cash flow is the sum of the products of PPA price ($/kWh), hourly (or subhourly) production (kWh) and TOD multiplier. The TOD multipliers do not appear in this workbook, but their effect is reflected in the annual PPA revenue row imported from SAM under"Annual Values" below.</a:t>
          </a:r>
          <a:endParaRPr lang="en-US">
            <a:effectLst/>
          </a:endParaRPr>
        </a:p>
        <a:p>
          <a:endParaRPr lang="en-US" sz="1100"/>
        </a:p>
      </xdr:txBody>
    </xdr:sp>
    <xdr:clientData/>
  </xdr:twoCellAnchor>
  <xdr:twoCellAnchor>
    <xdr:from>
      <xdr:col>6</xdr:col>
      <xdr:colOff>42334</xdr:colOff>
      <xdr:row>100</xdr:row>
      <xdr:rowOff>10582</xdr:rowOff>
    </xdr:from>
    <xdr:to>
      <xdr:col>8</xdr:col>
      <xdr:colOff>973668</xdr:colOff>
      <xdr:row>103</xdr:row>
      <xdr:rowOff>95249</xdr:rowOff>
    </xdr:to>
    <xdr:sp macro="" textlink="">
      <xdr:nvSpPr>
        <xdr:cNvPr id="9" name="TextBox 8">
          <a:extLst>
            <a:ext uri="{FF2B5EF4-FFF2-40B4-BE49-F238E27FC236}">
              <a16:creationId xmlns:a16="http://schemas.microsoft.com/office/drawing/2014/main" id="{B3DA03FA-53A9-4674-8A58-6C8E158902EC}"/>
            </a:ext>
          </a:extLst>
        </xdr:cNvPr>
        <xdr:cNvSpPr txBox="1"/>
      </xdr:nvSpPr>
      <xdr:spPr>
        <a:xfrm>
          <a:off x="11017251" y="16404165"/>
          <a:ext cx="3429000" cy="560917"/>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a:t>
          </a:r>
          <a:r>
            <a:rPr lang="en-US" sz="1100" baseline="0"/>
            <a:t> years, see "ANNUAL VALUES" below: Values here are for determining ITC reduction of depreciation basis.</a:t>
          </a:r>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212"/>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56"/>
      <c r="B1" s="257" t="s">
        <v>231</v>
      </c>
      <c r="C1" s="256"/>
      <c r="D1" s="256"/>
      <c r="E1" s="256"/>
      <c r="F1" s="256"/>
      <c r="G1" s="256"/>
      <c r="H1" s="256"/>
      <c r="I1" s="256"/>
      <c r="J1" s="83"/>
      <c r="K1" s="83"/>
      <c r="L1" s="83"/>
      <c r="M1" s="83"/>
      <c r="N1" s="83"/>
    </row>
    <row r="2" spans="1:48" ht="12.75" customHeight="1" x14ac:dyDescent="0.2">
      <c r="B2" s="5" t="s">
        <v>99</v>
      </c>
      <c r="C2" s="108"/>
      <c r="D2" s="83"/>
      <c r="E2" s="84" t="s">
        <v>86</v>
      </c>
      <c r="G2" s="83"/>
      <c r="H2" s="201"/>
      <c r="J2" s="83"/>
      <c r="K2" s="83"/>
      <c r="L2" s="83"/>
      <c r="M2" s="83"/>
      <c r="N2" s="83"/>
    </row>
    <row r="3" spans="1:48" ht="12.75" customHeight="1" x14ac:dyDescent="0.2">
      <c r="B3" s="64" t="s">
        <v>195</v>
      </c>
      <c r="C3" s="109">
        <v>100000</v>
      </c>
      <c r="D3" s="83"/>
      <c r="E3" s="36" t="s">
        <v>179</v>
      </c>
      <c r="G3" s="83"/>
      <c r="H3" s="201"/>
      <c r="I3" s="123"/>
      <c r="J3" s="83"/>
      <c r="K3" s="83"/>
      <c r="L3" s="83"/>
      <c r="M3" s="83"/>
      <c r="N3" s="83"/>
    </row>
    <row r="4" spans="1:48" ht="12.75" customHeight="1" x14ac:dyDescent="0.2">
      <c r="B4" s="1"/>
      <c r="C4" s="112"/>
      <c r="D4" s="83"/>
      <c r="E4" s="227" t="s">
        <v>180</v>
      </c>
      <c r="G4" s="83"/>
      <c r="H4" s="27"/>
      <c r="I4" s="121"/>
      <c r="J4" s="83"/>
      <c r="K4" s="83"/>
      <c r="L4" s="83"/>
      <c r="M4" s="83"/>
      <c r="N4" s="83"/>
    </row>
    <row r="5" spans="1:48" ht="12.75" customHeight="1" x14ac:dyDescent="0.2">
      <c r="B5" s="5" t="s">
        <v>98</v>
      </c>
      <c r="C5" s="111"/>
      <c r="D5" s="83"/>
      <c r="E5" s="207" t="s">
        <v>321</v>
      </c>
      <c r="I5" s="123"/>
      <c r="K5" s="83"/>
      <c r="L5" s="83"/>
      <c r="M5" s="83"/>
      <c r="N5" s="83"/>
    </row>
    <row r="6" spans="1:48" x14ac:dyDescent="0.2">
      <c r="B6" s="37" t="s">
        <v>159</v>
      </c>
      <c r="C6" s="184">
        <v>106498000</v>
      </c>
      <c r="E6" s="247" t="s">
        <v>260</v>
      </c>
      <c r="G6" s="83"/>
      <c r="H6" s="83"/>
      <c r="I6" s="83"/>
      <c r="J6" s="83"/>
      <c r="K6" s="1"/>
      <c r="M6" s="20"/>
    </row>
    <row r="7" spans="1:48" x14ac:dyDescent="0.2">
      <c r="C7" s="112"/>
      <c r="G7" s="35"/>
      <c r="H7" s="35"/>
      <c r="I7" s="35"/>
      <c r="J7" s="35"/>
      <c r="M7" s="19"/>
    </row>
    <row r="8" spans="1:48" x14ac:dyDescent="0.2">
      <c r="B8" s="5" t="s">
        <v>160</v>
      </c>
      <c r="C8" s="111"/>
      <c r="E8" s="202" t="s">
        <v>201</v>
      </c>
      <c r="F8" s="203"/>
      <c r="G8" s="161"/>
      <c r="H8" s="123"/>
      <c r="I8" s="123"/>
      <c r="J8" s="123"/>
      <c r="M8" s="93"/>
      <c r="N8" s="27"/>
    </row>
    <row r="9" spans="1:48" x14ac:dyDescent="0.2">
      <c r="B9" s="88" t="s">
        <v>161</v>
      </c>
      <c r="C9" s="106">
        <v>0</v>
      </c>
      <c r="E9" s="204" t="s">
        <v>204</v>
      </c>
      <c r="F9" s="109">
        <f>'Cash Flow'!C15</f>
        <v>4</v>
      </c>
      <c r="G9" s="161"/>
      <c r="H9" s="161"/>
      <c r="I9" s="187"/>
      <c r="J9" s="161"/>
      <c r="K9" s="86"/>
      <c r="M9" s="94"/>
      <c r="O9" s="87"/>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row>
    <row r="10" spans="1:48" x14ac:dyDescent="0.2">
      <c r="B10" s="89" t="s">
        <v>184</v>
      </c>
      <c r="C10" s="107">
        <v>0</v>
      </c>
      <c r="E10" s="204" t="s">
        <v>203</v>
      </c>
      <c r="F10" s="110">
        <f>ppa_escalation</f>
        <v>1</v>
      </c>
      <c r="G10" s="123"/>
      <c r="H10" s="123"/>
      <c r="I10" s="157"/>
      <c r="J10" s="123"/>
      <c r="M10" s="93"/>
      <c r="N10" s="27"/>
    </row>
    <row r="11" spans="1:48" x14ac:dyDescent="0.2">
      <c r="B11" s="88" t="s">
        <v>413</v>
      </c>
      <c r="C11" s="106">
        <v>15</v>
      </c>
      <c r="E11" s="204" t="s">
        <v>258</v>
      </c>
      <c r="F11" s="110">
        <f>'Cash Flow'!B154</f>
        <v>4.3231549428436642</v>
      </c>
      <c r="G11" s="123"/>
      <c r="H11" s="123"/>
      <c r="I11" s="157"/>
      <c r="J11" s="123"/>
      <c r="M11" s="93"/>
      <c r="N11" s="27"/>
    </row>
    <row r="12" spans="1:48" x14ac:dyDescent="0.2">
      <c r="B12" s="89" t="s">
        <v>184</v>
      </c>
      <c r="C12" s="107">
        <v>0</v>
      </c>
      <c r="E12" s="204" t="s">
        <v>399</v>
      </c>
      <c r="F12" s="110">
        <f>'Cash Flow'!B150</f>
        <v>4.2716907943478493</v>
      </c>
      <c r="G12" s="123"/>
      <c r="H12" s="123"/>
      <c r="I12" s="157"/>
      <c r="J12" s="123"/>
      <c r="M12" s="93"/>
      <c r="N12" s="27"/>
    </row>
    <row r="13" spans="1:48" x14ac:dyDescent="0.2">
      <c r="B13" s="88" t="s">
        <v>162</v>
      </c>
      <c r="C13" s="106">
        <v>0</v>
      </c>
      <c r="E13" s="204" t="s">
        <v>205</v>
      </c>
      <c r="F13" s="182">
        <f>'Cash Flow'!B141</f>
        <v>1025641.6707840934</v>
      </c>
      <c r="G13" s="123"/>
      <c r="H13" s="123"/>
      <c r="I13" s="157"/>
      <c r="J13" s="123"/>
      <c r="M13" s="93"/>
      <c r="N13" s="27"/>
    </row>
    <row r="14" spans="1:48" x14ac:dyDescent="0.2">
      <c r="B14" s="38" t="s">
        <v>184</v>
      </c>
      <c r="C14" s="114">
        <v>0</v>
      </c>
      <c r="E14" s="204" t="s">
        <v>242</v>
      </c>
      <c r="F14" s="110">
        <f>HLOOKUP(IF(PPAPriceInput="Calculated",flip_target_year,F15),'Cash Flow'!B2:AP137,136)</f>
        <v>7.2572999999999999</v>
      </c>
      <c r="G14" s="123"/>
      <c r="H14" s="123"/>
      <c r="I14" s="157"/>
      <c r="J14" s="123"/>
      <c r="M14" s="93"/>
      <c r="N14" s="27"/>
    </row>
    <row r="15" spans="1:48" ht="15" x14ac:dyDescent="0.25">
      <c r="B15" s="291"/>
      <c r="C15" s="292"/>
      <c r="D15" s="289"/>
      <c r="E15" s="204" t="s">
        <v>202</v>
      </c>
      <c r="F15" s="182">
        <f>'Cash Flow'!B139</f>
        <v>20</v>
      </c>
      <c r="G15" s="123"/>
      <c r="H15" s="123"/>
      <c r="I15" s="157"/>
      <c r="J15" s="123"/>
      <c r="M15" s="93"/>
      <c r="N15" s="27"/>
    </row>
    <row r="16" spans="1:48" ht="15" x14ac:dyDescent="0.25">
      <c r="B16" s="291"/>
      <c r="C16" s="292"/>
      <c r="D16" s="289"/>
      <c r="E16" s="204" t="s">
        <v>240</v>
      </c>
      <c r="F16" s="110">
        <f>HLOOKUP(analysis_period,'Cash Flow'!B2:AP137,136)</f>
        <v>9.5747</v>
      </c>
      <c r="G16" s="123"/>
      <c r="H16" s="123"/>
      <c r="I16" s="157"/>
      <c r="J16" s="123"/>
      <c r="M16" s="93"/>
      <c r="N16" s="27"/>
    </row>
    <row r="17" spans="2:14" ht="15" x14ac:dyDescent="0.25">
      <c r="B17" s="291"/>
      <c r="C17" s="292"/>
      <c r="D17" s="289"/>
      <c r="E17" s="204" t="s">
        <v>279</v>
      </c>
      <c r="F17" s="182">
        <f>-'Cash Flow'!B102</f>
        <v>113663147.5</v>
      </c>
      <c r="G17" s="123"/>
      <c r="H17" s="123"/>
      <c r="I17" s="157"/>
      <c r="J17" s="123"/>
      <c r="M17" s="93"/>
      <c r="N17" s="27"/>
    </row>
    <row r="18" spans="2:14" ht="15" x14ac:dyDescent="0.25">
      <c r="B18" s="5" t="s">
        <v>373</v>
      </c>
      <c r="C18" s="111"/>
      <c r="D18" s="289"/>
      <c r="E18" s="204" t="s">
        <v>206</v>
      </c>
      <c r="F18" s="182">
        <f>F17-F19</f>
        <v>53756985.2015149</v>
      </c>
      <c r="G18" s="123"/>
      <c r="H18" s="123"/>
      <c r="I18" s="157"/>
      <c r="J18" s="123"/>
      <c r="M18" s="93"/>
      <c r="N18" s="27"/>
    </row>
    <row r="19" spans="2:14" ht="15" x14ac:dyDescent="0.25">
      <c r="B19" s="88" t="s">
        <v>375</v>
      </c>
      <c r="C19" s="106">
        <v>650.27800000000002</v>
      </c>
      <c r="D19" s="289"/>
      <c r="E19" s="204" t="s">
        <v>280</v>
      </c>
      <c r="F19" s="182">
        <f>'Cash Flow'!B590</f>
        <v>59906162.2984851</v>
      </c>
      <c r="G19" s="123"/>
      <c r="H19" s="123"/>
      <c r="I19" s="157"/>
      <c r="J19" s="123"/>
      <c r="M19" s="93"/>
      <c r="N19" s="27"/>
    </row>
    <row r="20" spans="2:14" ht="15" x14ac:dyDescent="0.25">
      <c r="B20" s="88" t="s">
        <v>374</v>
      </c>
      <c r="C20" s="106">
        <v>0</v>
      </c>
      <c r="D20" s="289"/>
      <c r="E20" s="37" t="s">
        <v>412</v>
      </c>
      <c r="F20" s="110">
        <f>'Cash Flow'!B610</f>
        <v>1.3</v>
      </c>
      <c r="G20" s="123"/>
      <c r="H20" s="123"/>
      <c r="I20" s="157"/>
      <c r="J20" s="123"/>
      <c r="M20" s="93"/>
      <c r="N20" s="27"/>
    </row>
    <row r="21" spans="2:14" ht="15" x14ac:dyDescent="0.25">
      <c r="B21" s="88" t="s">
        <v>376</v>
      </c>
      <c r="C21" s="106">
        <v>0</v>
      </c>
      <c r="D21" s="289"/>
      <c r="E21" s="204" t="s">
        <v>402</v>
      </c>
      <c r="F21" s="304">
        <f>F19/F17*100</f>
        <v>52.705000359492161</v>
      </c>
      <c r="G21" s="123"/>
      <c r="H21" s="123"/>
      <c r="I21" s="157"/>
      <c r="J21" s="123"/>
      <c r="M21" s="93"/>
      <c r="N21" s="27"/>
    </row>
    <row r="22" spans="2:14" x14ac:dyDescent="0.2">
      <c r="G22" s="123"/>
      <c r="H22" s="123"/>
      <c r="I22" s="157"/>
      <c r="J22" s="123"/>
      <c r="M22" s="93"/>
      <c r="N22" s="27"/>
    </row>
    <row r="23" spans="2:14" x14ac:dyDescent="0.2">
      <c r="B23" s="224" t="s">
        <v>406</v>
      </c>
      <c r="C23" s="225"/>
      <c r="G23" s="123"/>
      <c r="H23" s="123"/>
      <c r="I23" s="157"/>
      <c r="J23" s="123"/>
      <c r="M23" s="93"/>
      <c r="N23" s="27"/>
    </row>
    <row r="24" spans="2:14" x14ac:dyDescent="0.2">
      <c r="B24" s="38" t="s">
        <v>228</v>
      </c>
      <c r="C24" s="109">
        <v>0</v>
      </c>
      <c r="G24" s="123"/>
      <c r="H24" s="123"/>
      <c r="I24" s="157"/>
      <c r="J24" s="123"/>
      <c r="M24" s="93"/>
      <c r="N24" s="27"/>
    </row>
    <row r="25" spans="2:14" x14ac:dyDescent="0.2">
      <c r="B25" s="38" t="s">
        <v>253</v>
      </c>
      <c r="C25" s="110">
        <v>0</v>
      </c>
      <c r="G25" s="123"/>
      <c r="H25" s="123"/>
      <c r="I25" s="157"/>
      <c r="J25" s="123"/>
      <c r="M25" s="93"/>
      <c r="N25" s="27"/>
    </row>
    <row r="26" spans="2:14" x14ac:dyDescent="0.2">
      <c r="B26" s="89" t="s">
        <v>229</v>
      </c>
      <c r="C26" s="106">
        <v>0</v>
      </c>
      <c r="G26" s="188"/>
      <c r="H26" s="188"/>
      <c r="I26" s="189"/>
      <c r="J26" s="188"/>
      <c r="M26" s="93"/>
      <c r="N26" s="27"/>
    </row>
    <row r="27" spans="2:14" x14ac:dyDescent="0.2">
      <c r="B27" s="38" t="s">
        <v>230</v>
      </c>
      <c r="C27" s="119">
        <v>0</v>
      </c>
      <c r="G27" s="123"/>
      <c r="H27" s="123"/>
      <c r="I27" s="157"/>
      <c r="J27" s="123"/>
      <c r="M27" s="93"/>
      <c r="N27" s="27"/>
    </row>
    <row r="28" spans="2:14" x14ac:dyDescent="0.2">
      <c r="B28" s="90"/>
      <c r="C28" s="113"/>
      <c r="G28" s="123"/>
      <c r="H28" s="123"/>
      <c r="I28" s="157"/>
      <c r="J28" s="123"/>
      <c r="M28" s="93"/>
    </row>
    <row r="29" spans="2:14" x14ac:dyDescent="0.2">
      <c r="B29" s="224" t="s">
        <v>329</v>
      </c>
      <c r="C29" s="225"/>
      <c r="G29" s="123"/>
      <c r="H29" s="123"/>
      <c r="I29" s="157"/>
      <c r="J29" s="123"/>
      <c r="M29" s="93"/>
      <c r="N29" s="92"/>
    </row>
    <row r="30" spans="2:14" x14ac:dyDescent="0.2">
      <c r="B30" s="283" t="s">
        <v>101</v>
      </c>
      <c r="C30" s="247" t="s">
        <v>401</v>
      </c>
      <c r="G30" s="123"/>
      <c r="H30" s="123"/>
      <c r="I30" s="157"/>
      <c r="J30" s="123"/>
      <c r="M30" s="93"/>
      <c r="N30" s="1"/>
    </row>
    <row r="31" spans="2:14" x14ac:dyDescent="0.2">
      <c r="B31" s="38" t="s">
        <v>102</v>
      </c>
      <c r="C31" s="284">
        <v>20</v>
      </c>
      <c r="G31" s="123"/>
      <c r="H31" s="123"/>
      <c r="I31" s="157"/>
      <c r="J31" s="123"/>
      <c r="M31" s="93"/>
      <c r="N31" s="1"/>
    </row>
    <row r="32" spans="2:14" x14ac:dyDescent="0.2">
      <c r="B32" s="283" t="s">
        <v>241</v>
      </c>
      <c r="C32" s="305">
        <v>0.04</v>
      </c>
      <c r="G32" s="123"/>
      <c r="H32" s="123"/>
      <c r="I32" s="157"/>
      <c r="J32" s="123"/>
      <c r="M32" s="93"/>
      <c r="N32" s="1"/>
    </row>
    <row r="33" spans="2:14" x14ac:dyDescent="0.2">
      <c r="B33" s="38" t="s">
        <v>108</v>
      </c>
      <c r="C33" s="109">
        <v>1</v>
      </c>
      <c r="G33" s="123"/>
      <c r="H33" s="123"/>
      <c r="I33" s="157"/>
      <c r="J33" s="123"/>
      <c r="M33" s="93"/>
      <c r="N33" s="1"/>
    </row>
    <row r="34" spans="2:14" x14ac:dyDescent="0.2">
      <c r="B34" s="283" t="s">
        <v>328</v>
      </c>
      <c r="C34" s="285" t="s">
        <v>18</v>
      </c>
      <c r="G34" s="123"/>
      <c r="H34" s="123"/>
      <c r="I34" s="157"/>
      <c r="J34" s="123"/>
      <c r="M34" s="93"/>
      <c r="N34" s="1"/>
    </row>
    <row r="35" spans="2:14" x14ac:dyDescent="0.2">
      <c r="B35" s="90"/>
      <c r="C35" s="18"/>
      <c r="G35" s="123"/>
      <c r="H35" s="123"/>
      <c r="I35" s="157"/>
      <c r="J35" s="123"/>
      <c r="M35" s="93"/>
      <c r="N35" s="1"/>
    </row>
    <row r="36" spans="2:14" x14ac:dyDescent="0.2">
      <c r="B36" s="224" t="s">
        <v>100</v>
      </c>
      <c r="C36" s="225"/>
      <c r="G36" s="123"/>
      <c r="H36" s="123"/>
      <c r="I36" s="157"/>
      <c r="J36" s="123"/>
      <c r="M36" s="93"/>
      <c r="N36" s="1"/>
    </row>
    <row r="37" spans="2:14" x14ac:dyDescent="0.2">
      <c r="B37" s="231" t="s">
        <v>103</v>
      </c>
      <c r="C37" s="232"/>
      <c r="G37" s="123"/>
      <c r="H37" s="123"/>
      <c r="I37" s="157"/>
      <c r="J37" s="123"/>
      <c r="M37" s="93"/>
      <c r="N37" s="1"/>
    </row>
    <row r="38" spans="2:14" x14ac:dyDescent="0.2">
      <c r="B38" s="38" t="s">
        <v>109</v>
      </c>
      <c r="C38" s="184">
        <v>25</v>
      </c>
      <c r="G38" s="123"/>
      <c r="H38" s="123"/>
      <c r="I38" s="157"/>
      <c r="J38" s="123"/>
      <c r="M38" s="93"/>
      <c r="N38" s="1"/>
    </row>
    <row r="39" spans="2:14" x14ac:dyDescent="0.2">
      <c r="B39" s="38" t="s">
        <v>110</v>
      </c>
      <c r="C39" s="114">
        <v>2.5</v>
      </c>
      <c r="G39" s="123"/>
      <c r="H39" s="123"/>
      <c r="I39" s="157"/>
      <c r="J39" s="123"/>
      <c r="K39" s="12"/>
      <c r="M39" s="93"/>
      <c r="N39" s="1"/>
    </row>
    <row r="40" spans="2:14" x14ac:dyDescent="0.2">
      <c r="B40" s="38" t="s">
        <v>112</v>
      </c>
      <c r="C40" s="117">
        <v>6.4</v>
      </c>
      <c r="G40" s="190"/>
      <c r="H40" s="123"/>
      <c r="I40" s="157"/>
      <c r="J40" s="123"/>
      <c r="K40" s="32"/>
      <c r="M40" s="93"/>
      <c r="N40" s="1"/>
    </row>
    <row r="41" spans="2:14" x14ac:dyDescent="0.2">
      <c r="B41" s="38" t="s">
        <v>111</v>
      </c>
      <c r="C41" s="118">
        <f>((inflation_rate/100+1)*(real_discount_rate/100+1)-1)*100</f>
        <v>9.0600000000000023</v>
      </c>
      <c r="G41" s="123"/>
      <c r="H41" s="123"/>
      <c r="I41" s="157"/>
      <c r="J41" s="123"/>
      <c r="K41" s="32"/>
      <c r="M41" s="93"/>
      <c r="N41" s="1"/>
    </row>
    <row r="42" spans="2:14" x14ac:dyDescent="0.2">
      <c r="B42" s="29" t="s">
        <v>104</v>
      </c>
      <c r="C42" s="116"/>
      <c r="G42" s="123"/>
      <c r="H42" s="123"/>
      <c r="I42" s="157"/>
      <c r="J42" s="123"/>
      <c r="M42" s="93"/>
      <c r="N42" s="1"/>
    </row>
    <row r="43" spans="2:14" x14ac:dyDescent="0.2">
      <c r="B43" s="38" t="s">
        <v>332</v>
      </c>
      <c r="C43" s="282">
        <v>21</v>
      </c>
      <c r="E43" s="200"/>
      <c r="F43" s="157"/>
      <c r="G43" s="123"/>
      <c r="H43" s="123"/>
      <c r="I43" s="157"/>
      <c r="J43" s="123"/>
      <c r="K43" s="12"/>
      <c r="M43" s="93"/>
      <c r="N43" s="1"/>
    </row>
    <row r="44" spans="2:14" x14ac:dyDescent="0.2">
      <c r="B44" s="38" t="s">
        <v>333</v>
      </c>
      <c r="C44" s="282">
        <v>7</v>
      </c>
      <c r="E44" s="200"/>
      <c r="F44" s="157"/>
      <c r="G44" s="123"/>
      <c r="H44" s="123"/>
      <c r="I44" s="157"/>
      <c r="J44" s="123"/>
      <c r="K44" s="32"/>
      <c r="M44" s="93"/>
      <c r="N44" s="1"/>
    </row>
    <row r="45" spans="2:14" x14ac:dyDescent="0.2">
      <c r="B45" s="38" t="s">
        <v>158</v>
      </c>
      <c r="C45" s="119">
        <v>5</v>
      </c>
      <c r="E45" s="200"/>
      <c r="F45" s="157"/>
      <c r="G45" s="123"/>
      <c r="H45" s="123"/>
      <c r="I45" s="157"/>
      <c r="J45" s="123"/>
      <c r="K45" s="32"/>
      <c r="M45" s="93"/>
      <c r="N45" s="1"/>
    </row>
    <row r="46" spans="2:14" x14ac:dyDescent="0.2">
      <c r="B46" s="38" t="s">
        <v>107</v>
      </c>
      <c r="C46" s="119">
        <v>0</v>
      </c>
      <c r="E46" s="186"/>
      <c r="F46" s="157"/>
      <c r="G46" s="123"/>
      <c r="H46" s="123"/>
      <c r="I46" s="157"/>
      <c r="J46" s="123"/>
      <c r="M46" s="93"/>
      <c r="N46" s="1"/>
    </row>
    <row r="47" spans="2:14" x14ac:dyDescent="0.2">
      <c r="B47" s="40" t="s">
        <v>0</v>
      </c>
      <c r="C47" s="115"/>
      <c r="E47" s="186"/>
      <c r="F47" s="157"/>
      <c r="G47" s="123"/>
      <c r="H47" s="123"/>
      <c r="I47" s="157"/>
      <c r="J47" s="123"/>
      <c r="K47" s="12"/>
      <c r="M47" s="93"/>
      <c r="N47" s="1"/>
    </row>
    <row r="48" spans="2:14" x14ac:dyDescent="0.2">
      <c r="B48" s="39" t="s">
        <v>113</v>
      </c>
      <c r="C48" s="120">
        <v>100</v>
      </c>
      <c r="E48" s="186"/>
      <c r="F48" s="157"/>
      <c r="G48" s="123"/>
      <c r="H48" s="123"/>
      <c r="I48" s="157"/>
      <c r="J48" s="123"/>
      <c r="K48" s="32"/>
      <c r="M48" s="93"/>
      <c r="N48" s="1"/>
    </row>
    <row r="49" spans="2:14" x14ac:dyDescent="0.2">
      <c r="B49" s="39" t="s">
        <v>115</v>
      </c>
      <c r="C49" s="252">
        <f>total_installed_cost*prop_tax_cost_assessed_percent/100</f>
        <v>106498000</v>
      </c>
      <c r="E49" s="186"/>
      <c r="F49" s="157"/>
      <c r="G49" s="123"/>
      <c r="H49" s="123"/>
      <c r="I49" s="157"/>
      <c r="J49" s="123"/>
      <c r="M49" s="93"/>
      <c r="N49" s="1"/>
    </row>
    <row r="50" spans="2:14" x14ac:dyDescent="0.2">
      <c r="B50" s="39" t="s">
        <v>114</v>
      </c>
      <c r="C50" s="119">
        <v>0</v>
      </c>
      <c r="E50" s="186"/>
      <c r="F50" s="157"/>
      <c r="G50" s="123"/>
      <c r="H50" s="123"/>
      <c r="I50" s="157"/>
      <c r="J50" s="123"/>
      <c r="K50" s="1"/>
      <c r="M50" s="93"/>
      <c r="N50" s="1"/>
    </row>
    <row r="51" spans="2:14" x14ac:dyDescent="0.2">
      <c r="B51" s="39" t="s">
        <v>116</v>
      </c>
      <c r="C51" s="119">
        <v>0</v>
      </c>
      <c r="E51" s="186"/>
      <c r="F51" s="157"/>
      <c r="G51" s="123"/>
      <c r="H51" s="123"/>
      <c r="I51" s="157"/>
      <c r="J51" s="123"/>
      <c r="M51" s="93"/>
      <c r="N51" s="1"/>
    </row>
    <row r="52" spans="2:14" x14ac:dyDescent="0.2">
      <c r="B52" s="29" t="s">
        <v>50</v>
      </c>
      <c r="C52" s="115"/>
      <c r="E52" s="186"/>
      <c r="F52" s="157"/>
      <c r="G52" s="123"/>
      <c r="H52" s="123"/>
      <c r="I52" s="157"/>
      <c r="J52" s="123"/>
      <c r="M52" s="93"/>
      <c r="N52" s="1"/>
    </row>
    <row r="53" spans="2:14" x14ac:dyDescent="0.2">
      <c r="B53" s="37" t="s">
        <v>182</v>
      </c>
      <c r="C53" s="114">
        <v>0</v>
      </c>
      <c r="E53" s="186"/>
      <c r="F53" s="157"/>
      <c r="G53" s="123"/>
      <c r="H53" s="123"/>
      <c r="I53" s="157"/>
      <c r="J53" s="123"/>
      <c r="M53" s="93"/>
      <c r="N53" s="1"/>
    </row>
    <row r="54" spans="2:14" x14ac:dyDescent="0.2">
      <c r="B54" s="37" t="s">
        <v>181</v>
      </c>
      <c r="C54" s="252">
        <f>total_installed_cost*salvage_percentage/100</f>
        <v>0</v>
      </c>
      <c r="G54" s="123"/>
      <c r="H54" s="123"/>
      <c r="I54" s="157"/>
      <c r="J54" s="123"/>
      <c r="M54" s="93"/>
      <c r="N54" s="1"/>
    </row>
    <row r="55" spans="2:14" x14ac:dyDescent="0.2">
      <c r="C55" s="121"/>
      <c r="I55" s="20"/>
      <c r="M55" s="93"/>
      <c r="N55" s="1"/>
    </row>
    <row r="56" spans="2:14" ht="13.5" thickBot="1" x14ac:dyDescent="0.25">
      <c r="B56" s="224" t="s">
        <v>120</v>
      </c>
      <c r="C56" s="225"/>
      <c r="I56" s="20"/>
      <c r="M56" s="93"/>
      <c r="N56" s="1"/>
    </row>
    <row r="57" spans="2:14" x14ac:dyDescent="0.2">
      <c r="B57" s="272" t="s">
        <v>289</v>
      </c>
      <c r="C57" s="273"/>
      <c r="I57" s="20"/>
      <c r="M57" s="93"/>
      <c r="N57" s="1"/>
    </row>
    <row r="58" spans="2:14" x14ac:dyDescent="0.2">
      <c r="B58" s="248" t="s">
        <v>397</v>
      </c>
      <c r="C58" s="249" t="s">
        <v>179</v>
      </c>
      <c r="I58" s="20"/>
      <c r="M58" s="93"/>
      <c r="N58" s="1"/>
    </row>
    <row r="59" spans="2:14" x14ac:dyDescent="0.2">
      <c r="B59" s="248" t="s">
        <v>400</v>
      </c>
      <c r="C59" s="249" t="s">
        <v>401</v>
      </c>
      <c r="I59" s="20"/>
      <c r="M59" s="93"/>
      <c r="N59" s="1"/>
    </row>
    <row r="60" spans="2:14" x14ac:dyDescent="0.2">
      <c r="B60" s="248" t="s">
        <v>394</v>
      </c>
      <c r="C60" s="249">
        <v>1.3</v>
      </c>
      <c r="I60" s="20"/>
      <c r="M60" s="93"/>
      <c r="N60" s="1"/>
    </row>
    <row r="61" spans="2:14" x14ac:dyDescent="0.2">
      <c r="B61" s="301" t="s">
        <v>395</v>
      </c>
      <c r="C61" s="249" t="s">
        <v>18</v>
      </c>
      <c r="I61" s="20"/>
      <c r="M61" s="93"/>
      <c r="N61" s="1"/>
    </row>
    <row r="62" spans="2:14" x14ac:dyDescent="0.2">
      <c r="B62" s="301" t="s">
        <v>398</v>
      </c>
      <c r="C62" s="302">
        <v>100</v>
      </c>
      <c r="I62" s="20"/>
      <c r="M62" s="93"/>
      <c r="N62" s="1"/>
    </row>
    <row r="63" spans="2:14" ht="13.5" thickBot="1" x14ac:dyDescent="0.25">
      <c r="B63" s="250" t="s">
        <v>393</v>
      </c>
      <c r="C63" s="251" t="s">
        <v>291</v>
      </c>
      <c r="I63" s="20"/>
      <c r="M63" s="93"/>
      <c r="N63" s="1"/>
    </row>
    <row r="64" spans="2:14" x14ac:dyDescent="0.2">
      <c r="B64" s="231" t="s">
        <v>259</v>
      </c>
      <c r="C64" s="226"/>
      <c r="E64" s="121"/>
      <c r="I64" s="20"/>
      <c r="M64" s="93"/>
      <c r="N64" s="1"/>
    </row>
    <row r="65" spans="2:14" x14ac:dyDescent="0.2">
      <c r="B65" s="38" t="s">
        <v>121</v>
      </c>
      <c r="C65" s="184">
        <v>18</v>
      </c>
      <c r="D65" s="85"/>
      <c r="E65" s="121"/>
      <c r="I65" s="20"/>
      <c r="M65" s="93"/>
      <c r="N65" s="1"/>
    </row>
    <row r="66" spans="2:14" x14ac:dyDescent="0.2">
      <c r="B66" s="38" t="s">
        <v>290</v>
      </c>
      <c r="C66" s="184">
        <v>0</v>
      </c>
      <c r="D66" s="85"/>
      <c r="E66" s="121"/>
      <c r="I66" s="20"/>
      <c r="M66" s="93"/>
      <c r="N66" s="1"/>
    </row>
    <row r="67" spans="2:14" x14ac:dyDescent="0.2">
      <c r="B67" s="38" t="s">
        <v>122</v>
      </c>
      <c r="C67" s="119">
        <v>4</v>
      </c>
      <c r="D67" s="85"/>
      <c r="E67" s="121"/>
      <c r="I67" s="20"/>
      <c r="M67" s="93"/>
      <c r="N67" s="1"/>
    </row>
    <row r="68" spans="2:14" x14ac:dyDescent="0.2">
      <c r="B68" s="38" t="s">
        <v>123</v>
      </c>
      <c r="C68" s="109">
        <v>450000</v>
      </c>
      <c r="D68" s="85"/>
      <c r="E68" s="161"/>
      <c r="I68" s="20"/>
      <c r="M68" s="93"/>
      <c r="N68" s="1"/>
    </row>
    <row r="69" spans="2:14" x14ac:dyDescent="0.2">
      <c r="B69" s="38" t="s">
        <v>124</v>
      </c>
      <c r="C69" s="119">
        <v>2.75</v>
      </c>
      <c r="D69" s="85"/>
      <c r="E69" s="161"/>
      <c r="I69" s="20"/>
      <c r="M69" s="93"/>
      <c r="N69" s="1"/>
    </row>
    <row r="70" spans="2:14" x14ac:dyDescent="0.2">
      <c r="B70" s="38" t="s">
        <v>264</v>
      </c>
      <c r="C70" s="207">
        <v>1647420</v>
      </c>
      <c r="D70" s="27"/>
      <c r="I70" s="20"/>
      <c r="M70" s="93"/>
      <c r="N70" s="1"/>
    </row>
    <row r="71" spans="2:14" x14ac:dyDescent="0.2">
      <c r="C71" s="102"/>
      <c r="I71" s="20"/>
      <c r="M71" s="93"/>
      <c r="N71" s="1"/>
    </row>
    <row r="72" spans="2:14" x14ac:dyDescent="0.2">
      <c r="B72" s="5" t="s">
        <v>125</v>
      </c>
      <c r="C72" s="103"/>
      <c r="I72" s="20"/>
      <c r="M72" s="93"/>
      <c r="N72" s="1"/>
    </row>
    <row r="73" spans="2:14" x14ac:dyDescent="0.2">
      <c r="B73" s="37" t="s">
        <v>126</v>
      </c>
      <c r="C73" s="104">
        <v>0</v>
      </c>
      <c r="I73" s="20"/>
      <c r="M73" s="93"/>
      <c r="N73" s="1"/>
    </row>
    <row r="74" spans="2:14" x14ac:dyDescent="0.2">
      <c r="C74" s="102"/>
      <c r="I74" s="20"/>
      <c r="M74" s="93"/>
      <c r="N74" s="1"/>
    </row>
    <row r="75" spans="2:14" x14ac:dyDescent="0.2">
      <c r="B75" s="5" t="s">
        <v>138</v>
      </c>
      <c r="C75" s="103"/>
      <c r="M75" s="93"/>
      <c r="N75" s="1"/>
    </row>
    <row r="76" spans="2:14" x14ac:dyDescent="0.2">
      <c r="B76" s="37" t="s">
        <v>183</v>
      </c>
      <c r="C76" s="104">
        <v>1996840</v>
      </c>
      <c r="M76" s="93"/>
      <c r="N76" s="1"/>
    </row>
    <row r="77" spans="2:14" x14ac:dyDescent="0.2">
      <c r="C77" s="105"/>
      <c r="M77" s="93"/>
      <c r="N77" s="1"/>
    </row>
    <row r="78" spans="2:14" x14ac:dyDescent="0.2">
      <c r="B78" s="5" t="s">
        <v>222</v>
      </c>
      <c r="C78" s="7"/>
      <c r="D78" s="7"/>
      <c r="E78" s="7"/>
      <c r="F78" s="7"/>
      <c r="G78" s="7"/>
      <c r="H78" s="7"/>
      <c r="I78" s="6"/>
      <c r="M78" s="93"/>
      <c r="N78" s="1"/>
    </row>
    <row r="79" spans="2:14" ht="25.5" x14ac:dyDescent="0.2">
      <c r="B79" s="37"/>
      <c r="C79" s="222" t="s">
        <v>132</v>
      </c>
      <c r="D79" s="221" t="s">
        <v>133</v>
      </c>
      <c r="E79" s="221" t="s">
        <v>134</v>
      </c>
      <c r="F79" s="221" t="s">
        <v>135</v>
      </c>
      <c r="G79" s="221" t="s">
        <v>26</v>
      </c>
      <c r="H79" s="221" t="s">
        <v>27</v>
      </c>
      <c r="I79" s="221" t="s">
        <v>136</v>
      </c>
      <c r="M79" s="93"/>
      <c r="N79" s="1"/>
    </row>
    <row r="80" spans="2:14" x14ac:dyDescent="0.2">
      <c r="B80" s="37" t="s">
        <v>127</v>
      </c>
      <c r="C80" s="191">
        <v>100</v>
      </c>
      <c r="D80" s="193">
        <v>1</v>
      </c>
      <c r="E80" s="160">
        <v>6</v>
      </c>
      <c r="F80" s="196">
        <v>3.5</v>
      </c>
      <c r="G80" s="191">
        <f>C80/100*total_installed_cost</f>
        <v>106498000</v>
      </c>
      <c r="H80" s="191">
        <f>G80*F80/100*E80/12*0.5</f>
        <v>931857.5</v>
      </c>
      <c r="I80" s="191">
        <f>H80+D80/100*G80</f>
        <v>1996837.5</v>
      </c>
      <c r="M80" s="93"/>
      <c r="N80" s="1"/>
    </row>
    <row r="81" spans="2:14" x14ac:dyDescent="0.2">
      <c r="B81" s="37" t="s">
        <v>128</v>
      </c>
      <c r="C81" s="191">
        <v>0</v>
      </c>
      <c r="D81" s="193">
        <v>0</v>
      </c>
      <c r="E81" s="160">
        <v>0</v>
      </c>
      <c r="F81" s="196">
        <v>0</v>
      </c>
      <c r="G81" s="191">
        <f>C81/100*total_installed_cost</f>
        <v>0</v>
      </c>
      <c r="H81" s="191">
        <f>G81*F81/100*E81/12*0.5</f>
        <v>0</v>
      </c>
      <c r="I81" s="191">
        <f t="shared" ref="I81:I84" si="0">H81+D81/100*G81</f>
        <v>0</v>
      </c>
      <c r="M81" s="93"/>
      <c r="N81" s="1"/>
    </row>
    <row r="82" spans="2:14" x14ac:dyDescent="0.2">
      <c r="B82" s="37" t="s">
        <v>129</v>
      </c>
      <c r="C82" s="191">
        <v>0</v>
      </c>
      <c r="D82" s="193">
        <v>0</v>
      </c>
      <c r="E82" s="160">
        <v>0</v>
      </c>
      <c r="F82" s="196">
        <v>0</v>
      </c>
      <c r="G82" s="191">
        <f>C82/100*total_installed_cost</f>
        <v>0</v>
      </c>
      <c r="H82" s="191">
        <f>G82*F82/100*E82/12*0.5</f>
        <v>0</v>
      </c>
      <c r="I82" s="191">
        <f t="shared" si="0"/>
        <v>0</v>
      </c>
      <c r="M82" s="93"/>
      <c r="N82" s="1"/>
    </row>
    <row r="83" spans="2:14" x14ac:dyDescent="0.2">
      <c r="B83" s="37" t="s">
        <v>130</v>
      </c>
      <c r="C83" s="191">
        <v>0</v>
      </c>
      <c r="D83" s="193">
        <v>0</v>
      </c>
      <c r="E83" s="160">
        <v>0</v>
      </c>
      <c r="F83" s="196">
        <v>0</v>
      </c>
      <c r="G83" s="191">
        <f>C83/100*total_installed_cost</f>
        <v>0</v>
      </c>
      <c r="H83" s="191">
        <f>G83*F83/100*E83/12*0.5</f>
        <v>0</v>
      </c>
      <c r="I83" s="191">
        <f t="shared" si="0"/>
        <v>0</v>
      </c>
      <c r="M83" s="93"/>
      <c r="N83" s="1"/>
    </row>
    <row r="84" spans="2:14" x14ac:dyDescent="0.2">
      <c r="B84" s="37" t="s">
        <v>131</v>
      </c>
      <c r="C84" s="192">
        <v>0</v>
      </c>
      <c r="D84" s="194">
        <v>0</v>
      </c>
      <c r="E84" s="195">
        <v>0</v>
      </c>
      <c r="F84" s="197">
        <v>0</v>
      </c>
      <c r="G84" s="191">
        <f>C84/100*total_installed_cost</f>
        <v>0</v>
      </c>
      <c r="H84" s="191">
        <f>G84*F84/100*E84/12*0.5</f>
        <v>0</v>
      </c>
      <c r="I84" s="191">
        <f t="shared" si="0"/>
        <v>0</v>
      </c>
      <c r="M84" s="93"/>
      <c r="N84" s="1"/>
    </row>
    <row r="85" spans="2:14" x14ac:dyDescent="0.2">
      <c r="B85" s="41" t="s">
        <v>137</v>
      </c>
      <c r="C85" s="42"/>
      <c r="D85" s="30"/>
      <c r="E85" s="30"/>
      <c r="F85" s="43"/>
      <c r="G85" s="44">
        <f>SUM(G80:G84)</f>
        <v>106498000</v>
      </c>
      <c r="H85" s="45">
        <f>SUM(H80:H84)</f>
        <v>931857.5</v>
      </c>
      <c r="I85" s="46">
        <f>SUM(I80:I84)</f>
        <v>1996837.5</v>
      </c>
      <c r="M85" s="93"/>
      <c r="N85" s="1"/>
    </row>
    <row r="86" spans="2:14" x14ac:dyDescent="0.2">
      <c r="C86" s="105"/>
      <c r="M86" s="93"/>
      <c r="N86" s="1"/>
    </row>
    <row r="87" spans="2:14" x14ac:dyDescent="0.2">
      <c r="B87" s="5" t="s">
        <v>139</v>
      </c>
      <c r="C87" s="7"/>
      <c r="D87" s="7"/>
      <c r="E87" s="7"/>
      <c r="F87" s="162"/>
      <c r="M87" s="93"/>
      <c r="N87" s="1"/>
    </row>
    <row r="88" spans="2:14" x14ac:dyDescent="0.2">
      <c r="B88" s="37" t="s">
        <v>140</v>
      </c>
      <c r="C88" s="122">
        <v>1.25</v>
      </c>
      <c r="F88" s="162"/>
      <c r="M88" s="93"/>
      <c r="N88" s="1"/>
    </row>
    <row r="89" spans="2:14" x14ac:dyDescent="0.2">
      <c r="B89" s="37" t="s">
        <v>149</v>
      </c>
      <c r="C89" s="122">
        <v>6</v>
      </c>
      <c r="F89" s="162"/>
      <c r="M89" s="93"/>
      <c r="N89" s="1"/>
    </row>
    <row r="90" spans="2:14" x14ac:dyDescent="0.2">
      <c r="B90" s="9" t="s">
        <v>141</v>
      </c>
      <c r="C90" s="122">
        <v>6</v>
      </c>
      <c r="F90" s="162"/>
      <c r="M90" s="93"/>
      <c r="N90" s="1"/>
    </row>
    <row r="91" spans="2:14" x14ac:dyDescent="0.2">
      <c r="B91" s="9" t="s">
        <v>410</v>
      </c>
      <c r="C91" s="122">
        <v>0</v>
      </c>
      <c r="F91" s="162"/>
      <c r="M91" s="93"/>
      <c r="N91" s="1"/>
    </row>
    <row r="92" spans="2:14" x14ac:dyDescent="0.2">
      <c r="B92" s="37" t="s">
        <v>142</v>
      </c>
      <c r="C92" s="100" t="s">
        <v>194</v>
      </c>
      <c r="D92" s="221" t="s">
        <v>146</v>
      </c>
      <c r="E92" s="234" t="s">
        <v>147</v>
      </c>
      <c r="F92" s="162"/>
      <c r="M92" s="93"/>
      <c r="N92" s="1"/>
    </row>
    <row r="93" spans="2:14" x14ac:dyDescent="0.2">
      <c r="B93" s="50" t="s">
        <v>143</v>
      </c>
      <c r="C93" s="122">
        <v>0.1</v>
      </c>
      <c r="D93" s="252">
        <f>C93*system_capacity</f>
        <v>10000</v>
      </c>
      <c r="E93" s="235">
        <v>15</v>
      </c>
      <c r="F93" s="162"/>
      <c r="M93" s="93"/>
      <c r="N93" s="1"/>
    </row>
    <row r="94" spans="2:14" x14ac:dyDescent="0.2">
      <c r="B94" s="38" t="s">
        <v>145</v>
      </c>
      <c r="C94" s="122">
        <v>0</v>
      </c>
      <c r="D94" s="252">
        <f>C94*system_capacity</f>
        <v>0</v>
      </c>
      <c r="E94" s="235">
        <v>15</v>
      </c>
      <c r="F94" s="162"/>
      <c r="M94" s="93"/>
      <c r="N94" s="1"/>
    </row>
    <row r="95" spans="2:14" x14ac:dyDescent="0.2">
      <c r="B95" s="61" t="s">
        <v>144</v>
      </c>
      <c r="C95" s="122">
        <v>0</v>
      </c>
      <c r="D95" s="252">
        <f>C95*system_capacity</f>
        <v>0</v>
      </c>
      <c r="E95" s="235">
        <v>3</v>
      </c>
      <c r="F95" s="162"/>
      <c r="M95" s="93"/>
      <c r="N95" s="1"/>
    </row>
    <row r="96" spans="2:14" x14ac:dyDescent="0.2">
      <c r="B96" s="40" t="s">
        <v>148</v>
      </c>
      <c r="C96" s="31"/>
      <c r="D96" s="198"/>
      <c r="E96" s="198"/>
      <c r="F96" s="162"/>
      <c r="M96" s="93"/>
      <c r="N96" s="1"/>
    </row>
    <row r="97" spans="2:14" x14ac:dyDescent="0.2">
      <c r="B97" s="48" t="s">
        <v>4</v>
      </c>
      <c r="C97" s="233" t="s">
        <v>44</v>
      </c>
      <c r="D97" s="162"/>
      <c r="F97" s="162"/>
      <c r="M97" s="93"/>
      <c r="N97" s="1"/>
    </row>
    <row r="98" spans="2:14" x14ac:dyDescent="0.2">
      <c r="B98" s="48" t="s">
        <v>5</v>
      </c>
      <c r="C98" s="233" t="s">
        <v>44</v>
      </c>
      <c r="D98" s="236"/>
      <c r="E98" s="237"/>
      <c r="F98" s="162"/>
      <c r="M98" s="93"/>
      <c r="N98" s="1"/>
    </row>
    <row r="99" spans="2:14" x14ac:dyDescent="0.2">
      <c r="M99" s="93"/>
      <c r="N99" s="1"/>
    </row>
    <row r="100" spans="2:14" x14ac:dyDescent="0.2">
      <c r="B100" s="5" t="s">
        <v>150</v>
      </c>
      <c r="C100" s="7"/>
      <c r="D100" s="7"/>
      <c r="E100" s="7"/>
      <c r="F100" s="6"/>
      <c r="M100" s="93"/>
      <c r="N100" s="1"/>
    </row>
    <row r="101" spans="2:14" x14ac:dyDescent="0.2">
      <c r="B101" s="29" t="s">
        <v>2</v>
      </c>
      <c r="C101" s="30"/>
      <c r="D101" s="51"/>
      <c r="E101" s="323" t="s">
        <v>252</v>
      </c>
      <c r="F101" s="324"/>
      <c r="M101" s="93"/>
      <c r="N101" s="1"/>
    </row>
    <row r="102" spans="2:14" x14ac:dyDescent="0.2">
      <c r="B102" s="50" t="s">
        <v>152</v>
      </c>
      <c r="C102" s="8" t="s">
        <v>219</v>
      </c>
      <c r="D102" s="60"/>
      <c r="E102" s="221" t="s">
        <v>4</v>
      </c>
      <c r="F102" s="221" t="s">
        <v>5</v>
      </c>
      <c r="M102" s="93"/>
      <c r="N102" s="1"/>
    </row>
    <row r="103" spans="2:14" x14ac:dyDescent="0.2">
      <c r="B103" s="49" t="s">
        <v>153</v>
      </c>
      <c r="C103" s="145">
        <f>SUM(D169:AQ169)</f>
        <v>0</v>
      </c>
      <c r="D103" s="33"/>
      <c r="E103" s="10" t="s">
        <v>17</v>
      </c>
      <c r="F103" s="10" t="s">
        <v>17</v>
      </c>
      <c r="M103" s="93"/>
      <c r="N103" s="1"/>
    </row>
    <row r="104" spans="2:14" x14ac:dyDescent="0.2">
      <c r="B104" s="49" t="s">
        <v>154</v>
      </c>
      <c r="C104" s="145">
        <f>SUM(D170:AQ170)</f>
        <v>0</v>
      </c>
      <c r="D104" s="53"/>
      <c r="E104" s="59" t="s">
        <v>18</v>
      </c>
      <c r="F104" s="56" t="s">
        <v>18</v>
      </c>
      <c r="M104" s="93"/>
      <c r="N104" s="1"/>
    </row>
    <row r="105" spans="2:14" x14ac:dyDescent="0.2">
      <c r="B105" s="48" t="s">
        <v>157</v>
      </c>
      <c r="C105" s="10" t="s">
        <v>7</v>
      </c>
      <c r="D105" s="13" t="s">
        <v>176</v>
      </c>
      <c r="E105" s="57"/>
      <c r="F105" s="55"/>
      <c r="M105" s="93"/>
      <c r="N105" s="1"/>
    </row>
    <row r="106" spans="2:14" x14ac:dyDescent="0.2">
      <c r="B106" s="49" t="s">
        <v>155</v>
      </c>
      <c r="C106" s="100">
        <f>SUM(D171:AQ171)</f>
        <v>30</v>
      </c>
      <c r="D106" s="47">
        <f>SUM(D172:AQ172)</f>
        <v>2.4999999999999998E+39</v>
      </c>
      <c r="E106" s="54" t="s">
        <v>17</v>
      </c>
      <c r="F106" s="54" t="s">
        <v>17</v>
      </c>
      <c r="M106" s="93"/>
      <c r="N106" s="1"/>
    </row>
    <row r="107" spans="2:14" ht="13.5" thickBot="1" x14ac:dyDescent="0.25">
      <c r="B107" s="78" t="s">
        <v>156</v>
      </c>
      <c r="C107" s="271">
        <f>SUM(D173:AQ173)</f>
        <v>0</v>
      </c>
      <c r="D107" s="246">
        <f>SUM(D174:AQ174)</f>
        <v>2.4999999999999998E+39</v>
      </c>
      <c r="E107" s="65" t="s">
        <v>18</v>
      </c>
      <c r="F107" s="65" t="s">
        <v>18</v>
      </c>
      <c r="M107" s="93"/>
      <c r="N107" s="1"/>
    </row>
    <row r="108" spans="2:14" x14ac:dyDescent="0.2">
      <c r="B108" s="79" t="s">
        <v>6</v>
      </c>
      <c r="C108" s="269" t="s">
        <v>9</v>
      </c>
      <c r="D108" s="270" t="s">
        <v>220</v>
      </c>
      <c r="E108" s="13" t="s">
        <v>218</v>
      </c>
      <c r="F108" s="162"/>
      <c r="M108" s="93"/>
      <c r="N108" s="1"/>
    </row>
    <row r="109" spans="2:14" x14ac:dyDescent="0.2">
      <c r="B109" s="48" t="s">
        <v>4</v>
      </c>
      <c r="C109" s="306">
        <v>0</v>
      </c>
      <c r="D109" s="146">
        <v>10</v>
      </c>
      <c r="E109" s="268">
        <v>0</v>
      </c>
      <c r="F109" s="162"/>
      <c r="M109" s="93"/>
      <c r="N109" s="1"/>
    </row>
    <row r="110" spans="2:14" x14ac:dyDescent="0.2">
      <c r="B110" s="48" t="s">
        <v>5</v>
      </c>
      <c r="C110" s="306">
        <v>0</v>
      </c>
      <c r="D110" s="146">
        <v>10</v>
      </c>
      <c r="E110" s="268">
        <v>0</v>
      </c>
      <c r="F110" s="162"/>
      <c r="M110" s="93"/>
      <c r="N110" s="1"/>
    </row>
    <row r="111" spans="2:14" x14ac:dyDescent="0.2">
      <c r="B111" s="22"/>
      <c r="C111" s="11"/>
      <c r="D111" s="12"/>
      <c r="M111" s="93"/>
      <c r="N111" s="1"/>
    </row>
    <row r="112" spans="2:14" x14ac:dyDescent="0.2">
      <c r="B112" s="224" t="s">
        <v>151</v>
      </c>
      <c r="C112" s="240"/>
      <c r="D112" s="240"/>
      <c r="E112" s="240"/>
      <c r="F112" s="240"/>
      <c r="G112" s="240"/>
      <c r="H112" s="241"/>
      <c r="I112" s="35"/>
      <c r="M112" s="93"/>
    </row>
    <row r="113" spans="2:14" x14ac:dyDescent="0.2">
      <c r="B113" s="29" t="s">
        <v>16</v>
      </c>
      <c r="C113" s="30"/>
      <c r="D113" s="30"/>
      <c r="E113" s="70"/>
      <c r="F113" s="70"/>
      <c r="G113" s="70"/>
      <c r="H113" s="55"/>
      <c r="M113" s="93"/>
    </row>
    <row r="114" spans="2:14" x14ac:dyDescent="0.2">
      <c r="B114" s="75" t="s">
        <v>152</v>
      </c>
      <c r="C114" s="8" t="s">
        <v>219</v>
      </c>
      <c r="D114" s="238"/>
      <c r="E114" s="58" t="s">
        <v>244</v>
      </c>
      <c r="F114" s="54" t="s">
        <v>245</v>
      </c>
      <c r="G114" s="54" t="s">
        <v>246</v>
      </c>
      <c r="H114" s="54" t="s">
        <v>247</v>
      </c>
      <c r="K114" s="69"/>
      <c r="M114" s="93"/>
      <c r="N114" s="69"/>
    </row>
    <row r="115" spans="2:14" x14ac:dyDescent="0.2">
      <c r="B115" s="49" t="s">
        <v>153</v>
      </c>
      <c r="C115" s="147">
        <v>0</v>
      </c>
      <c r="D115" s="239"/>
      <c r="E115" s="66" t="s">
        <v>17</v>
      </c>
      <c r="F115" s="66" t="s">
        <v>17</v>
      </c>
      <c r="G115" s="10" t="s">
        <v>18</v>
      </c>
      <c r="H115" s="10" t="s">
        <v>18</v>
      </c>
      <c r="M115" s="93"/>
    </row>
    <row r="116" spans="2:14" x14ac:dyDescent="0.2">
      <c r="B116" s="49" t="s">
        <v>154</v>
      </c>
      <c r="C116" s="147">
        <v>0</v>
      </c>
      <c r="D116" s="239"/>
      <c r="E116" s="66" t="s">
        <v>17</v>
      </c>
      <c r="F116" s="66" t="s">
        <v>17</v>
      </c>
      <c r="G116" s="10" t="s">
        <v>18</v>
      </c>
      <c r="H116" s="10" t="s">
        <v>18</v>
      </c>
      <c r="M116" s="93"/>
    </row>
    <row r="117" spans="2:14" x14ac:dyDescent="0.2">
      <c r="B117" s="49" t="s">
        <v>163</v>
      </c>
      <c r="C117" s="147">
        <v>0</v>
      </c>
      <c r="D117" s="239"/>
      <c r="E117" s="66" t="s">
        <v>17</v>
      </c>
      <c r="F117" s="66" t="s">
        <v>17</v>
      </c>
      <c r="G117" s="66" t="s">
        <v>18</v>
      </c>
      <c r="H117" s="10" t="s">
        <v>18</v>
      </c>
      <c r="M117" s="93"/>
    </row>
    <row r="118" spans="2:14" x14ac:dyDescent="0.2">
      <c r="B118" s="76" t="s">
        <v>164</v>
      </c>
      <c r="C118" s="148">
        <v>0</v>
      </c>
      <c r="D118" s="239"/>
      <c r="E118" s="66" t="s">
        <v>17</v>
      </c>
      <c r="F118" s="66" t="s">
        <v>17</v>
      </c>
      <c r="G118" s="56" t="s">
        <v>18</v>
      </c>
      <c r="H118" s="56" t="s">
        <v>18</v>
      </c>
      <c r="M118" s="93"/>
    </row>
    <row r="119" spans="2:14" x14ac:dyDescent="0.2">
      <c r="B119" s="48" t="s">
        <v>157</v>
      </c>
      <c r="C119" s="67" t="s">
        <v>7</v>
      </c>
      <c r="D119" s="10" t="s">
        <v>176</v>
      </c>
      <c r="E119" s="68"/>
      <c r="F119" s="71"/>
      <c r="G119" s="71"/>
      <c r="H119" s="66"/>
      <c r="I119" s="35"/>
      <c r="K119" s="1"/>
      <c r="M119" s="93"/>
      <c r="N119" s="1"/>
    </row>
    <row r="120" spans="2:14" x14ac:dyDescent="0.2">
      <c r="B120" s="49" t="s">
        <v>155</v>
      </c>
      <c r="C120" s="100">
        <v>0</v>
      </c>
      <c r="D120" s="47">
        <v>9.9999999999999998E+37</v>
      </c>
      <c r="E120" s="66" t="s">
        <v>17</v>
      </c>
      <c r="F120" s="66" t="s">
        <v>17</v>
      </c>
      <c r="G120" s="10" t="s">
        <v>18</v>
      </c>
      <c r="H120" s="66" t="s">
        <v>18</v>
      </c>
      <c r="M120" s="1"/>
    </row>
    <row r="121" spans="2:14" x14ac:dyDescent="0.2">
      <c r="B121" s="49" t="s">
        <v>156</v>
      </c>
      <c r="C121" s="100">
        <v>0</v>
      </c>
      <c r="D121" s="47">
        <v>9.9999999999999998E+37</v>
      </c>
      <c r="E121" s="66" t="s">
        <v>17</v>
      </c>
      <c r="F121" s="66" t="s">
        <v>17</v>
      </c>
      <c r="G121" s="10" t="s">
        <v>18</v>
      </c>
      <c r="H121" s="10" t="s">
        <v>18</v>
      </c>
      <c r="M121" s="1"/>
    </row>
    <row r="122" spans="2:14" x14ac:dyDescent="0.2">
      <c r="B122" s="49" t="s">
        <v>165</v>
      </c>
      <c r="C122" s="100">
        <v>0</v>
      </c>
      <c r="D122" s="47">
        <v>9.9999999999999998E+37</v>
      </c>
      <c r="E122" s="66" t="s">
        <v>17</v>
      </c>
      <c r="F122" s="66" t="s">
        <v>17</v>
      </c>
      <c r="G122" s="10" t="s">
        <v>18</v>
      </c>
      <c r="H122" s="10" t="s">
        <v>18</v>
      </c>
      <c r="M122" s="1"/>
    </row>
    <row r="123" spans="2:14" ht="13.5" thickBot="1" x14ac:dyDescent="0.25">
      <c r="B123" s="78" t="s">
        <v>166</v>
      </c>
      <c r="C123" s="149">
        <v>0</v>
      </c>
      <c r="D123" s="246">
        <v>9.9999999999999998E+37</v>
      </c>
      <c r="E123" s="65" t="s">
        <v>17</v>
      </c>
      <c r="F123" s="245" t="s">
        <v>17</v>
      </c>
      <c r="G123" s="65" t="s">
        <v>18</v>
      </c>
      <c r="H123" s="65" t="s">
        <v>18</v>
      </c>
      <c r="M123" s="1"/>
    </row>
    <row r="124" spans="2:14" x14ac:dyDescent="0.2">
      <c r="B124" s="77" t="s">
        <v>37</v>
      </c>
      <c r="C124" s="74" t="s">
        <v>171</v>
      </c>
      <c r="D124" s="54" t="s">
        <v>176</v>
      </c>
      <c r="E124" s="242"/>
      <c r="F124" s="243"/>
      <c r="G124" s="243"/>
      <c r="H124" s="244"/>
      <c r="K124" s="62"/>
      <c r="L124" s="62"/>
      <c r="M124" s="1"/>
      <c r="N124" s="62"/>
    </row>
    <row r="125" spans="2:14" x14ac:dyDescent="0.2">
      <c r="B125" s="48" t="s">
        <v>167</v>
      </c>
      <c r="C125" s="109">
        <v>0</v>
      </c>
      <c r="D125" s="47">
        <v>9.9999999999999998E+37</v>
      </c>
      <c r="E125" s="66" t="s">
        <v>17</v>
      </c>
      <c r="F125" s="66" t="s">
        <v>17</v>
      </c>
      <c r="G125" s="10" t="s">
        <v>18</v>
      </c>
      <c r="H125" s="68" t="s">
        <v>18</v>
      </c>
      <c r="I125" s="162"/>
      <c r="M125" s="1"/>
    </row>
    <row r="126" spans="2:14" x14ac:dyDescent="0.2">
      <c r="B126" s="48" t="s">
        <v>168</v>
      </c>
      <c r="C126" s="109">
        <v>0</v>
      </c>
      <c r="D126" s="47">
        <v>9.9999999999999998E+37</v>
      </c>
      <c r="E126" s="66" t="s">
        <v>17</v>
      </c>
      <c r="F126" s="66" t="s">
        <v>17</v>
      </c>
      <c r="G126" s="66" t="s">
        <v>18</v>
      </c>
      <c r="H126" s="66" t="s">
        <v>18</v>
      </c>
      <c r="M126" s="1"/>
    </row>
    <row r="127" spans="2:14" x14ac:dyDescent="0.2">
      <c r="B127" s="48" t="s">
        <v>169</v>
      </c>
      <c r="C127" s="109">
        <v>0</v>
      </c>
      <c r="D127" s="47">
        <v>9.9999999999999998E+37</v>
      </c>
      <c r="E127" s="66" t="s">
        <v>17</v>
      </c>
      <c r="F127" s="66" t="s">
        <v>17</v>
      </c>
      <c r="G127" s="10" t="s">
        <v>18</v>
      </c>
      <c r="H127" s="10" t="s">
        <v>18</v>
      </c>
      <c r="M127" s="1"/>
    </row>
    <row r="128" spans="2:14" ht="13.5" thickBot="1" x14ac:dyDescent="0.25">
      <c r="B128" s="81" t="s">
        <v>170</v>
      </c>
      <c r="C128" s="150">
        <v>0</v>
      </c>
      <c r="D128" s="246">
        <v>9.9999999999999998E+37</v>
      </c>
      <c r="E128" s="65" t="s">
        <v>17</v>
      </c>
      <c r="F128" s="245" t="s">
        <v>17</v>
      </c>
      <c r="G128" s="65" t="s">
        <v>18</v>
      </c>
      <c r="H128" s="65" t="s">
        <v>18</v>
      </c>
      <c r="M128" s="1"/>
    </row>
    <row r="129" spans="2:14" x14ac:dyDescent="0.2">
      <c r="B129" s="79" t="s">
        <v>35</v>
      </c>
      <c r="C129" s="74" t="s">
        <v>9</v>
      </c>
      <c r="D129" s="54" t="s">
        <v>220</v>
      </c>
      <c r="E129" s="54" t="s">
        <v>218</v>
      </c>
      <c r="F129" s="54" t="s">
        <v>244</v>
      </c>
      <c r="G129" s="54" t="s">
        <v>245</v>
      </c>
      <c r="H129" s="80" t="s">
        <v>243</v>
      </c>
      <c r="I129" s="1"/>
      <c r="J129" s="1"/>
      <c r="K129" s="1"/>
      <c r="L129" s="62"/>
      <c r="M129" s="1"/>
      <c r="N129" s="1"/>
    </row>
    <row r="130" spans="2:14" x14ac:dyDescent="0.2">
      <c r="B130" s="48" t="s">
        <v>172</v>
      </c>
      <c r="C130" s="109">
        <v>0</v>
      </c>
      <c r="D130" s="151">
        <v>0</v>
      </c>
      <c r="E130" s="100">
        <v>0</v>
      </c>
      <c r="F130" s="66" t="s">
        <v>17</v>
      </c>
      <c r="G130" s="66" t="s">
        <v>17</v>
      </c>
      <c r="H130" s="99" t="s">
        <v>18</v>
      </c>
      <c r="I130" s="1"/>
      <c r="J130" s="1"/>
      <c r="K130" s="1"/>
      <c r="M130" s="1"/>
      <c r="N130" s="1"/>
    </row>
    <row r="131" spans="2:14" x14ac:dyDescent="0.2">
      <c r="B131" s="48" t="s">
        <v>173</v>
      </c>
      <c r="C131" s="109">
        <v>0</v>
      </c>
      <c r="D131" s="151">
        <v>0</v>
      </c>
      <c r="E131" s="100">
        <v>0</v>
      </c>
      <c r="F131" s="10" t="s">
        <v>17</v>
      </c>
      <c r="G131" s="66" t="s">
        <v>17</v>
      </c>
      <c r="H131" s="99" t="s">
        <v>18</v>
      </c>
      <c r="I131" s="1"/>
      <c r="J131" s="1"/>
      <c r="K131" s="1"/>
      <c r="M131" s="1"/>
      <c r="N131" s="1"/>
    </row>
    <row r="132" spans="2:14" x14ac:dyDescent="0.2">
      <c r="B132" s="48" t="s">
        <v>174</v>
      </c>
      <c r="C132" s="109">
        <v>0</v>
      </c>
      <c r="D132" s="151">
        <v>0</v>
      </c>
      <c r="E132" s="100">
        <v>0</v>
      </c>
      <c r="F132" s="66" t="s">
        <v>17</v>
      </c>
      <c r="G132" s="66" t="s">
        <v>17</v>
      </c>
      <c r="H132" s="99" t="s">
        <v>18</v>
      </c>
      <c r="I132" s="1"/>
      <c r="J132" s="1"/>
      <c r="K132" s="1"/>
      <c r="L132" s="1"/>
      <c r="M132" s="1"/>
      <c r="N132" s="1"/>
    </row>
    <row r="133" spans="2:14" x14ac:dyDescent="0.2">
      <c r="B133" s="48" t="s">
        <v>175</v>
      </c>
      <c r="C133" s="109">
        <v>0</v>
      </c>
      <c r="D133" s="151">
        <v>0</v>
      </c>
      <c r="E133" s="100">
        <v>0</v>
      </c>
      <c r="F133" s="66" t="s">
        <v>17</v>
      </c>
      <c r="G133" s="66" t="s">
        <v>17</v>
      </c>
      <c r="H133" s="66" t="s">
        <v>18</v>
      </c>
      <c r="L133" s="1"/>
    </row>
    <row r="134" spans="2:14" x14ac:dyDescent="0.2">
      <c r="B134" s="22"/>
      <c r="C134" s="63"/>
      <c r="D134" s="32"/>
      <c r="E134" s="34"/>
      <c r="F134" s="62"/>
      <c r="G134" s="62"/>
      <c r="H134" s="62"/>
      <c r="L134" s="1"/>
    </row>
    <row r="135" spans="2:14" x14ac:dyDescent="0.2">
      <c r="B135" s="5" t="s">
        <v>178</v>
      </c>
      <c r="C135" s="7"/>
      <c r="D135" s="7"/>
      <c r="E135" s="7"/>
      <c r="F135" s="7"/>
      <c r="G135" s="6"/>
      <c r="H135" s="35"/>
    </row>
    <row r="136" spans="2:14" ht="12.75" customHeight="1" x14ac:dyDescent="0.2">
      <c r="B136" s="37" t="s">
        <v>177</v>
      </c>
      <c r="C136" s="67" t="s">
        <v>221</v>
      </c>
      <c r="D136" s="67" t="s">
        <v>250</v>
      </c>
      <c r="E136" s="67" t="s">
        <v>251</v>
      </c>
      <c r="F136" s="67" t="s">
        <v>248</v>
      </c>
      <c r="G136" s="67" t="s">
        <v>249</v>
      </c>
      <c r="H136" s="35"/>
      <c r="I136" s="72"/>
    </row>
    <row r="137" spans="2:14" x14ac:dyDescent="0.2">
      <c r="B137" s="48" t="s">
        <v>44</v>
      </c>
      <c r="C137" s="100">
        <v>90</v>
      </c>
      <c r="D137" s="66" t="s">
        <v>17</v>
      </c>
      <c r="E137" s="66" t="s">
        <v>17</v>
      </c>
      <c r="F137" s="66" t="s">
        <v>17</v>
      </c>
      <c r="G137" s="66" t="s">
        <v>17</v>
      </c>
      <c r="H137" s="1"/>
    </row>
    <row r="138" spans="2:14" ht="12.75" customHeight="1" x14ac:dyDescent="0.2">
      <c r="B138" s="48" t="s">
        <v>45</v>
      </c>
      <c r="C138" s="100">
        <v>1.5</v>
      </c>
      <c r="D138" s="66" t="s">
        <v>17</v>
      </c>
      <c r="E138" s="10" t="s">
        <v>17</v>
      </c>
      <c r="F138" s="10" t="s">
        <v>18</v>
      </c>
      <c r="G138" s="10" t="s">
        <v>18</v>
      </c>
      <c r="H138" s="1"/>
    </row>
    <row r="139" spans="2:14" x14ac:dyDescent="0.2">
      <c r="B139" s="48" t="s">
        <v>46</v>
      </c>
      <c r="C139" s="100">
        <v>0</v>
      </c>
      <c r="D139" s="66" t="s">
        <v>18</v>
      </c>
      <c r="E139" s="10" t="s">
        <v>18</v>
      </c>
      <c r="F139" s="10" t="s">
        <v>18</v>
      </c>
      <c r="G139" s="10" t="s">
        <v>18</v>
      </c>
      <c r="H139" s="1"/>
    </row>
    <row r="140" spans="2:14" x14ac:dyDescent="0.2">
      <c r="B140" s="48" t="s">
        <v>47</v>
      </c>
      <c r="C140" s="100">
        <v>2.5</v>
      </c>
      <c r="D140" s="10" t="s">
        <v>18</v>
      </c>
      <c r="E140" s="10" t="s">
        <v>18</v>
      </c>
      <c r="F140" s="10" t="s">
        <v>18</v>
      </c>
      <c r="G140" s="10" t="s">
        <v>18</v>
      </c>
      <c r="H140" s="1"/>
    </row>
    <row r="141" spans="2:14" x14ac:dyDescent="0.2">
      <c r="B141" s="48" t="s">
        <v>48</v>
      </c>
      <c r="C141" s="100">
        <v>3</v>
      </c>
      <c r="D141" s="10" t="s">
        <v>18</v>
      </c>
      <c r="E141" s="10" t="s">
        <v>18</v>
      </c>
      <c r="F141" s="10" t="s">
        <v>18</v>
      </c>
      <c r="G141" s="10" t="s">
        <v>18</v>
      </c>
      <c r="H141" s="1"/>
    </row>
    <row r="142" spans="2:14" x14ac:dyDescent="0.2">
      <c r="B142" s="48" t="s">
        <v>49</v>
      </c>
      <c r="C142" s="100">
        <v>0</v>
      </c>
      <c r="D142" s="56" t="s">
        <v>18</v>
      </c>
      <c r="E142" s="56" t="s">
        <v>18</v>
      </c>
      <c r="F142" s="56" t="s">
        <v>18</v>
      </c>
      <c r="G142" s="56" t="s">
        <v>18</v>
      </c>
      <c r="H142" s="1"/>
    </row>
    <row r="143" spans="2:14" x14ac:dyDescent="0.2">
      <c r="B143" s="48" t="s">
        <v>324</v>
      </c>
      <c r="C143" s="268">
        <v>0</v>
      </c>
      <c r="D143" s="56" t="s">
        <v>18</v>
      </c>
      <c r="E143" s="56" t="s">
        <v>18</v>
      </c>
      <c r="F143" s="10" t="s">
        <v>18</v>
      </c>
      <c r="G143" s="10" t="s">
        <v>18</v>
      </c>
      <c r="H143" s="1"/>
    </row>
    <row r="144" spans="2:14" ht="12" customHeight="1" x14ac:dyDescent="0.2">
      <c r="B144" s="48" t="s">
        <v>196</v>
      </c>
      <c r="C144" s="154">
        <f>100-C145</f>
        <v>3</v>
      </c>
      <c r="D144" s="199">
        <v>0</v>
      </c>
      <c r="E144" s="199">
        <v>0</v>
      </c>
      <c r="F144" s="198"/>
      <c r="G144" s="198"/>
      <c r="H144" s="1"/>
    </row>
    <row r="145" spans="2:43" x14ac:dyDescent="0.2">
      <c r="B145" s="48" t="s">
        <v>13</v>
      </c>
      <c r="C145" s="154">
        <f>SUM(C137:C143)</f>
        <v>97</v>
      </c>
      <c r="D145" s="162"/>
      <c r="G145" s="27"/>
      <c r="H145" s="1"/>
    </row>
    <row r="146" spans="2:43" x14ac:dyDescent="0.2">
      <c r="E146" s="73"/>
    </row>
    <row r="147" spans="2:43" x14ac:dyDescent="0.2">
      <c r="B147" s="5" t="s">
        <v>342</v>
      </c>
      <c r="C147" s="258">
        <v>0</v>
      </c>
      <c r="D147" s="258">
        <f>C147+1</f>
        <v>1</v>
      </c>
      <c r="E147" s="258">
        <f>D147+1</f>
        <v>2</v>
      </c>
      <c r="F147" s="258">
        <f t="shared" ref="F147:AQ147" si="1">E147+1</f>
        <v>3</v>
      </c>
      <c r="G147" s="258">
        <f>F147+1</f>
        <v>4</v>
      </c>
      <c r="H147" s="258">
        <f t="shared" si="1"/>
        <v>5</v>
      </c>
      <c r="I147" s="258">
        <f t="shared" si="1"/>
        <v>6</v>
      </c>
      <c r="J147" s="258">
        <f t="shared" si="1"/>
        <v>7</v>
      </c>
      <c r="K147" s="258">
        <f t="shared" si="1"/>
        <v>8</v>
      </c>
      <c r="L147" s="258">
        <f t="shared" si="1"/>
        <v>9</v>
      </c>
      <c r="M147" s="258">
        <f t="shared" si="1"/>
        <v>10</v>
      </c>
      <c r="N147" s="258">
        <f t="shared" si="1"/>
        <v>11</v>
      </c>
      <c r="O147" s="258">
        <f t="shared" si="1"/>
        <v>12</v>
      </c>
      <c r="P147" s="258">
        <f t="shared" si="1"/>
        <v>13</v>
      </c>
      <c r="Q147" s="258">
        <f t="shared" si="1"/>
        <v>14</v>
      </c>
      <c r="R147" s="258">
        <f t="shared" si="1"/>
        <v>15</v>
      </c>
      <c r="S147" s="258">
        <f t="shared" si="1"/>
        <v>16</v>
      </c>
      <c r="T147" s="258">
        <f t="shared" si="1"/>
        <v>17</v>
      </c>
      <c r="U147" s="258">
        <f t="shared" si="1"/>
        <v>18</v>
      </c>
      <c r="V147" s="258">
        <f t="shared" si="1"/>
        <v>19</v>
      </c>
      <c r="W147" s="258">
        <f t="shared" si="1"/>
        <v>20</v>
      </c>
      <c r="X147" s="258">
        <f t="shared" si="1"/>
        <v>21</v>
      </c>
      <c r="Y147" s="258">
        <f t="shared" si="1"/>
        <v>22</v>
      </c>
      <c r="Z147" s="258">
        <f t="shared" si="1"/>
        <v>23</v>
      </c>
      <c r="AA147" s="258">
        <f t="shared" si="1"/>
        <v>24</v>
      </c>
      <c r="AB147" s="258">
        <f t="shared" si="1"/>
        <v>25</v>
      </c>
      <c r="AC147" s="258">
        <f t="shared" si="1"/>
        <v>26</v>
      </c>
      <c r="AD147" s="258">
        <f t="shared" si="1"/>
        <v>27</v>
      </c>
      <c r="AE147" s="258">
        <f t="shared" si="1"/>
        <v>28</v>
      </c>
      <c r="AF147" s="258">
        <f t="shared" si="1"/>
        <v>29</v>
      </c>
      <c r="AG147" s="258">
        <f t="shared" si="1"/>
        <v>30</v>
      </c>
      <c r="AH147" s="258">
        <f t="shared" si="1"/>
        <v>31</v>
      </c>
      <c r="AI147" s="258">
        <f t="shared" si="1"/>
        <v>32</v>
      </c>
      <c r="AJ147" s="258">
        <f t="shared" si="1"/>
        <v>33</v>
      </c>
      <c r="AK147" s="258">
        <f t="shared" si="1"/>
        <v>34</v>
      </c>
      <c r="AL147" s="258">
        <f t="shared" si="1"/>
        <v>35</v>
      </c>
      <c r="AM147" s="258">
        <f t="shared" si="1"/>
        <v>36</v>
      </c>
      <c r="AN147" s="258">
        <f t="shared" si="1"/>
        <v>37</v>
      </c>
      <c r="AO147" s="258">
        <f t="shared" si="1"/>
        <v>38</v>
      </c>
      <c r="AP147" s="258">
        <f t="shared" si="1"/>
        <v>39</v>
      </c>
      <c r="AQ147" s="258">
        <f t="shared" si="1"/>
        <v>40</v>
      </c>
    </row>
    <row r="148" spans="2:43" x14ac:dyDescent="0.2">
      <c r="B148" s="288" t="s">
        <v>335</v>
      </c>
      <c r="C148" s="294"/>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293"/>
      <c r="Z148" s="293"/>
      <c r="AA148" s="293"/>
      <c r="AB148" s="293"/>
      <c r="AC148" s="293"/>
      <c r="AD148" s="293"/>
      <c r="AE148" s="293"/>
      <c r="AF148" s="293"/>
      <c r="AG148" s="293"/>
      <c r="AH148" s="293"/>
      <c r="AI148" s="293"/>
      <c r="AJ148" s="293"/>
      <c r="AK148" s="293"/>
      <c r="AL148" s="293"/>
      <c r="AM148" s="293"/>
      <c r="AN148" s="293"/>
      <c r="AO148" s="293"/>
      <c r="AP148" s="293"/>
      <c r="AQ148" s="295"/>
    </row>
    <row r="149" spans="2:43" x14ac:dyDescent="0.2">
      <c r="B149" s="286" t="s">
        <v>380</v>
      </c>
      <c r="C149" s="206">
        <v>0</v>
      </c>
      <c r="D149" s="206">
        <v>211907000</v>
      </c>
      <c r="E149" s="206">
        <v>210848000</v>
      </c>
      <c r="F149" s="206">
        <v>209794000</v>
      </c>
      <c r="G149" s="206">
        <v>208745000</v>
      </c>
      <c r="H149" s="206">
        <v>207701000</v>
      </c>
      <c r="I149" s="206">
        <v>206662000</v>
      </c>
      <c r="J149" s="206">
        <v>205629000</v>
      </c>
      <c r="K149" s="206">
        <v>204601000</v>
      </c>
      <c r="L149" s="206">
        <v>203578000</v>
      </c>
      <c r="M149" s="206">
        <v>202560000</v>
      </c>
      <c r="N149" s="206">
        <v>201547000</v>
      </c>
      <c r="O149" s="206">
        <v>200540000</v>
      </c>
      <c r="P149" s="206">
        <v>199537000</v>
      </c>
      <c r="Q149" s="206">
        <v>198539000</v>
      </c>
      <c r="R149" s="206">
        <v>197547000</v>
      </c>
      <c r="S149" s="206">
        <v>196559000</v>
      </c>
      <c r="T149" s="206">
        <v>195576000</v>
      </c>
      <c r="U149" s="206">
        <v>194598000</v>
      </c>
      <c r="V149" s="206">
        <v>193625000</v>
      </c>
      <c r="W149" s="206">
        <v>192657000</v>
      </c>
      <c r="X149" s="206">
        <v>191694000</v>
      </c>
      <c r="Y149" s="206">
        <v>190735000</v>
      </c>
      <c r="Z149" s="206">
        <v>189782000</v>
      </c>
      <c r="AA149" s="206">
        <v>188833000</v>
      </c>
      <c r="AB149" s="206">
        <v>187888000</v>
      </c>
      <c r="AC149" s="206"/>
      <c r="AD149" s="206"/>
      <c r="AE149" s="206"/>
      <c r="AF149" s="206"/>
      <c r="AG149" s="206"/>
      <c r="AH149" s="206"/>
      <c r="AI149" s="206"/>
      <c r="AJ149" s="206"/>
      <c r="AK149" s="206"/>
      <c r="AL149" s="206"/>
      <c r="AM149" s="206"/>
      <c r="AN149" s="206"/>
      <c r="AO149" s="206"/>
      <c r="AP149" s="206"/>
      <c r="AQ149" s="206"/>
    </row>
    <row r="150" spans="2:43" x14ac:dyDescent="0.2">
      <c r="B150" s="286" t="s">
        <v>381</v>
      </c>
      <c r="C150" s="206">
        <v>0</v>
      </c>
      <c r="D150" s="206">
        <v>0</v>
      </c>
      <c r="E150" s="206">
        <v>0</v>
      </c>
      <c r="F150" s="206">
        <v>0</v>
      </c>
      <c r="G150" s="206">
        <v>0</v>
      </c>
      <c r="H150" s="206">
        <v>0</v>
      </c>
      <c r="I150" s="206">
        <v>0</v>
      </c>
      <c r="J150" s="206">
        <v>0</v>
      </c>
      <c r="K150" s="206">
        <v>0</v>
      </c>
      <c r="L150" s="206">
        <v>0</v>
      </c>
      <c r="M150" s="206">
        <v>0</v>
      </c>
      <c r="N150" s="206">
        <v>0</v>
      </c>
      <c r="O150" s="206">
        <v>0</v>
      </c>
      <c r="P150" s="206">
        <v>0</v>
      </c>
      <c r="Q150" s="206">
        <v>0</v>
      </c>
      <c r="R150" s="206">
        <v>0</v>
      </c>
      <c r="S150" s="206">
        <v>0</v>
      </c>
      <c r="T150" s="206">
        <v>0</v>
      </c>
      <c r="U150" s="206">
        <v>0</v>
      </c>
      <c r="V150" s="206">
        <v>0</v>
      </c>
      <c r="W150" s="206">
        <v>0</v>
      </c>
      <c r="X150" s="206">
        <v>0</v>
      </c>
      <c r="Y150" s="206">
        <v>0</v>
      </c>
      <c r="Z150" s="206">
        <v>0</v>
      </c>
      <c r="AA150" s="206">
        <v>0</v>
      </c>
      <c r="AB150" s="206">
        <v>0</v>
      </c>
      <c r="AC150" s="206"/>
      <c r="AD150" s="206"/>
      <c r="AE150" s="206"/>
      <c r="AF150" s="206"/>
      <c r="AG150" s="206"/>
      <c r="AH150" s="206"/>
      <c r="AI150" s="206"/>
      <c r="AJ150" s="206"/>
      <c r="AK150" s="206"/>
      <c r="AL150" s="206"/>
      <c r="AM150" s="206"/>
      <c r="AN150" s="206"/>
      <c r="AO150" s="206"/>
      <c r="AP150" s="206"/>
      <c r="AQ150" s="206"/>
    </row>
    <row r="151" spans="2:43" x14ac:dyDescent="0.2">
      <c r="B151" s="286" t="s">
        <v>383</v>
      </c>
      <c r="C151" s="206">
        <v>0</v>
      </c>
      <c r="D151" s="206">
        <v>211907000</v>
      </c>
      <c r="E151" s="206">
        <v>210848000</v>
      </c>
      <c r="F151" s="206">
        <v>209794000</v>
      </c>
      <c r="G151" s="206">
        <v>208745000</v>
      </c>
      <c r="H151" s="206">
        <v>207701000</v>
      </c>
      <c r="I151" s="206">
        <v>206662000</v>
      </c>
      <c r="J151" s="206">
        <v>205629000</v>
      </c>
      <c r="K151" s="206">
        <v>204601000</v>
      </c>
      <c r="L151" s="206">
        <v>203578000</v>
      </c>
      <c r="M151" s="206">
        <v>202560000</v>
      </c>
      <c r="N151" s="206">
        <v>201547000</v>
      </c>
      <c r="O151" s="206">
        <v>200540000</v>
      </c>
      <c r="P151" s="206">
        <v>199537000</v>
      </c>
      <c r="Q151" s="206">
        <v>198539000</v>
      </c>
      <c r="R151" s="206">
        <v>197547000</v>
      </c>
      <c r="S151" s="206">
        <v>196559000</v>
      </c>
      <c r="T151" s="206">
        <v>195576000</v>
      </c>
      <c r="U151" s="206">
        <v>194598000</v>
      </c>
      <c r="V151" s="206">
        <v>193625000</v>
      </c>
      <c r="W151" s="206">
        <v>192657000</v>
      </c>
      <c r="X151" s="206">
        <v>191694000</v>
      </c>
      <c r="Y151" s="206">
        <v>190735000</v>
      </c>
      <c r="Z151" s="206">
        <v>189782000</v>
      </c>
      <c r="AA151" s="206">
        <v>188833000</v>
      </c>
      <c r="AB151" s="206">
        <v>187888000</v>
      </c>
      <c r="AC151" s="206"/>
      <c r="AD151" s="206"/>
      <c r="AE151" s="206"/>
      <c r="AF151" s="206"/>
      <c r="AG151" s="206"/>
      <c r="AH151" s="206"/>
      <c r="AI151" s="206"/>
      <c r="AJ151" s="206"/>
      <c r="AK151" s="206"/>
      <c r="AL151" s="206"/>
      <c r="AM151" s="206"/>
      <c r="AN151" s="206"/>
      <c r="AO151" s="206"/>
      <c r="AP151" s="206"/>
      <c r="AQ151" s="206"/>
    </row>
    <row r="152" spans="2:43" x14ac:dyDescent="0.2">
      <c r="B152" s="286" t="s">
        <v>382</v>
      </c>
      <c r="C152" s="206"/>
      <c r="D152" s="206"/>
      <c r="E152" s="206"/>
      <c r="F152" s="206"/>
      <c r="G152" s="206"/>
      <c r="H152" s="206"/>
      <c r="I152" s="206"/>
      <c r="J152" s="206"/>
      <c r="K152" s="206"/>
      <c r="L152" s="206"/>
      <c r="M152" s="206"/>
      <c r="N152" s="206"/>
      <c r="O152" s="206"/>
      <c r="P152" s="206"/>
      <c r="Q152" s="206"/>
      <c r="R152" s="206"/>
      <c r="S152" s="206"/>
      <c r="T152" s="206"/>
      <c r="U152" s="206"/>
      <c r="V152" s="206"/>
      <c r="W152" s="206"/>
      <c r="X152" s="206"/>
      <c r="Y152" s="206"/>
      <c r="Z152" s="206"/>
      <c r="AA152" s="206"/>
      <c r="AB152" s="206"/>
      <c r="AC152" s="206"/>
      <c r="AD152" s="206"/>
      <c r="AE152" s="206"/>
      <c r="AF152" s="206"/>
      <c r="AG152" s="206"/>
      <c r="AH152" s="206"/>
      <c r="AI152" s="206"/>
      <c r="AJ152" s="206"/>
      <c r="AK152" s="206"/>
      <c r="AL152" s="206"/>
      <c r="AM152" s="206"/>
      <c r="AN152" s="206"/>
      <c r="AO152" s="206"/>
      <c r="AP152" s="206"/>
      <c r="AQ152" s="206"/>
    </row>
    <row r="153" spans="2:43" x14ac:dyDescent="0.2">
      <c r="B153" s="286" t="s">
        <v>384</v>
      </c>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c r="AA153" s="206"/>
      <c r="AB153" s="206"/>
      <c r="AC153" s="206"/>
      <c r="AD153" s="206"/>
      <c r="AE153" s="206"/>
      <c r="AF153" s="206"/>
      <c r="AG153" s="206"/>
      <c r="AH153" s="206"/>
      <c r="AI153" s="206"/>
      <c r="AJ153" s="206"/>
      <c r="AK153" s="206"/>
      <c r="AL153" s="206"/>
      <c r="AM153" s="206"/>
      <c r="AN153" s="206"/>
      <c r="AO153" s="206"/>
      <c r="AP153" s="206"/>
      <c r="AQ153" s="206"/>
    </row>
    <row r="154" spans="2:43" x14ac:dyDescent="0.2">
      <c r="B154" s="286" t="s">
        <v>385</v>
      </c>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c r="AA154" s="206"/>
      <c r="AB154" s="206"/>
      <c r="AC154" s="206"/>
      <c r="AD154" s="206"/>
      <c r="AE154" s="206"/>
      <c r="AF154" s="206"/>
      <c r="AG154" s="206"/>
      <c r="AH154" s="206"/>
      <c r="AI154" s="206"/>
      <c r="AJ154" s="206"/>
      <c r="AK154" s="206"/>
      <c r="AL154" s="206"/>
      <c r="AM154" s="206"/>
      <c r="AN154" s="206"/>
      <c r="AO154" s="206"/>
      <c r="AP154" s="206"/>
      <c r="AQ154" s="206"/>
    </row>
    <row r="155" spans="2:43" x14ac:dyDescent="0.2">
      <c r="B155" s="296" t="s">
        <v>336</v>
      </c>
      <c r="C155" s="297"/>
      <c r="D155" s="141"/>
      <c r="E155" s="298"/>
      <c r="F155" s="298"/>
      <c r="G155" s="298"/>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9"/>
    </row>
    <row r="156" spans="2:43" x14ac:dyDescent="0.2">
      <c r="B156" s="286" t="s">
        <v>343</v>
      </c>
      <c r="C156" s="208">
        <v>0</v>
      </c>
      <c r="D156" s="206">
        <v>4</v>
      </c>
      <c r="E156" s="208">
        <v>4.04</v>
      </c>
      <c r="F156" s="208">
        <v>4.0804</v>
      </c>
      <c r="G156" s="208">
        <v>4.1212</v>
      </c>
      <c r="H156" s="208">
        <v>4.16242</v>
      </c>
      <c r="I156" s="208">
        <v>4.20404</v>
      </c>
      <c r="J156" s="208">
        <v>4.2460800000000001</v>
      </c>
      <c r="K156" s="208">
        <v>4.2885400000000002</v>
      </c>
      <c r="L156" s="208">
        <v>4.3314300000000001</v>
      </c>
      <c r="M156" s="208">
        <v>4.3747400000000001</v>
      </c>
      <c r="N156" s="208">
        <v>4.4184900000000003</v>
      </c>
      <c r="O156" s="208">
        <v>4.4626700000000001</v>
      </c>
      <c r="P156" s="208">
        <v>4.5072999999999999</v>
      </c>
      <c r="Q156" s="208">
        <v>4.5523699999999998</v>
      </c>
      <c r="R156" s="208">
        <v>4.5979000000000001</v>
      </c>
      <c r="S156" s="208">
        <v>4.6438800000000002</v>
      </c>
      <c r="T156" s="208">
        <v>4.6903100000000002</v>
      </c>
      <c r="U156" s="208">
        <v>4.7372199999999998</v>
      </c>
      <c r="V156" s="208">
        <v>4.7845899999999997</v>
      </c>
      <c r="W156" s="208">
        <v>4.8324400000000001</v>
      </c>
      <c r="X156" s="208">
        <v>4.8807600000000004</v>
      </c>
      <c r="Y156" s="208">
        <v>4.92957</v>
      </c>
      <c r="Z156" s="208">
        <v>4.9788600000000001</v>
      </c>
      <c r="AA156" s="208">
        <v>5.0286499999999998</v>
      </c>
      <c r="AB156" s="208">
        <v>5.0789400000000002</v>
      </c>
      <c r="AC156" s="208"/>
      <c r="AD156" s="208"/>
      <c r="AE156" s="208"/>
      <c r="AF156" s="208"/>
      <c r="AG156" s="208"/>
      <c r="AH156" s="208"/>
      <c r="AI156" s="208"/>
      <c r="AJ156" s="208"/>
      <c r="AK156" s="208"/>
      <c r="AL156" s="208"/>
      <c r="AM156" s="208"/>
      <c r="AN156" s="208"/>
      <c r="AO156" s="208"/>
      <c r="AP156" s="208"/>
      <c r="AQ156" s="208"/>
    </row>
    <row r="157" spans="2:43" ht="13.5" customHeight="1" x14ac:dyDescent="0.2">
      <c r="B157" s="286" t="s">
        <v>337</v>
      </c>
      <c r="C157" s="206">
        <v>0</v>
      </c>
      <c r="D157" s="206">
        <v>8476300</v>
      </c>
      <c r="E157" s="206">
        <v>8518260</v>
      </c>
      <c r="F157" s="206">
        <v>8560420</v>
      </c>
      <c r="G157" s="206">
        <v>8602800</v>
      </c>
      <c r="H157" s="206">
        <v>8645380</v>
      </c>
      <c r="I157" s="206">
        <v>8688170</v>
      </c>
      <c r="J157" s="206">
        <v>8731180</v>
      </c>
      <c r="K157" s="206">
        <v>8774400</v>
      </c>
      <c r="L157" s="206">
        <v>8817830</v>
      </c>
      <c r="M157" s="206">
        <v>8861480</v>
      </c>
      <c r="N157" s="206">
        <v>8905350</v>
      </c>
      <c r="O157" s="206">
        <v>8949430</v>
      </c>
      <c r="P157" s="206">
        <v>8993730</v>
      </c>
      <c r="Q157" s="206">
        <v>9038250</v>
      </c>
      <c r="R157" s="206">
        <v>9082980</v>
      </c>
      <c r="S157" s="206">
        <v>9127950</v>
      </c>
      <c r="T157" s="206">
        <v>9173130</v>
      </c>
      <c r="U157" s="206">
        <v>9218540</v>
      </c>
      <c r="V157" s="206">
        <v>9264170</v>
      </c>
      <c r="W157" s="206">
        <v>9310030</v>
      </c>
      <c r="X157" s="206">
        <v>9356110</v>
      </c>
      <c r="Y157" s="206">
        <v>9402420</v>
      </c>
      <c r="Z157" s="206">
        <v>9448960</v>
      </c>
      <c r="AA157" s="206">
        <v>9495740</v>
      </c>
      <c r="AB157" s="206">
        <v>9542740</v>
      </c>
      <c r="AC157" s="206"/>
      <c r="AD157" s="206"/>
      <c r="AE157" s="206"/>
      <c r="AF157" s="206"/>
      <c r="AG157" s="206"/>
      <c r="AH157" s="206"/>
      <c r="AI157" s="206"/>
      <c r="AJ157" s="206"/>
      <c r="AK157" s="206"/>
      <c r="AL157" s="206"/>
      <c r="AM157" s="206"/>
      <c r="AN157" s="206"/>
      <c r="AO157" s="206"/>
      <c r="AP157" s="206"/>
      <c r="AQ157" s="206"/>
    </row>
    <row r="158" spans="2:43" ht="13.5" customHeight="1" x14ac:dyDescent="0.2">
      <c r="B158" s="287" t="s">
        <v>340</v>
      </c>
      <c r="C158" s="206">
        <v>0</v>
      </c>
      <c r="D158" s="206">
        <v>0</v>
      </c>
      <c r="E158" s="206">
        <v>0</v>
      </c>
      <c r="F158" s="206">
        <v>0</v>
      </c>
      <c r="G158" s="206">
        <v>0</v>
      </c>
      <c r="H158" s="206">
        <v>0</v>
      </c>
      <c r="I158" s="206">
        <v>0</v>
      </c>
      <c r="J158" s="206">
        <v>0</v>
      </c>
      <c r="K158" s="206">
        <v>0</v>
      </c>
      <c r="L158" s="206">
        <v>0</v>
      </c>
      <c r="M158" s="206">
        <v>0</v>
      </c>
      <c r="N158" s="206">
        <v>0</v>
      </c>
      <c r="O158" s="206">
        <v>0</v>
      </c>
      <c r="P158" s="206">
        <v>0</v>
      </c>
      <c r="Q158" s="206">
        <v>0</v>
      </c>
      <c r="R158" s="206">
        <v>0</v>
      </c>
      <c r="S158" s="206">
        <v>0</v>
      </c>
      <c r="T158" s="206">
        <v>0</v>
      </c>
      <c r="U158" s="206">
        <v>0</v>
      </c>
      <c r="V158" s="206">
        <v>0</v>
      </c>
      <c r="W158" s="206">
        <v>0</v>
      </c>
      <c r="X158" s="206">
        <v>0</v>
      </c>
      <c r="Y158" s="206">
        <v>0</v>
      </c>
      <c r="Z158" s="206">
        <v>0</v>
      </c>
      <c r="AA158" s="206">
        <v>0</v>
      </c>
      <c r="AB158" s="206">
        <v>0</v>
      </c>
      <c r="AC158" s="206"/>
      <c r="AD158" s="206"/>
      <c r="AE158" s="206"/>
      <c r="AF158" s="206"/>
      <c r="AG158" s="206"/>
      <c r="AH158" s="206"/>
      <c r="AI158" s="206"/>
      <c r="AJ158" s="206"/>
      <c r="AK158" s="206"/>
      <c r="AL158" s="206"/>
      <c r="AM158" s="206"/>
      <c r="AN158" s="206"/>
      <c r="AO158" s="206"/>
      <c r="AP158" s="206"/>
      <c r="AQ158" s="206"/>
    </row>
    <row r="159" spans="2:43" ht="13.5" customHeight="1" x14ac:dyDescent="0.2">
      <c r="B159" s="287" t="s">
        <v>339</v>
      </c>
      <c r="C159" s="206">
        <v>0</v>
      </c>
      <c r="D159" s="206">
        <v>0</v>
      </c>
      <c r="E159" s="206">
        <v>0</v>
      </c>
      <c r="F159" s="206">
        <v>0</v>
      </c>
      <c r="G159" s="206">
        <v>0</v>
      </c>
      <c r="H159" s="206">
        <v>0</v>
      </c>
      <c r="I159" s="206">
        <v>0</v>
      </c>
      <c r="J159" s="206">
        <v>0</v>
      </c>
      <c r="K159" s="206">
        <v>0</v>
      </c>
      <c r="L159" s="206">
        <v>0</v>
      </c>
      <c r="M159" s="206">
        <v>0</v>
      </c>
      <c r="N159" s="206">
        <v>0</v>
      </c>
      <c r="O159" s="206">
        <v>0</v>
      </c>
      <c r="P159" s="206">
        <v>0</v>
      </c>
      <c r="Q159" s="206">
        <v>0</v>
      </c>
      <c r="R159" s="206">
        <v>0</v>
      </c>
      <c r="S159" s="206">
        <v>0</v>
      </c>
      <c r="T159" s="206">
        <v>0</v>
      </c>
      <c r="U159" s="206">
        <v>0</v>
      </c>
      <c r="V159" s="206">
        <v>0</v>
      </c>
      <c r="W159" s="206">
        <v>0</v>
      </c>
      <c r="X159" s="206">
        <v>0</v>
      </c>
      <c r="Y159" s="206">
        <v>0</v>
      </c>
      <c r="Z159" s="206">
        <v>0</v>
      </c>
      <c r="AA159" s="206">
        <v>0</v>
      </c>
      <c r="AB159" s="206">
        <v>0</v>
      </c>
      <c r="AC159" s="206"/>
      <c r="AD159" s="206"/>
      <c r="AE159" s="206"/>
      <c r="AF159" s="206"/>
      <c r="AG159" s="206"/>
      <c r="AH159" s="206"/>
      <c r="AI159" s="206"/>
      <c r="AJ159" s="206"/>
      <c r="AK159" s="206"/>
      <c r="AL159" s="206"/>
      <c r="AM159" s="206"/>
      <c r="AN159" s="206"/>
      <c r="AO159" s="206"/>
      <c r="AP159" s="206"/>
      <c r="AQ159" s="206"/>
    </row>
    <row r="160" spans="2:43" ht="13.5" customHeight="1" x14ac:dyDescent="0.2">
      <c r="B160" s="287" t="s">
        <v>411</v>
      </c>
      <c r="C160" s="206"/>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c r="AA160" s="206"/>
      <c r="AB160" s="206"/>
      <c r="AC160" s="206"/>
      <c r="AD160" s="206"/>
      <c r="AE160" s="206"/>
      <c r="AF160" s="206"/>
      <c r="AG160" s="206"/>
      <c r="AH160" s="206"/>
      <c r="AI160" s="206"/>
      <c r="AJ160" s="206"/>
      <c r="AK160" s="206"/>
      <c r="AL160" s="206"/>
      <c r="AM160" s="206"/>
      <c r="AN160" s="206"/>
      <c r="AO160" s="206"/>
      <c r="AP160" s="206"/>
      <c r="AQ160" s="206"/>
    </row>
    <row r="161" spans="2:43" ht="13.5" customHeight="1" x14ac:dyDescent="0.2">
      <c r="B161" s="261" t="s">
        <v>281</v>
      </c>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264"/>
      <c r="AO161" s="264"/>
      <c r="AP161" s="264"/>
      <c r="AQ161" s="265"/>
    </row>
    <row r="162" spans="2:43" ht="13.5" customHeight="1" x14ac:dyDescent="0.2">
      <c r="B162" s="50" t="s">
        <v>344</v>
      </c>
      <c r="C162" s="262"/>
      <c r="D162" s="263"/>
      <c r="E162" s="263"/>
      <c r="F162" s="263"/>
      <c r="G162" s="263"/>
      <c r="H162" s="263"/>
      <c r="I162" s="263"/>
      <c r="J162" s="263"/>
      <c r="K162" s="263"/>
      <c r="L162" s="263"/>
      <c r="M162" s="263"/>
      <c r="N162" s="263"/>
      <c r="O162" s="263"/>
      <c r="P162" s="263"/>
      <c r="Q162" s="263"/>
      <c r="R162" s="263"/>
      <c r="S162" s="263"/>
      <c r="T162" s="263"/>
      <c r="U162" s="263"/>
      <c r="V162" s="263"/>
      <c r="W162" s="263"/>
      <c r="X162" s="263"/>
      <c r="Y162" s="263"/>
      <c r="Z162" s="263"/>
      <c r="AA162" s="263"/>
      <c r="AB162" s="263"/>
      <c r="AC162" s="263"/>
      <c r="AD162" s="263"/>
      <c r="AE162" s="263"/>
      <c r="AF162" s="263"/>
      <c r="AG162" s="263"/>
      <c r="AH162" s="263"/>
      <c r="AI162" s="263"/>
      <c r="AJ162" s="263"/>
      <c r="AK162" s="263"/>
      <c r="AL162" s="263"/>
      <c r="AM162" s="263"/>
      <c r="AN162" s="263"/>
      <c r="AO162" s="263"/>
      <c r="AP162" s="263"/>
      <c r="AQ162" s="263"/>
    </row>
    <row r="163" spans="2:43" x14ac:dyDescent="0.2">
      <c r="B163" s="38" t="s">
        <v>345</v>
      </c>
      <c r="C163" s="259"/>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c r="Z163" s="260"/>
      <c r="AA163" s="260"/>
      <c r="AB163" s="260"/>
      <c r="AC163" s="260"/>
      <c r="AD163" s="260"/>
      <c r="AE163" s="260"/>
      <c r="AF163" s="260"/>
      <c r="AG163" s="260"/>
      <c r="AH163" s="260"/>
      <c r="AI163" s="260"/>
      <c r="AJ163" s="260"/>
      <c r="AK163" s="260"/>
      <c r="AL163" s="260"/>
      <c r="AM163" s="260"/>
      <c r="AN163" s="260"/>
      <c r="AO163" s="260"/>
      <c r="AP163" s="260"/>
      <c r="AQ163" s="260"/>
    </row>
    <row r="164" spans="2:43" ht="12" customHeight="1" x14ac:dyDescent="0.2">
      <c r="B164" s="61" t="s">
        <v>341</v>
      </c>
      <c r="C164" s="266"/>
      <c r="D164" s="267"/>
      <c r="E164" s="267"/>
      <c r="F164" s="267"/>
      <c r="G164" s="267"/>
      <c r="H164" s="267"/>
      <c r="I164" s="267"/>
      <c r="J164" s="267"/>
      <c r="K164" s="267"/>
      <c r="L164" s="267"/>
      <c r="M164" s="267"/>
      <c r="N164" s="267"/>
      <c r="O164" s="267"/>
      <c r="P164" s="267"/>
      <c r="Q164" s="267"/>
      <c r="R164" s="267"/>
      <c r="S164" s="267"/>
      <c r="T164" s="267"/>
      <c r="U164" s="267"/>
      <c r="V164" s="267"/>
      <c r="W164" s="267"/>
      <c r="X164" s="267"/>
      <c r="Y164" s="267"/>
      <c r="Z164" s="267"/>
      <c r="AA164" s="267"/>
      <c r="AB164" s="267"/>
      <c r="AC164" s="267"/>
      <c r="AD164" s="267"/>
      <c r="AE164" s="267"/>
      <c r="AF164" s="267"/>
      <c r="AG164" s="267"/>
      <c r="AH164" s="267"/>
      <c r="AI164" s="267"/>
      <c r="AJ164" s="267"/>
      <c r="AK164" s="267"/>
      <c r="AL164" s="267"/>
      <c r="AM164" s="267"/>
      <c r="AN164" s="267"/>
      <c r="AO164" s="267"/>
      <c r="AP164" s="267"/>
      <c r="AQ164" s="267"/>
    </row>
    <row r="165" spans="2:43" ht="12" customHeight="1" x14ac:dyDescent="0.2">
      <c r="B165" s="261" t="s">
        <v>286</v>
      </c>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264"/>
      <c r="AO165" s="264"/>
      <c r="AP165" s="264"/>
      <c r="AQ165" s="265"/>
    </row>
    <row r="166" spans="2:43" ht="12" customHeight="1" x14ac:dyDescent="0.2">
      <c r="B166" s="50" t="s">
        <v>106</v>
      </c>
      <c r="C166" s="267">
        <v>0</v>
      </c>
      <c r="D166" s="263">
        <v>7</v>
      </c>
      <c r="E166" s="263">
        <v>7</v>
      </c>
      <c r="F166" s="263">
        <v>7</v>
      </c>
      <c r="G166" s="263">
        <v>7</v>
      </c>
      <c r="H166" s="263">
        <v>7</v>
      </c>
      <c r="I166" s="263">
        <v>7</v>
      </c>
      <c r="J166" s="263">
        <v>7</v>
      </c>
      <c r="K166" s="263">
        <v>7</v>
      </c>
      <c r="L166" s="263">
        <v>7</v>
      </c>
      <c r="M166" s="263">
        <v>7</v>
      </c>
      <c r="N166" s="263">
        <v>7</v>
      </c>
      <c r="O166" s="263">
        <v>7</v>
      </c>
      <c r="P166" s="263">
        <v>7</v>
      </c>
      <c r="Q166" s="263">
        <v>7</v>
      </c>
      <c r="R166" s="263">
        <v>7</v>
      </c>
      <c r="S166" s="263">
        <v>7</v>
      </c>
      <c r="T166" s="263">
        <v>7</v>
      </c>
      <c r="U166" s="263">
        <v>7</v>
      </c>
      <c r="V166" s="263">
        <v>7</v>
      </c>
      <c r="W166" s="263">
        <v>7</v>
      </c>
      <c r="X166" s="263">
        <v>7</v>
      </c>
      <c r="Y166" s="263">
        <v>7</v>
      </c>
      <c r="Z166" s="263">
        <v>7</v>
      </c>
      <c r="AA166" s="263">
        <v>7</v>
      </c>
      <c r="AB166" s="263">
        <v>7</v>
      </c>
      <c r="AC166" s="263"/>
      <c r="AD166" s="263"/>
      <c r="AE166" s="263"/>
      <c r="AF166" s="263"/>
      <c r="AG166" s="263"/>
      <c r="AH166" s="263"/>
      <c r="AI166" s="263"/>
      <c r="AJ166" s="263"/>
      <c r="AK166" s="263"/>
      <c r="AL166" s="263"/>
      <c r="AM166" s="263"/>
      <c r="AN166" s="263"/>
      <c r="AO166" s="263"/>
      <c r="AP166" s="263"/>
      <c r="AQ166" s="263"/>
    </row>
    <row r="167" spans="2:43" ht="12" customHeight="1" x14ac:dyDescent="0.2">
      <c r="B167" s="61" t="s">
        <v>105</v>
      </c>
      <c r="C167" s="267">
        <v>0</v>
      </c>
      <c r="D167" s="267">
        <v>21</v>
      </c>
      <c r="E167" s="267">
        <v>21</v>
      </c>
      <c r="F167" s="267">
        <v>21</v>
      </c>
      <c r="G167" s="267">
        <v>21</v>
      </c>
      <c r="H167" s="267">
        <v>21</v>
      </c>
      <c r="I167" s="267">
        <v>21</v>
      </c>
      <c r="J167" s="267">
        <v>21</v>
      </c>
      <c r="K167" s="267">
        <v>21</v>
      </c>
      <c r="L167" s="267">
        <v>21</v>
      </c>
      <c r="M167" s="267">
        <v>21</v>
      </c>
      <c r="N167" s="267">
        <v>21</v>
      </c>
      <c r="O167" s="267">
        <v>21</v>
      </c>
      <c r="P167" s="267">
        <v>21</v>
      </c>
      <c r="Q167" s="267">
        <v>21</v>
      </c>
      <c r="R167" s="267">
        <v>21</v>
      </c>
      <c r="S167" s="267">
        <v>21</v>
      </c>
      <c r="T167" s="267">
        <v>21</v>
      </c>
      <c r="U167" s="267">
        <v>21</v>
      </c>
      <c r="V167" s="267">
        <v>21</v>
      </c>
      <c r="W167" s="267">
        <v>21</v>
      </c>
      <c r="X167" s="267">
        <v>21</v>
      </c>
      <c r="Y167" s="267">
        <v>21</v>
      </c>
      <c r="Z167" s="267">
        <v>21</v>
      </c>
      <c r="AA167" s="267">
        <v>21</v>
      </c>
      <c r="AB167" s="267">
        <v>21</v>
      </c>
      <c r="AC167" s="267"/>
      <c r="AD167" s="267"/>
      <c r="AE167" s="267"/>
      <c r="AF167" s="267"/>
      <c r="AG167" s="267"/>
      <c r="AH167" s="267"/>
      <c r="AI167" s="267"/>
      <c r="AJ167" s="267"/>
      <c r="AK167" s="267"/>
      <c r="AL167" s="267"/>
      <c r="AM167" s="267"/>
      <c r="AN167" s="267"/>
      <c r="AO167" s="267"/>
      <c r="AP167" s="267"/>
      <c r="AQ167" s="267"/>
    </row>
    <row r="168" spans="2:43" ht="12" customHeight="1" x14ac:dyDescent="0.2">
      <c r="B168" s="261" t="s">
        <v>414</v>
      </c>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1"/>
    </row>
    <row r="169" spans="2:43" ht="12" customHeight="1" x14ac:dyDescent="0.2">
      <c r="B169" s="314" t="s">
        <v>418</v>
      </c>
      <c r="C169" s="262"/>
      <c r="D169" s="263">
        <v>0</v>
      </c>
      <c r="E169" s="263">
        <v>0</v>
      </c>
      <c r="F169" s="263">
        <v>0</v>
      </c>
      <c r="G169" s="263">
        <v>0</v>
      </c>
      <c r="H169" s="263">
        <v>0</v>
      </c>
      <c r="I169" s="263">
        <v>0</v>
      </c>
      <c r="J169" s="263">
        <v>0</v>
      </c>
      <c r="K169" s="263">
        <v>0</v>
      </c>
      <c r="L169" s="263">
        <v>0</v>
      </c>
      <c r="M169" s="263">
        <v>0</v>
      </c>
      <c r="N169" s="263">
        <v>0</v>
      </c>
      <c r="O169" s="263">
        <v>0</v>
      </c>
      <c r="P169" s="263">
        <v>0</v>
      </c>
      <c r="Q169" s="263">
        <v>0</v>
      </c>
      <c r="R169" s="263">
        <v>0</v>
      </c>
      <c r="S169" s="263">
        <v>0</v>
      </c>
      <c r="T169" s="263">
        <v>0</v>
      </c>
      <c r="U169" s="263">
        <v>0</v>
      </c>
      <c r="V169" s="263">
        <v>0</v>
      </c>
      <c r="W169" s="263">
        <v>0</v>
      </c>
      <c r="X169" s="263">
        <v>0</v>
      </c>
      <c r="Y169" s="263">
        <v>0</v>
      </c>
      <c r="Z169" s="263">
        <v>0</v>
      </c>
      <c r="AA169" s="263">
        <v>0</v>
      </c>
      <c r="AB169" s="263">
        <v>0</v>
      </c>
      <c r="AC169" s="263"/>
      <c r="AD169" s="263"/>
      <c r="AE169" s="263"/>
      <c r="AF169" s="263"/>
      <c r="AG169" s="263"/>
      <c r="AH169" s="263"/>
      <c r="AI169" s="263"/>
      <c r="AJ169" s="263"/>
      <c r="AK169" s="263"/>
      <c r="AL169" s="263"/>
      <c r="AM169" s="263"/>
      <c r="AN169" s="263"/>
      <c r="AO169" s="263"/>
      <c r="AP169" s="263"/>
      <c r="AQ169" s="263"/>
    </row>
    <row r="170" spans="2:43" ht="12" customHeight="1" x14ac:dyDescent="0.2">
      <c r="B170" s="314" t="s">
        <v>417</v>
      </c>
      <c r="C170" s="262"/>
      <c r="D170" s="263">
        <v>0</v>
      </c>
      <c r="E170" s="263">
        <v>0</v>
      </c>
      <c r="F170" s="263">
        <v>0</v>
      </c>
      <c r="G170" s="263">
        <v>0</v>
      </c>
      <c r="H170" s="263">
        <v>0</v>
      </c>
      <c r="I170" s="263">
        <v>0</v>
      </c>
      <c r="J170" s="263">
        <v>0</v>
      </c>
      <c r="K170" s="263">
        <v>0</v>
      </c>
      <c r="L170" s="263">
        <v>0</v>
      </c>
      <c r="M170" s="263">
        <v>0</v>
      </c>
      <c r="N170" s="263">
        <v>0</v>
      </c>
      <c r="O170" s="263">
        <v>0</v>
      </c>
      <c r="P170" s="263">
        <v>0</v>
      </c>
      <c r="Q170" s="263">
        <v>0</v>
      </c>
      <c r="R170" s="263">
        <v>0</v>
      </c>
      <c r="S170" s="263">
        <v>0</v>
      </c>
      <c r="T170" s="263">
        <v>0</v>
      </c>
      <c r="U170" s="263">
        <v>0</v>
      </c>
      <c r="V170" s="263">
        <v>0</v>
      </c>
      <c r="W170" s="263">
        <v>0</v>
      </c>
      <c r="X170" s="263">
        <v>0</v>
      </c>
      <c r="Y170" s="263">
        <v>0</v>
      </c>
      <c r="Z170" s="263">
        <v>0</v>
      </c>
      <c r="AA170" s="263">
        <v>0</v>
      </c>
      <c r="AB170" s="263">
        <v>0</v>
      </c>
      <c r="AC170" s="263"/>
      <c r="AD170" s="263"/>
      <c r="AE170" s="263"/>
      <c r="AF170" s="263"/>
      <c r="AG170" s="263"/>
      <c r="AH170" s="263"/>
      <c r="AI170" s="263"/>
      <c r="AJ170" s="263"/>
      <c r="AK170" s="263"/>
      <c r="AL170" s="263"/>
      <c r="AM170" s="263"/>
      <c r="AN170" s="263"/>
      <c r="AO170" s="263"/>
      <c r="AP170" s="263"/>
      <c r="AQ170" s="263"/>
    </row>
    <row r="171" spans="2:43" ht="12" customHeight="1" x14ac:dyDescent="0.2">
      <c r="B171" s="314" t="s">
        <v>419</v>
      </c>
      <c r="C171" s="262"/>
      <c r="D171" s="263">
        <v>30</v>
      </c>
      <c r="E171" s="263">
        <v>0</v>
      </c>
      <c r="F171" s="263">
        <v>0</v>
      </c>
      <c r="G171" s="263">
        <v>0</v>
      </c>
      <c r="H171" s="263">
        <v>0</v>
      </c>
      <c r="I171" s="263">
        <v>0</v>
      </c>
      <c r="J171" s="263">
        <v>0</v>
      </c>
      <c r="K171" s="263">
        <v>0</v>
      </c>
      <c r="L171" s="263">
        <v>0</v>
      </c>
      <c r="M171" s="263">
        <v>0</v>
      </c>
      <c r="N171" s="263">
        <v>0</v>
      </c>
      <c r="O171" s="263">
        <v>0</v>
      </c>
      <c r="P171" s="263">
        <v>0</v>
      </c>
      <c r="Q171" s="263">
        <v>0</v>
      </c>
      <c r="R171" s="263">
        <v>0</v>
      </c>
      <c r="S171" s="263">
        <v>0</v>
      </c>
      <c r="T171" s="263">
        <v>0</v>
      </c>
      <c r="U171" s="263">
        <v>0</v>
      </c>
      <c r="V171" s="263">
        <v>0</v>
      </c>
      <c r="W171" s="263">
        <v>0</v>
      </c>
      <c r="X171" s="263">
        <v>0</v>
      </c>
      <c r="Y171" s="263">
        <v>0</v>
      </c>
      <c r="Z171" s="263">
        <v>0</v>
      </c>
      <c r="AA171" s="263">
        <v>0</v>
      </c>
      <c r="AB171" s="263">
        <v>0</v>
      </c>
      <c r="AC171" s="263"/>
      <c r="AD171" s="263"/>
      <c r="AE171" s="263"/>
      <c r="AF171" s="263"/>
      <c r="AG171" s="263"/>
      <c r="AH171" s="263"/>
      <c r="AI171" s="263"/>
      <c r="AJ171" s="263"/>
      <c r="AK171" s="263"/>
      <c r="AL171" s="263"/>
      <c r="AM171" s="263"/>
      <c r="AN171" s="263"/>
      <c r="AO171" s="263"/>
      <c r="AP171" s="263"/>
      <c r="AQ171" s="263"/>
    </row>
    <row r="172" spans="2:43" ht="12" customHeight="1" x14ac:dyDescent="0.2">
      <c r="B172" s="314" t="s">
        <v>415</v>
      </c>
      <c r="C172" s="262"/>
      <c r="D172" s="322">
        <v>9.9999999999999998E+37</v>
      </c>
      <c r="E172" s="322">
        <v>9.9999999999999998E+37</v>
      </c>
      <c r="F172" s="322">
        <v>9.9999999999999998E+37</v>
      </c>
      <c r="G172" s="322">
        <v>9.9999999999999998E+37</v>
      </c>
      <c r="H172" s="322">
        <v>9.9999999999999998E+37</v>
      </c>
      <c r="I172" s="322">
        <v>9.9999999999999998E+37</v>
      </c>
      <c r="J172" s="322">
        <v>9.9999999999999998E+37</v>
      </c>
      <c r="K172" s="322">
        <v>9.9999999999999998E+37</v>
      </c>
      <c r="L172" s="322">
        <v>9.9999999999999998E+37</v>
      </c>
      <c r="M172" s="322">
        <v>9.9999999999999998E+37</v>
      </c>
      <c r="N172" s="322">
        <v>9.9999999999999998E+37</v>
      </c>
      <c r="O172" s="322">
        <v>9.9999999999999998E+37</v>
      </c>
      <c r="P172" s="322">
        <v>9.9999999999999998E+37</v>
      </c>
      <c r="Q172" s="322">
        <v>9.9999999999999998E+37</v>
      </c>
      <c r="R172" s="322">
        <v>9.9999999999999998E+37</v>
      </c>
      <c r="S172" s="322">
        <v>9.9999999999999998E+37</v>
      </c>
      <c r="T172" s="322">
        <v>9.9999999999999998E+37</v>
      </c>
      <c r="U172" s="322">
        <v>9.9999999999999998E+37</v>
      </c>
      <c r="V172" s="322">
        <v>9.9999999999999998E+37</v>
      </c>
      <c r="W172" s="322">
        <v>9.9999999999999998E+37</v>
      </c>
      <c r="X172" s="322">
        <v>9.9999999999999998E+37</v>
      </c>
      <c r="Y172" s="322">
        <v>9.9999999999999998E+37</v>
      </c>
      <c r="Z172" s="322">
        <v>9.9999999999999998E+37</v>
      </c>
      <c r="AA172" s="322">
        <v>9.9999999999999998E+37</v>
      </c>
      <c r="AB172" s="322">
        <v>9.9999999999999998E+37</v>
      </c>
      <c r="AC172" s="322"/>
      <c r="AD172" s="322"/>
      <c r="AE172" s="322"/>
      <c r="AF172" s="322"/>
      <c r="AG172" s="322"/>
      <c r="AH172" s="322"/>
      <c r="AI172" s="322"/>
      <c r="AJ172" s="322"/>
      <c r="AK172" s="322"/>
      <c r="AL172" s="322"/>
      <c r="AM172" s="322"/>
      <c r="AN172" s="322"/>
      <c r="AO172" s="322"/>
      <c r="AP172" s="322"/>
      <c r="AQ172" s="322"/>
    </row>
    <row r="173" spans="2:43" ht="12" customHeight="1" x14ac:dyDescent="0.2">
      <c r="B173" s="314" t="s">
        <v>420</v>
      </c>
      <c r="C173" s="262"/>
      <c r="D173" s="263">
        <v>0</v>
      </c>
      <c r="E173" s="263">
        <v>0</v>
      </c>
      <c r="F173" s="263">
        <v>0</v>
      </c>
      <c r="G173" s="263">
        <v>0</v>
      </c>
      <c r="H173" s="263">
        <v>0</v>
      </c>
      <c r="I173" s="263">
        <v>0</v>
      </c>
      <c r="J173" s="263">
        <v>0</v>
      </c>
      <c r="K173" s="263">
        <v>0</v>
      </c>
      <c r="L173" s="263">
        <v>0</v>
      </c>
      <c r="M173" s="263">
        <v>0</v>
      </c>
      <c r="N173" s="263">
        <v>0</v>
      </c>
      <c r="O173" s="263">
        <v>0</v>
      </c>
      <c r="P173" s="263">
        <v>0</v>
      </c>
      <c r="Q173" s="263">
        <v>0</v>
      </c>
      <c r="R173" s="263">
        <v>0</v>
      </c>
      <c r="S173" s="263">
        <v>0</v>
      </c>
      <c r="T173" s="263">
        <v>0</v>
      </c>
      <c r="U173" s="263">
        <v>0</v>
      </c>
      <c r="V173" s="263">
        <v>0</v>
      </c>
      <c r="W173" s="263">
        <v>0</v>
      </c>
      <c r="X173" s="263">
        <v>0</v>
      </c>
      <c r="Y173" s="263">
        <v>0</v>
      </c>
      <c r="Z173" s="263">
        <v>0</v>
      </c>
      <c r="AA173" s="263">
        <v>0</v>
      </c>
      <c r="AB173" s="263">
        <v>0</v>
      </c>
      <c r="AC173" s="263"/>
      <c r="AD173" s="263"/>
      <c r="AE173" s="263"/>
      <c r="AF173" s="263"/>
      <c r="AG173" s="263"/>
      <c r="AH173" s="263"/>
      <c r="AI173" s="263"/>
      <c r="AJ173" s="263"/>
      <c r="AK173" s="263"/>
      <c r="AL173" s="263"/>
      <c r="AM173" s="263"/>
      <c r="AN173" s="263"/>
      <c r="AO173" s="263"/>
      <c r="AP173" s="263"/>
      <c r="AQ173" s="263"/>
    </row>
    <row r="174" spans="2:43" ht="12" customHeight="1" x14ac:dyDescent="0.2">
      <c r="B174" s="314" t="s">
        <v>416</v>
      </c>
      <c r="C174" s="262"/>
      <c r="D174" s="322">
        <v>9.9999999999999998E+37</v>
      </c>
      <c r="E174" s="322">
        <v>9.9999999999999998E+37</v>
      </c>
      <c r="F174" s="322">
        <v>9.9999999999999998E+37</v>
      </c>
      <c r="G174" s="322">
        <v>9.9999999999999998E+37</v>
      </c>
      <c r="H174" s="322">
        <v>9.9999999999999998E+37</v>
      </c>
      <c r="I174" s="322">
        <v>9.9999999999999998E+37</v>
      </c>
      <c r="J174" s="322">
        <v>9.9999999999999998E+37</v>
      </c>
      <c r="K174" s="322">
        <v>9.9999999999999998E+37</v>
      </c>
      <c r="L174" s="322">
        <v>9.9999999999999998E+37</v>
      </c>
      <c r="M174" s="322">
        <v>9.9999999999999998E+37</v>
      </c>
      <c r="N174" s="322">
        <v>9.9999999999999998E+37</v>
      </c>
      <c r="O174" s="322">
        <v>9.9999999999999998E+37</v>
      </c>
      <c r="P174" s="322">
        <v>9.9999999999999998E+37</v>
      </c>
      <c r="Q174" s="322">
        <v>9.9999999999999998E+37</v>
      </c>
      <c r="R174" s="322">
        <v>9.9999999999999998E+37</v>
      </c>
      <c r="S174" s="322">
        <v>9.9999999999999998E+37</v>
      </c>
      <c r="T174" s="322">
        <v>9.9999999999999998E+37</v>
      </c>
      <c r="U174" s="322">
        <v>9.9999999999999998E+37</v>
      </c>
      <c r="V174" s="322">
        <v>9.9999999999999998E+37</v>
      </c>
      <c r="W174" s="322">
        <v>9.9999999999999998E+37</v>
      </c>
      <c r="X174" s="322">
        <v>9.9999999999999998E+37</v>
      </c>
      <c r="Y174" s="322">
        <v>9.9999999999999998E+37</v>
      </c>
      <c r="Z174" s="322">
        <v>9.9999999999999998E+37</v>
      </c>
      <c r="AA174" s="322">
        <v>9.9999999999999998E+37</v>
      </c>
      <c r="AB174" s="322">
        <v>9.9999999999999998E+37</v>
      </c>
      <c r="AC174" s="322"/>
      <c r="AD174" s="322"/>
      <c r="AE174" s="322"/>
      <c r="AF174" s="322"/>
      <c r="AG174" s="322"/>
      <c r="AH174" s="322"/>
      <c r="AI174" s="322"/>
      <c r="AJ174" s="322"/>
      <c r="AK174" s="322"/>
      <c r="AL174" s="322"/>
      <c r="AM174" s="322"/>
      <c r="AN174" s="322"/>
      <c r="AO174" s="322"/>
      <c r="AP174" s="322"/>
      <c r="AQ174" s="322"/>
    </row>
    <row r="175" spans="2:43" x14ac:dyDescent="0.2">
      <c r="B175" s="261" t="s">
        <v>282</v>
      </c>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264"/>
      <c r="AO175" s="264"/>
      <c r="AP175" s="264"/>
      <c r="AQ175" s="265"/>
    </row>
    <row r="176" spans="2:43" x14ac:dyDescent="0.2">
      <c r="B176" s="50" t="s">
        <v>4</v>
      </c>
      <c r="C176" s="262"/>
      <c r="D176" s="263"/>
      <c r="E176" s="263"/>
      <c r="F176" s="263"/>
      <c r="G176" s="263"/>
      <c r="H176" s="263"/>
      <c r="I176" s="263"/>
      <c r="J176" s="263"/>
      <c r="K176" s="263"/>
      <c r="L176" s="263"/>
      <c r="M176" s="263"/>
      <c r="N176" s="263"/>
      <c r="O176" s="263"/>
      <c r="P176" s="263"/>
      <c r="Q176" s="263"/>
      <c r="R176" s="263"/>
      <c r="S176" s="263"/>
      <c r="T176" s="263"/>
      <c r="U176" s="263"/>
      <c r="V176" s="263"/>
      <c r="W176" s="263"/>
      <c r="X176" s="263"/>
      <c r="Y176" s="263"/>
      <c r="Z176" s="263"/>
      <c r="AA176" s="263"/>
      <c r="AB176" s="263"/>
      <c r="AC176" s="263"/>
      <c r="AD176" s="263"/>
      <c r="AE176" s="263"/>
      <c r="AF176" s="263"/>
      <c r="AG176" s="263"/>
      <c r="AH176" s="263"/>
      <c r="AI176" s="263"/>
      <c r="AJ176" s="263"/>
      <c r="AK176" s="263"/>
      <c r="AL176" s="263"/>
      <c r="AM176" s="263"/>
      <c r="AN176" s="263"/>
      <c r="AO176" s="263"/>
      <c r="AP176" s="263"/>
      <c r="AQ176" s="263"/>
    </row>
    <row r="177" spans="2:103" x14ac:dyDescent="0.2">
      <c r="B177" s="38" t="s">
        <v>5</v>
      </c>
      <c r="C177" s="259"/>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c r="AA177" s="260"/>
      <c r="AB177" s="260"/>
      <c r="AC177" s="260"/>
      <c r="AD177" s="260"/>
      <c r="AE177" s="260"/>
      <c r="AF177" s="260"/>
      <c r="AG177" s="260"/>
      <c r="AH177" s="260"/>
      <c r="AI177" s="260"/>
      <c r="AJ177" s="260"/>
      <c r="AK177" s="260"/>
      <c r="AL177" s="260"/>
      <c r="AM177" s="260"/>
      <c r="AN177" s="260"/>
      <c r="AO177" s="260"/>
      <c r="AP177" s="260"/>
      <c r="AQ177" s="260"/>
    </row>
    <row r="178" spans="2:103" x14ac:dyDescent="0.2">
      <c r="B178" s="38" t="s">
        <v>185</v>
      </c>
      <c r="C178" s="259"/>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c r="AA178" s="260"/>
      <c r="AB178" s="260"/>
      <c r="AC178" s="260"/>
      <c r="AD178" s="260"/>
      <c r="AE178" s="260"/>
      <c r="AF178" s="260"/>
      <c r="AG178" s="260"/>
      <c r="AH178" s="260"/>
      <c r="AI178" s="260"/>
      <c r="AJ178" s="260"/>
      <c r="AK178" s="260"/>
      <c r="AL178" s="260"/>
      <c r="AM178" s="260"/>
      <c r="AN178" s="260"/>
      <c r="AO178" s="260"/>
      <c r="AP178" s="260"/>
      <c r="AQ178" s="260"/>
    </row>
    <row r="179" spans="2:103" x14ac:dyDescent="0.2">
      <c r="B179" s="61" t="s">
        <v>186</v>
      </c>
      <c r="C179" s="266"/>
      <c r="D179" s="267"/>
      <c r="E179" s="267"/>
      <c r="F179" s="267"/>
      <c r="G179" s="267"/>
      <c r="H179" s="267"/>
      <c r="I179" s="267"/>
      <c r="J179" s="267"/>
      <c r="K179" s="267"/>
      <c r="L179" s="267"/>
      <c r="M179" s="267"/>
      <c r="N179" s="267"/>
      <c r="O179" s="267"/>
      <c r="P179" s="267"/>
      <c r="Q179" s="267"/>
      <c r="R179" s="267"/>
      <c r="S179" s="267"/>
      <c r="T179" s="267"/>
      <c r="U179" s="267"/>
      <c r="V179" s="267"/>
      <c r="W179" s="267"/>
      <c r="X179" s="267"/>
      <c r="Y179" s="267"/>
      <c r="Z179" s="267"/>
      <c r="AA179" s="267"/>
      <c r="AB179" s="267"/>
      <c r="AC179" s="267"/>
      <c r="AD179" s="267"/>
      <c r="AE179" s="267"/>
      <c r="AF179" s="267"/>
      <c r="AG179" s="267"/>
      <c r="AH179" s="267"/>
      <c r="AI179" s="267"/>
      <c r="AJ179" s="267"/>
      <c r="AK179" s="267"/>
      <c r="AL179" s="267"/>
      <c r="AM179" s="267"/>
      <c r="AN179" s="267"/>
      <c r="AO179" s="267"/>
      <c r="AP179" s="267"/>
      <c r="AQ179" s="267"/>
    </row>
    <row r="180" spans="2:103" x14ac:dyDescent="0.2">
      <c r="B180" s="261" t="s">
        <v>283</v>
      </c>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264"/>
      <c r="AO180" s="264"/>
      <c r="AP180" s="264"/>
      <c r="AQ180" s="265"/>
    </row>
    <row r="181" spans="2:103" x14ac:dyDescent="0.2">
      <c r="B181" s="50" t="s">
        <v>4</v>
      </c>
      <c r="C181" s="262"/>
      <c r="D181" s="263"/>
      <c r="E181" s="263"/>
      <c r="F181" s="263"/>
      <c r="G181" s="263"/>
      <c r="H181" s="263"/>
      <c r="I181" s="263"/>
      <c r="J181" s="263"/>
      <c r="K181" s="263"/>
      <c r="L181" s="263"/>
      <c r="M181" s="263"/>
      <c r="N181" s="263"/>
      <c r="O181" s="263"/>
      <c r="P181" s="263"/>
      <c r="Q181" s="263"/>
      <c r="R181" s="263"/>
      <c r="S181" s="263"/>
      <c r="T181" s="263"/>
      <c r="U181" s="263"/>
      <c r="V181" s="263"/>
      <c r="W181" s="263"/>
      <c r="X181" s="263"/>
      <c r="Y181" s="263"/>
      <c r="Z181" s="263"/>
      <c r="AA181" s="263"/>
      <c r="AB181" s="263"/>
      <c r="AC181" s="263"/>
      <c r="AD181" s="263"/>
      <c r="AE181" s="263"/>
      <c r="AF181" s="263"/>
      <c r="AG181" s="263"/>
      <c r="AH181" s="263"/>
      <c r="AI181" s="263"/>
      <c r="AJ181" s="263"/>
      <c r="AK181" s="263"/>
      <c r="AL181" s="263"/>
      <c r="AM181" s="263"/>
      <c r="AN181" s="263"/>
      <c r="AO181" s="263"/>
      <c r="AP181" s="263"/>
      <c r="AQ181" s="263"/>
    </row>
    <row r="182" spans="2:103" x14ac:dyDescent="0.2">
      <c r="B182" s="38" t="s">
        <v>5</v>
      </c>
      <c r="C182" s="259"/>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c r="AA182" s="260"/>
      <c r="AB182" s="260"/>
      <c r="AC182" s="260"/>
      <c r="AD182" s="260"/>
      <c r="AE182" s="260"/>
      <c r="AF182" s="260"/>
      <c r="AG182" s="260"/>
      <c r="AH182" s="260"/>
      <c r="AI182" s="260"/>
      <c r="AJ182" s="260"/>
      <c r="AK182" s="260"/>
      <c r="AL182" s="260"/>
      <c r="AM182" s="260"/>
      <c r="AN182" s="260"/>
      <c r="AO182" s="260"/>
      <c r="AP182" s="260"/>
      <c r="AQ182" s="260"/>
    </row>
    <row r="183" spans="2:103" x14ac:dyDescent="0.2">
      <c r="B183" s="274" t="s">
        <v>322</v>
      </c>
      <c r="C183" s="278"/>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276"/>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row>
    <row r="184" spans="2:103" x14ac:dyDescent="0.2">
      <c r="B184" s="307" t="s">
        <v>323</v>
      </c>
      <c r="C184" s="316">
        <v>0</v>
      </c>
      <c r="D184" s="316">
        <v>0</v>
      </c>
      <c r="E184" s="316">
        <v>0</v>
      </c>
      <c r="F184" s="316">
        <v>0</v>
      </c>
      <c r="G184" s="316">
        <v>0</v>
      </c>
      <c r="H184" s="316">
        <v>0</v>
      </c>
      <c r="I184" s="316">
        <v>0</v>
      </c>
      <c r="J184" s="316">
        <v>0</v>
      </c>
      <c r="K184" s="316">
        <v>0</v>
      </c>
      <c r="L184" s="316">
        <v>0</v>
      </c>
      <c r="M184" s="316">
        <v>0</v>
      </c>
      <c r="N184" s="316">
        <v>0</v>
      </c>
      <c r="O184" s="316">
        <v>0</v>
      </c>
      <c r="P184" s="316">
        <v>0</v>
      </c>
      <c r="Q184" s="316">
        <v>0</v>
      </c>
      <c r="R184" s="316">
        <v>0</v>
      </c>
      <c r="S184" s="316">
        <v>0</v>
      </c>
      <c r="T184" s="316">
        <v>0</v>
      </c>
      <c r="U184" s="316">
        <v>0</v>
      </c>
      <c r="V184" s="316">
        <v>0</v>
      </c>
      <c r="W184" s="316">
        <v>0</v>
      </c>
      <c r="X184" s="316">
        <v>0</v>
      </c>
      <c r="Y184" s="316">
        <v>0</v>
      </c>
      <c r="Z184" s="316">
        <v>0</v>
      </c>
      <c r="AA184" s="316">
        <v>0</v>
      </c>
      <c r="AB184" s="316">
        <v>0</v>
      </c>
      <c r="AC184" s="316"/>
      <c r="AD184" s="316"/>
      <c r="AE184" s="316"/>
      <c r="AF184" s="316"/>
      <c r="AG184" s="316"/>
      <c r="AH184" s="316"/>
      <c r="AI184" s="316"/>
      <c r="AJ184" s="316"/>
      <c r="AK184" s="316"/>
      <c r="AL184" s="316"/>
      <c r="AM184" s="316"/>
      <c r="AN184" s="316"/>
      <c r="AO184" s="316"/>
      <c r="AP184" s="316"/>
      <c r="AQ184" s="316"/>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row>
    <row r="185" spans="2:103" x14ac:dyDescent="0.2">
      <c r="B185" s="311" t="s">
        <v>358</v>
      </c>
      <c r="C185" s="312"/>
      <c r="D185" s="312"/>
      <c r="E185" s="312"/>
      <c r="F185" s="312"/>
      <c r="G185" s="312"/>
      <c r="H185" s="312"/>
      <c r="I185" s="312"/>
      <c r="J185" s="312"/>
      <c r="K185" s="312"/>
      <c r="L185" s="312"/>
      <c r="M185" s="312"/>
      <c r="N185" s="312"/>
      <c r="O185" s="312"/>
      <c r="P185" s="312"/>
      <c r="Q185" s="312"/>
      <c r="R185" s="312"/>
      <c r="S185" s="312"/>
      <c r="T185" s="312"/>
      <c r="U185" s="312"/>
      <c r="V185" s="312"/>
      <c r="W185" s="312"/>
      <c r="X185" s="312"/>
      <c r="Y185" s="312"/>
      <c r="Z185" s="312"/>
      <c r="AA185" s="312"/>
      <c r="AB185" s="312"/>
      <c r="AC185" s="312"/>
      <c r="AD185" s="312"/>
      <c r="AE185" s="312"/>
      <c r="AF185" s="312"/>
      <c r="AG185" s="312"/>
      <c r="AH185" s="312"/>
      <c r="AI185" s="312"/>
      <c r="AJ185" s="312"/>
      <c r="AK185" s="312"/>
      <c r="AL185" s="312"/>
      <c r="AM185" s="312"/>
      <c r="AN185" s="312"/>
      <c r="AO185" s="312"/>
      <c r="AP185" s="312"/>
      <c r="AQ185" s="313"/>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row>
    <row r="186" spans="2:103" x14ac:dyDescent="0.2">
      <c r="B186" s="309" t="s">
        <v>348</v>
      </c>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0"/>
      <c r="AF186" s="310"/>
      <c r="AG186" s="310"/>
      <c r="AH186" s="310"/>
      <c r="AI186" s="310"/>
      <c r="AJ186" s="310"/>
      <c r="AK186" s="310"/>
      <c r="AL186" s="310"/>
      <c r="AM186" s="310"/>
      <c r="AN186" s="310"/>
      <c r="AO186" s="310"/>
      <c r="AP186" s="310"/>
      <c r="AQ186" s="310"/>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2:103" x14ac:dyDescent="0.2">
      <c r="B187" s="277" t="s">
        <v>349</v>
      </c>
      <c r="C187" s="207"/>
      <c r="D187" s="207"/>
      <c r="E187" s="207"/>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2:103" x14ac:dyDescent="0.2">
      <c r="B188" s="277" t="s">
        <v>359</v>
      </c>
      <c r="C188" s="207"/>
      <c r="D188" s="207"/>
      <c r="E188" s="207"/>
      <c r="F188" s="207"/>
      <c r="G188" s="207"/>
      <c r="H188" s="207"/>
      <c r="I188" s="207"/>
      <c r="J188" s="207"/>
      <c r="K188" s="207"/>
      <c r="L188" s="207"/>
      <c r="M188" s="207"/>
      <c r="N188" s="207"/>
      <c r="O188" s="207"/>
      <c r="P188" s="207"/>
      <c r="Q188" s="207"/>
      <c r="R188" s="207"/>
      <c r="S188" s="207"/>
      <c r="T188" s="207"/>
      <c r="U188" s="207"/>
      <c r="V188" s="207"/>
      <c r="W188" s="207"/>
      <c r="X188" s="207"/>
      <c r="Y188" s="207"/>
      <c r="Z188" s="207"/>
      <c r="AA188" s="207"/>
      <c r="AB188" s="207"/>
      <c r="AC188" s="207"/>
      <c r="AD188" s="207"/>
      <c r="AE188" s="207"/>
      <c r="AF188" s="207"/>
      <c r="AG188" s="207"/>
      <c r="AH188" s="207"/>
      <c r="AI188" s="207"/>
      <c r="AJ188" s="207"/>
      <c r="AK188" s="207"/>
      <c r="AL188" s="207"/>
      <c r="AM188" s="207"/>
      <c r="AN188" s="207"/>
      <c r="AO188" s="207"/>
      <c r="AP188" s="207"/>
      <c r="AQ188" s="207"/>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row r="189" spans="2:103" x14ac:dyDescent="0.2">
      <c r="B189" s="307" t="s">
        <v>317</v>
      </c>
      <c r="C189" s="308"/>
      <c r="D189" s="308"/>
      <c r="E189" s="308"/>
      <c r="F189" s="308"/>
      <c r="G189" s="308"/>
      <c r="H189" s="308"/>
      <c r="I189" s="308"/>
      <c r="J189" s="308"/>
      <c r="K189" s="308"/>
      <c r="L189" s="308"/>
      <c r="M189" s="308"/>
      <c r="N189" s="308"/>
      <c r="O189" s="308"/>
      <c r="P189" s="308"/>
      <c r="Q189" s="308"/>
      <c r="R189" s="308"/>
      <c r="S189" s="308"/>
      <c r="T189" s="308"/>
      <c r="U189" s="308"/>
      <c r="V189" s="308"/>
      <c r="W189" s="308"/>
      <c r="X189" s="308"/>
      <c r="Y189" s="308"/>
      <c r="Z189" s="308"/>
      <c r="AA189" s="308"/>
      <c r="AB189" s="308"/>
      <c r="AC189" s="308"/>
      <c r="AD189" s="308"/>
      <c r="AE189" s="308"/>
      <c r="AF189" s="308"/>
      <c r="AG189" s="308"/>
      <c r="AH189" s="308"/>
      <c r="AI189" s="308"/>
      <c r="AJ189" s="308"/>
      <c r="AK189" s="308"/>
      <c r="AL189" s="308"/>
      <c r="AM189" s="308"/>
      <c r="AN189" s="308"/>
      <c r="AO189" s="308"/>
      <c r="AP189" s="308"/>
      <c r="AQ189" s="308"/>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row>
    <row r="190" spans="2:103" x14ac:dyDescent="0.2">
      <c r="B190" s="311" t="s">
        <v>352</v>
      </c>
      <c r="C190" s="312"/>
      <c r="D190" s="312"/>
      <c r="E190" s="312"/>
      <c r="F190" s="312"/>
      <c r="G190" s="312"/>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3"/>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row>
    <row r="191" spans="2:103" x14ac:dyDescent="0.2">
      <c r="B191" s="309" t="s">
        <v>346</v>
      </c>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row>
    <row r="192" spans="2:103" x14ac:dyDescent="0.2">
      <c r="B192" s="277" t="s">
        <v>347</v>
      </c>
      <c r="C192" s="207"/>
      <c r="D192" s="207"/>
      <c r="E192" s="207"/>
      <c r="F192" s="207"/>
      <c r="G192" s="207"/>
      <c r="H192" s="207"/>
      <c r="I192" s="207"/>
      <c r="J192" s="207"/>
      <c r="K192" s="207"/>
      <c r="L192" s="207"/>
      <c r="M192" s="207"/>
      <c r="N192" s="207"/>
      <c r="O192" s="207"/>
      <c r="P192" s="207"/>
      <c r="Q192" s="207"/>
      <c r="R192" s="207"/>
      <c r="S192" s="207"/>
      <c r="T192" s="207"/>
      <c r="U192" s="207"/>
      <c r="V192" s="207"/>
      <c r="W192" s="207"/>
      <c r="X192" s="207"/>
      <c r="Y192" s="207"/>
      <c r="Z192" s="207"/>
      <c r="AA192" s="207"/>
      <c r="AB192" s="207"/>
      <c r="AC192" s="207"/>
      <c r="AD192" s="207"/>
      <c r="AE192" s="207"/>
      <c r="AF192" s="207"/>
      <c r="AG192" s="207"/>
      <c r="AH192" s="207"/>
      <c r="AI192" s="207"/>
      <c r="AJ192" s="207"/>
      <c r="AK192" s="207"/>
      <c r="AL192" s="207"/>
      <c r="AM192" s="207"/>
      <c r="AN192" s="207"/>
      <c r="AO192" s="207"/>
      <c r="AP192" s="207"/>
      <c r="AQ192" s="207"/>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row>
    <row r="193" spans="2:103" x14ac:dyDescent="0.2">
      <c r="B193" s="277" t="s">
        <v>366</v>
      </c>
      <c r="C193" s="207"/>
      <c r="D193" s="207"/>
      <c r="E193" s="207"/>
      <c r="F193" s="207"/>
      <c r="G193" s="207"/>
      <c r="H193" s="207"/>
      <c r="I193" s="207"/>
      <c r="J193" s="207"/>
      <c r="K193" s="207"/>
      <c r="L193" s="207"/>
      <c r="M193" s="207"/>
      <c r="N193" s="207"/>
      <c r="O193" s="207"/>
      <c r="P193" s="207"/>
      <c r="Q193" s="207"/>
      <c r="R193" s="207"/>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row>
    <row r="194" spans="2:103" x14ac:dyDescent="0.2">
      <c r="B194" s="277" t="s">
        <v>350</v>
      </c>
      <c r="C194" s="207"/>
      <c r="D194" s="207"/>
      <c r="E194" s="207"/>
      <c r="F194" s="207"/>
      <c r="G194" s="207"/>
      <c r="H194" s="207"/>
      <c r="I194" s="207"/>
      <c r="J194" s="207"/>
      <c r="K194" s="207"/>
      <c r="L194" s="207"/>
      <c r="M194" s="207"/>
      <c r="N194" s="207"/>
      <c r="O194" s="207"/>
      <c r="P194" s="207"/>
      <c r="Q194" s="207"/>
      <c r="R194" s="207"/>
      <c r="S194" s="207"/>
      <c r="T194" s="207"/>
      <c r="U194" s="207"/>
      <c r="V194" s="207"/>
      <c r="W194" s="207"/>
      <c r="X194" s="207"/>
      <c r="Y194" s="207"/>
      <c r="Z194" s="207"/>
      <c r="AA194" s="207"/>
      <c r="AB194" s="207"/>
      <c r="AC194" s="207"/>
      <c r="AD194" s="207"/>
      <c r="AE194" s="207"/>
      <c r="AF194" s="207"/>
      <c r="AG194" s="207"/>
      <c r="AH194" s="207"/>
      <c r="AI194" s="207"/>
      <c r="AJ194" s="207"/>
      <c r="AK194" s="207"/>
      <c r="AL194" s="207"/>
      <c r="AM194" s="207"/>
      <c r="AN194" s="207"/>
      <c r="AO194" s="207"/>
      <c r="AP194" s="207"/>
      <c r="AQ194" s="207"/>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row>
    <row r="195" spans="2:103" x14ac:dyDescent="0.2">
      <c r="B195" s="307" t="s">
        <v>390</v>
      </c>
      <c r="C195" s="308"/>
      <c r="D195" s="308"/>
      <c r="E195" s="308"/>
      <c r="F195" s="308"/>
      <c r="G195" s="308"/>
      <c r="H195" s="308"/>
      <c r="I195" s="308"/>
      <c r="J195" s="308"/>
      <c r="K195" s="308"/>
      <c r="L195" s="308"/>
      <c r="M195" s="308"/>
      <c r="N195" s="308"/>
      <c r="O195" s="308"/>
      <c r="P195" s="308"/>
      <c r="Q195" s="308"/>
      <c r="R195" s="308"/>
      <c r="S195" s="308"/>
      <c r="T195" s="308"/>
      <c r="U195" s="308"/>
      <c r="V195" s="308"/>
      <c r="W195" s="308"/>
      <c r="X195" s="308"/>
      <c r="Y195" s="308"/>
      <c r="Z195" s="308"/>
      <c r="AA195" s="308"/>
      <c r="AB195" s="308"/>
      <c r="AC195" s="308"/>
      <c r="AD195" s="308"/>
      <c r="AE195" s="308"/>
      <c r="AF195" s="308"/>
      <c r="AG195" s="308"/>
      <c r="AH195" s="308"/>
      <c r="AI195" s="308"/>
      <c r="AJ195" s="308"/>
      <c r="AK195" s="308"/>
      <c r="AL195" s="308"/>
      <c r="AM195" s="308"/>
      <c r="AN195" s="308"/>
      <c r="AO195" s="308"/>
      <c r="AP195" s="308"/>
      <c r="AQ195" s="308"/>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row>
    <row r="196" spans="2:103" x14ac:dyDescent="0.2">
      <c r="B196" s="311" t="s">
        <v>360</v>
      </c>
      <c r="C196" s="312"/>
      <c r="D196" s="312"/>
      <c r="E196" s="312"/>
      <c r="F196" s="312"/>
      <c r="G196" s="312"/>
      <c r="H196" s="312"/>
      <c r="I196" s="312"/>
      <c r="J196" s="312"/>
      <c r="K196" s="312"/>
      <c r="L196" s="312"/>
      <c r="M196" s="312"/>
      <c r="N196" s="312"/>
      <c r="O196" s="312"/>
      <c r="P196" s="312"/>
      <c r="Q196" s="312"/>
      <c r="R196" s="312"/>
      <c r="S196" s="312"/>
      <c r="T196" s="312"/>
      <c r="U196" s="312"/>
      <c r="V196" s="312"/>
      <c r="W196" s="312"/>
      <c r="X196" s="312"/>
      <c r="Y196" s="312"/>
      <c r="Z196" s="312"/>
      <c r="AA196" s="312"/>
      <c r="AB196" s="312"/>
      <c r="AC196" s="312"/>
      <c r="AD196" s="312"/>
      <c r="AE196" s="312"/>
      <c r="AF196" s="312"/>
      <c r="AG196" s="312"/>
      <c r="AH196" s="312"/>
      <c r="AI196" s="312"/>
      <c r="AJ196" s="312"/>
      <c r="AK196" s="312"/>
      <c r="AL196" s="312"/>
      <c r="AM196" s="312"/>
      <c r="AN196" s="312"/>
      <c r="AO196" s="312"/>
      <c r="AP196" s="312"/>
      <c r="AQ196" s="313"/>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row>
    <row r="197" spans="2:103" x14ac:dyDescent="0.2">
      <c r="B197" s="50" t="s">
        <v>353</v>
      </c>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0"/>
      <c r="AF197" s="310"/>
      <c r="AG197" s="310"/>
      <c r="AH197" s="310"/>
      <c r="AI197" s="310"/>
      <c r="AJ197" s="310"/>
      <c r="AK197" s="310"/>
      <c r="AL197" s="310"/>
      <c r="AM197" s="310"/>
      <c r="AN197" s="310"/>
      <c r="AO197" s="310"/>
      <c r="AP197" s="310"/>
      <c r="AQ197" s="310"/>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row>
    <row r="198" spans="2:103" x14ac:dyDescent="0.2">
      <c r="B198" s="40" t="s">
        <v>361</v>
      </c>
      <c r="C198" s="207"/>
      <c r="D198" s="207"/>
      <c r="E198" s="207"/>
      <c r="F198" s="207"/>
      <c r="G198" s="207"/>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row>
    <row r="199" spans="2:103" x14ac:dyDescent="0.2">
      <c r="B199" s="314" t="s">
        <v>362</v>
      </c>
      <c r="C199" s="308"/>
      <c r="D199" s="308"/>
      <c r="E199" s="308"/>
      <c r="F199" s="308"/>
      <c r="G199" s="308"/>
      <c r="H199" s="308"/>
      <c r="I199" s="308"/>
      <c r="J199" s="308"/>
      <c r="K199" s="308"/>
      <c r="L199" s="308"/>
      <c r="M199" s="308"/>
      <c r="N199" s="308"/>
      <c r="O199" s="308"/>
      <c r="P199" s="308"/>
      <c r="Q199" s="308"/>
      <c r="R199" s="308"/>
      <c r="S199" s="308"/>
      <c r="T199" s="308"/>
      <c r="U199" s="308"/>
      <c r="V199" s="308"/>
      <c r="W199" s="308"/>
      <c r="X199" s="308"/>
      <c r="Y199" s="308"/>
      <c r="Z199" s="308"/>
      <c r="AA199" s="308"/>
      <c r="AB199" s="308"/>
      <c r="AC199" s="308"/>
      <c r="AD199" s="308"/>
      <c r="AE199" s="308"/>
      <c r="AF199" s="308"/>
      <c r="AG199" s="308"/>
      <c r="AH199" s="308"/>
      <c r="AI199" s="308"/>
      <c r="AJ199" s="308"/>
      <c r="AK199" s="308"/>
      <c r="AL199" s="308"/>
      <c r="AM199" s="308"/>
      <c r="AN199" s="308"/>
      <c r="AO199" s="308"/>
      <c r="AP199" s="308"/>
      <c r="AQ199" s="308"/>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row>
    <row r="200" spans="2:103" x14ac:dyDescent="0.2">
      <c r="B200" s="311" t="s">
        <v>363</v>
      </c>
      <c r="C200" s="312"/>
      <c r="D200" s="312"/>
      <c r="E200" s="312"/>
      <c r="F200" s="312"/>
      <c r="G200" s="312"/>
      <c r="H200" s="312"/>
      <c r="I200" s="312"/>
      <c r="J200" s="312"/>
      <c r="K200" s="312"/>
      <c r="L200" s="312"/>
      <c r="M200" s="312"/>
      <c r="N200" s="312"/>
      <c r="O200" s="312"/>
      <c r="P200" s="312"/>
      <c r="Q200" s="312"/>
      <c r="R200" s="312"/>
      <c r="S200" s="312"/>
      <c r="T200" s="312"/>
      <c r="U200" s="312"/>
      <c r="V200" s="312"/>
      <c r="W200" s="312"/>
      <c r="X200" s="312"/>
      <c r="Y200" s="312"/>
      <c r="Z200" s="312"/>
      <c r="AA200" s="312"/>
      <c r="AB200" s="312"/>
      <c r="AC200" s="312"/>
      <c r="AD200" s="312"/>
      <c r="AE200" s="312"/>
      <c r="AF200" s="312"/>
      <c r="AG200" s="312"/>
      <c r="AH200" s="312"/>
      <c r="AI200" s="312"/>
      <c r="AJ200" s="312"/>
      <c r="AK200" s="312"/>
      <c r="AL200" s="312"/>
      <c r="AM200" s="312"/>
      <c r="AN200" s="312"/>
      <c r="AO200" s="312"/>
      <c r="AP200" s="312"/>
      <c r="AQ200" s="313"/>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row>
    <row r="201" spans="2:103" x14ac:dyDescent="0.2">
      <c r="B201" s="315" t="s">
        <v>364</v>
      </c>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0"/>
      <c r="AF201" s="310"/>
      <c r="AG201" s="310"/>
      <c r="AH201" s="310"/>
      <c r="AI201" s="310"/>
      <c r="AJ201" s="310"/>
      <c r="AK201" s="310"/>
      <c r="AL201" s="310"/>
      <c r="AM201" s="310"/>
      <c r="AN201" s="310"/>
      <c r="AO201" s="310"/>
      <c r="AP201" s="310"/>
      <c r="AQ201" s="310"/>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row>
    <row r="202" spans="2:103" x14ac:dyDescent="0.2">
      <c r="B202" s="274" t="s">
        <v>298</v>
      </c>
      <c r="AQ202" s="237"/>
    </row>
    <row r="203" spans="2:103" x14ac:dyDescent="0.2">
      <c r="B203" s="275" t="s">
        <v>318</v>
      </c>
      <c r="C203" s="330">
        <v>2320890</v>
      </c>
      <c r="D203" s="260">
        <v>1714.49</v>
      </c>
      <c r="E203" s="260">
        <v>1433.79</v>
      </c>
      <c r="F203" s="260">
        <v>1144.48</v>
      </c>
      <c r="G203" s="260">
        <v>846.32299999999998</v>
      </c>
      <c r="H203" s="260">
        <v>539.09400000000005</v>
      </c>
      <c r="I203" s="260">
        <v>222.559</v>
      </c>
      <c r="J203" s="260">
        <v>-103.523</v>
      </c>
      <c r="K203" s="260">
        <v>-439.399</v>
      </c>
      <c r="L203" s="260">
        <v>-785.32100000000003</v>
      </c>
      <c r="M203" s="260">
        <v>-1141.55</v>
      </c>
      <c r="N203" s="260">
        <v>-1508.35</v>
      </c>
      <c r="O203" s="260">
        <v>-1885.99</v>
      </c>
      <c r="P203" s="260">
        <v>-2274.7600000000002</v>
      </c>
      <c r="Q203" s="260">
        <v>-2674.94</v>
      </c>
      <c r="R203" s="260">
        <v>359214</v>
      </c>
      <c r="S203" s="260">
        <v>-3510.71</v>
      </c>
      <c r="T203" s="260">
        <v>-3946.91</v>
      </c>
      <c r="U203" s="260">
        <v>0</v>
      </c>
      <c r="V203" s="260">
        <v>0</v>
      </c>
      <c r="W203" s="260">
        <v>0</v>
      </c>
      <c r="X203" s="260">
        <v>0</v>
      </c>
      <c r="Y203" s="260">
        <v>0</v>
      </c>
      <c r="Z203" s="260">
        <v>0</v>
      </c>
      <c r="AA203" s="260">
        <v>0</v>
      </c>
      <c r="AB203" s="260">
        <v>0</v>
      </c>
      <c r="AC203" s="260"/>
      <c r="AD203" s="260"/>
      <c r="AE203" s="260"/>
      <c r="AF203" s="260"/>
      <c r="AG203" s="260"/>
      <c r="AH203" s="260"/>
      <c r="AI203" s="260"/>
      <c r="AJ203" s="260"/>
      <c r="AK203" s="260"/>
      <c r="AL203" s="260"/>
      <c r="AM203" s="260"/>
      <c r="AN203" s="260"/>
      <c r="AO203" s="260"/>
      <c r="AP203" s="260"/>
      <c r="AQ203" s="260"/>
    </row>
    <row r="204" spans="2:103" x14ac:dyDescent="0.2">
      <c r="B204" s="275" t="s">
        <v>319</v>
      </c>
      <c r="C204" s="263">
        <v>0</v>
      </c>
      <c r="D204" s="263">
        <v>0</v>
      </c>
      <c r="E204" s="263">
        <v>0</v>
      </c>
      <c r="F204" s="263">
        <v>0</v>
      </c>
      <c r="G204" s="263">
        <v>0</v>
      </c>
      <c r="H204" s="263">
        <v>0</v>
      </c>
      <c r="I204" s="263">
        <v>0</v>
      </c>
      <c r="J204" s="263">
        <v>0</v>
      </c>
      <c r="K204" s="263">
        <v>0</v>
      </c>
      <c r="L204" s="263">
        <v>0</v>
      </c>
      <c r="M204" s="263">
        <v>0</v>
      </c>
      <c r="N204" s="263">
        <v>0</v>
      </c>
      <c r="O204" s="263">
        <v>0</v>
      </c>
      <c r="P204" s="263">
        <v>0</v>
      </c>
      <c r="Q204" s="263">
        <v>0</v>
      </c>
      <c r="R204" s="263">
        <v>0</v>
      </c>
      <c r="S204" s="263">
        <v>0</v>
      </c>
      <c r="T204" s="263">
        <v>0</v>
      </c>
      <c r="U204" s="322">
        <v>-2667730</v>
      </c>
      <c r="V204" s="263">
        <v>0</v>
      </c>
      <c r="W204" s="263">
        <v>0</v>
      </c>
      <c r="X204" s="263">
        <v>0</v>
      </c>
      <c r="Y204" s="263">
        <v>0</v>
      </c>
      <c r="Z204" s="263">
        <v>0</v>
      </c>
      <c r="AA204" s="263">
        <v>0</v>
      </c>
      <c r="AB204" s="263">
        <v>0</v>
      </c>
      <c r="AC204" s="263"/>
      <c r="AD204" s="263"/>
      <c r="AE204" s="263"/>
      <c r="AF204" s="263"/>
      <c r="AG204" s="263"/>
      <c r="AH204" s="263"/>
      <c r="AI204" s="263"/>
      <c r="AJ204" s="263"/>
      <c r="AK204" s="263"/>
      <c r="AL204" s="263"/>
      <c r="AM204" s="263"/>
      <c r="AN204" s="263"/>
      <c r="AO204" s="263"/>
      <c r="AP204" s="263"/>
      <c r="AQ204" s="263"/>
    </row>
    <row r="205" spans="2:103" x14ac:dyDescent="0.2">
      <c r="B205" s="275" t="s">
        <v>320</v>
      </c>
      <c r="C205" s="322">
        <v>2320890</v>
      </c>
      <c r="D205" s="322">
        <v>2322610</v>
      </c>
      <c r="E205" s="322">
        <v>2324040</v>
      </c>
      <c r="F205" s="322">
        <v>2325180</v>
      </c>
      <c r="G205" s="322">
        <v>2326030</v>
      </c>
      <c r="H205" s="322">
        <v>2326570</v>
      </c>
      <c r="I205" s="322">
        <v>2326790</v>
      </c>
      <c r="J205" s="322">
        <v>2326690</v>
      </c>
      <c r="K205" s="322">
        <v>2326250</v>
      </c>
      <c r="L205" s="322">
        <v>2325460</v>
      </c>
      <c r="M205" s="322">
        <v>2324320</v>
      </c>
      <c r="N205" s="322">
        <v>2322810</v>
      </c>
      <c r="O205" s="322">
        <v>2320930</v>
      </c>
      <c r="P205" s="322">
        <v>2318650</v>
      </c>
      <c r="Q205" s="322">
        <v>2315980</v>
      </c>
      <c r="R205" s="322">
        <v>2675190</v>
      </c>
      <c r="S205" s="322">
        <v>2671680</v>
      </c>
      <c r="T205" s="322">
        <v>2667730</v>
      </c>
      <c r="U205" s="263">
        <v>0</v>
      </c>
      <c r="V205" s="263">
        <v>0</v>
      </c>
      <c r="W205" s="263">
        <v>0</v>
      </c>
      <c r="X205" s="263">
        <v>0</v>
      </c>
      <c r="Y205" s="263">
        <v>0</v>
      </c>
      <c r="Z205" s="263">
        <v>0</v>
      </c>
      <c r="AA205" s="263">
        <v>0</v>
      </c>
      <c r="AB205" s="263">
        <v>0</v>
      </c>
      <c r="AC205" s="263"/>
      <c r="AD205" s="263"/>
      <c r="AE205" s="263"/>
      <c r="AF205" s="263"/>
      <c r="AG205" s="263"/>
      <c r="AH205" s="263"/>
      <c r="AI205" s="263"/>
      <c r="AJ205" s="263"/>
      <c r="AK205" s="263"/>
      <c r="AL205" s="263"/>
      <c r="AM205" s="263"/>
      <c r="AN205" s="263"/>
      <c r="AO205" s="263"/>
      <c r="AP205" s="263"/>
      <c r="AQ205" s="263"/>
    </row>
    <row r="206" spans="2:103" x14ac:dyDescent="0.2">
      <c r="B206" s="274" t="s">
        <v>325</v>
      </c>
      <c r="AQ206" s="31"/>
    </row>
    <row r="207" spans="2:103" x14ac:dyDescent="0.2">
      <c r="B207" s="275" t="s">
        <v>326</v>
      </c>
      <c r="C207" s="37"/>
      <c r="D207" s="260">
        <v>0</v>
      </c>
      <c r="E207" s="260"/>
      <c r="F207" s="260"/>
      <c r="G207" s="260"/>
      <c r="H207" s="260"/>
      <c r="I207" s="260"/>
      <c r="J207" s="260"/>
      <c r="K207" s="260"/>
      <c r="L207" s="260"/>
      <c r="M207" s="260"/>
      <c r="N207" s="260"/>
      <c r="O207" s="260"/>
      <c r="P207" s="260"/>
      <c r="Q207" s="260"/>
      <c r="R207" s="260"/>
      <c r="S207" s="260"/>
      <c r="T207" s="260"/>
      <c r="U207" s="260"/>
      <c r="V207" s="260"/>
      <c r="W207" s="260"/>
      <c r="X207" s="260"/>
      <c r="Y207" s="260"/>
      <c r="Z207" s="260"/>
      <c r="AA207" s="260"/>
      <c r="AB207" s="260"/>
      <c r="AC207" s="260"/>
      <c r="AD207" s="260"/>
      <c r="AE207" s="260"/>
      <c r="AF207" s="260"/>
      <c r="AG207" s="260"/>
      <c r="AH207" s="260"/>
      <c r="AI207" s="260"/>
      <c r="AJ207" s="260"/>
      <c r="AK207" s="260"/>
      <c r="AL207" s="260"/>
      <c r="AM207" s="260"/>
      <c r="AN207" s="260"/>
      <c r="AO207" s="260"/>
      <c r="AP207" s="260"/>
      <c r="AQ207" s="260"/>
    </row>
    <row r="208" spans="2:103" x14ac:dyDescent="0.2">
      <c r="B208" s="290" t="s">
        <v>365</v>
      </c>
      <c r="C208" s="162"/>
      <c r="AQ208" s="318"/>
    </row>
    <row r="209" spans="2:43" x14ac:dyDescent="0.2">
      <c r="B209" s="275" t="s">
        <v>357</v>
      </c>
      <c r="C209" s="260"/>
      <c r="D209" s="260"/>
      <c r="E209" s="260"/>
      <c r="F209" s="260"/>
      <c r="G209" s="260"/>
      <c r="H209" s="260"/>
      <c r="I209" s="260"/>
      <c r="J209" s="260"/>
      <c r="K209" s="260"/>
      <c r="L209" s="260"/>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row>
    <row r="210" spans="2:43" x14ac:dyDescent="0.2">
      <c r="B210" s="275" t="s">
        <v>408</v>
      </c>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0"/>
      <c r="Z210" s="260"/>
      <c r="AA210" s="260"/>
      <c r="AB210" s="260"/>
      <c r="AC210" s="260"/>
      <c r="AD210" s="260"/>
      <c r="AE210" s="260"/>
      <c r="AF210" s="260"/>
      <c r="AG210" s="260"/>
      <c r="AH210" s="260"/>
      <c r="AI210" s="260"/>
      <c r="AJ210" s="260"/>
      <c r="AK210" s="260"/>
      <c r="AL210" s="260"/>
      <c r="AM210" s="260"/>
      <c r="AN210" s="260"/>
      <c r="AO210" s="260"/>
      <c r="AP210" s="260"/>
      <c r="AQ210" s="260"/>
    </row>
    <row r="211" spans="2:43" x14ac:dyDescent="0.2">
      <c r="B211" s="290" t="s">
        <v>377</v>
      </c>
      <c r="C211" s="162"/>
      <c r="AQ211" s="318"/>
    </row>
    <row r="212" spans="2:43" x14ac:dyDescent="0.2">
      <c r="B212" s="275" t="s">
        <v>378</v>
      </c>
      <c r="C212" s="182"/>
      <c r="D212" s="206"/>
      <c r="E212" s="206"/>
      <c r="F212" s="206"/>
      <c r="G212" s="206"/>
      <c r="H212" s="206"/>
      <c r="I212" s="206"/>
      <c r="J212" s="206"/>
      <c r="K212" s="206"/>
      <c r="L212" s="206"/>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row>
  </sheetData>
  <mergeCells count="1">
    <mergeCell ref="E101:F101"/>
  </mergeCells>
  <dataValidations disablePrompts="1" xWindow="485" yWindow="427" count="8">
    <dataValidation type="list" allowBlank="1" showInputMessage="1" showErrorMessage="1" sqref="H133:H134 E103:F104 E106:F107 E125:H128 F130:G134 E120:H123 E115:H118 D137:G143" xr:uid="{00000000-0002-0000-0000-000000000000}">
      <formula1>"Yes,No"</formula1>
    </dataValidation>
    <dataValidation type="list" allowBlank="1" showInputMessage="1" showErrorMessage="1" sqref="N8 N10:N27" xr:uid="{00000000-0002-0000-0000-000001000000}">
      <formula1>"Initial Year Input, Annual Inputs"</formula1>
    </dataValidation>
    <dataValidation type="list" allowBlank="1" showInputMessage="1" errorTitle="State Depreciation Treatment" error="The single owner workbook does not handle custom depreciation schedules." sqref="C98" xr:uid="{00000000-0002-0000-0000-000002000000}">
      <formula1>$B$137:$B$143</formula1>
    </dataValidation>
    <dataValidation allowBlank="1" showInputMessage="1" showErrorMessage="1" sqref="W9 AH9 G40:J40" xr:uid="{00000000-0002-0000-0000-000003000000}"/>
    <dataValidation allowBlank="1" sqref="C45" xr:uid="{00000000-0002-0000-0000-000004000000}"/>
    <dataValidation errorTitle="Salvage Value" error="This is a calculated value shown for reference -- it should match the value in SAM. It is not used in the single owner workbook calculations." sqref="C54" xr:uid="{00000000-0002-0000-0000-000005000000}"/>
    <dataValidation type="custom" showErrorMessage="1" errorTitle="Target Year Error" error="Please enter a target year less than or equal to the analysis period." sqref="C31" xr:uid="{00000000-0002-0000-0000-000006000000}">
      <formula1>C31&lt;=C38</formula1>
    </dataValidation>
    <dataValidation type="list" allowBlank="1" showInputMessage="1" errorTitle="Federal Depreciation Treatment" sqref="C97" xr:uid="{00000000-0002-0000-0000-000007000000}">
      <formula1>$B$137:$B$143</formula1>
    </dataValidation>
  </dataValidations>
  <pageMargins left="0.5" right="0.5" top="0.5" bottom="0.75" header="0.3" footer="0.3"/>
  <pageSetup scale="73" pageOrder="overThenDown" orientation="landscape" horizontalDpi="4294967294" r:id="rId1"/>
  <rowBreaks count="1" manualBreakCount="1">
    <brk id="111"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P729"/>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48.8554687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23" t="s">
        <v>215</v>
      </c>
    </row>
    <row r="2" spans="1:42" x14ac:dyDescent="0.2">
      <c r="A2" s="84" t="s">
        <v>1</v>
      </c>
      <c r="B2" s="16">
        <v>0</v>
      </c>
      <c r="C2" s="16">
        <f t="shared" ref="C2:AP2" si="0">IF(B2&lt;analysis_period,B2+1,"")</f>
        <v>1</v>
      </c>
      <c r="D2" s="16">
        <f t="shared" si="0"/>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t="str">
        <f t="shared" si="0"/>
        <v/>
      </c>
      <c r="AC2" s="16" t="str">
        <f t="shared" si="0"/>
        <v/>
      </c>
      <c r="AD2" s="16" t="str">
        <f t="shared" si="0"/>
        <v/>
      </c>
      <c r="AE2" s="16" t="str">
        <f t="shared" si="0"/>
        <v/>
      </c>
      <c r="AF2" s="16" t="str">
        <f t="shared" si="0"/>
        <v/>
      </c>
      <c r="AG2" s="16" t="str">
        <f t="shared" si="0"/>
        <v/>
      </c>
      <c r="AH2" s="16" t="str">
        <f t="shared" si="0"/>
        <v/>
      </c>
      <c r="AI2" s="16" t="str">
        <f t="shared" si="0"/>
        <v/>
      </c>
      <c r="AJ2" s="16" t="str">
        <f t="shared" si="0"/>
        <v/>
      </c>
      <c r="AK2" s="16" t="str">
        <f t="shared" si="0"/>
        <v/>
      </c>
      <c r="AL2" s="16" t="str">
        <f t="shared" si="0"/>
        <v/>
      </c>
      <c r="AM2" s="16" t="str">
        <f t="shared" si="0"/>
        <v/>
      </c>
      <c r="AN2" s="16" t="str">
        <f t="shared" si="0"/>
        <v/>
      </c>
      <c r="AO2" s="16" t="str">
        <f t="shared" si="0"/>
        <v/>
      </c>
      <c r="AP2" s="16" t="str">
        <f t="shared" si="0"/>
        <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4" t="s">
        <v>335</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367</v>
      </c>
      <c r="B5" s="157">
        <f t="array" ref="B5:AP5">Inputs!C149:AQ149</f>
        <v>0</v>
      </c>
      <c r="C5" s="157">
        <v>211907000</v>
      </c>
      <c r="D5" s="157">
        <v>210848000</v>
      </c>
      <c r="E5" s="157">
        <v>209794000</v>
      </c>
      <c r="F5" s="157">
        <v>208745000</v>
      </c>
      <c r="G5" s="157">
        <v>207701000</v>
      </c>
      <c r="H5" s="157">
        <v>206662000</v>
      </c>
      <c r="I5" s="157">
        <v>205629000</v>
      </c>
      <c r="J5" s="157">
        <v>204601000</v>
      </c>
      <c r="K5" s="157">
        <v>203578000</v>
      </c>
      <c r="L5" s="157">
        <v>202560000</v>
      </c>
      <c r="M5" s="157">
        <v>201547000</v>
      </c>
      <c r="N5" s="157">
        <v>200540000</v>
      </c>
      <c r="O5" s="157">
        <v>199537000</v>
      </c>
      <c r="P5" s="157">
        <v>198539000</v>
      </c>
      <c r="Q5" s="157">
        <v>197547000</v>
      </c>
      <c r="R5" s="157">
        <v>196559000</v>
      </c>
      <c r="S5" s="157">
        <v>195576000</v>
      </c>
      <c r="T5" s="157">
        <v>194598000</v>
      </c>
      <c r="U5" s="157">
        <v>193625000</v>
      </c>
      <c r="V5" s="157">
        <v>192657000</v>
      </c>
      <c r="W5" s="157">
        <v>191694000</v>
      </c>
      <c r="X5" s="157">
        <v>190735000</v>
      </c>
      <c r="Y5" s="157">
        <v>189782000</v>
      </c>
      <c r="Z5" s="157">
        <v>188833000</v>
      </c>
      <c r="AA5" s="157">
        <v>187888000</v>
      </c>
      <c r="AB5" s="157">
        <v>0</v>
      </c>
      <c r="AC5" s="157">
        <v>0</v>
      </c>
      <c r="AD5" s="157">
        <v>0</v>
      </c>
      <c r="AE5" s="157">
        <v>0</v>
      </c>
      <c r="AF5" s="157">
        <v>0</v>
      </c>
      <c r="AG5" s="157">
        <v>0</v>
      </c>
      <c r="AH5" s="157">
        <v>0</v>
      </c>
      <c r="AI5" s="157">
        <v>0</v>
      </c>
      <c r="AJ5" s="157">
        <v>0</v>
      </c>
      <c r="AK5" s="157">
        <v>0</v>
      </c>
      <c r="AL5" s="157">
        <v>0</v>
      </c>
      <c r="AM5" s="157">
        <v>0</v>
      </c>
      <c r="AN5" s="157">
        <v>0</v>
      </c>
      <c r="AO5" s="157">
        <v>0</v>
      </c>
      <c r="AP5" s="157">
        <v>0</v>
      </c>
    </row>
    <row r="6" spans="1:42" x14ac:dyDescent="0.2">
      <c r="A6" s="4" t="s">
        <v>368</v>
      </c>
      <c r="B6" s="300">
        <f t="array" ref="B6:AP6">Inputs!C150:AQ150</f>
        <v>0</v>
      </c>
      <c r="C6" s="300">
        <v>0</v>
      </c>
      <c r="D6" s="300">
        <v>0</v>
      </c>
      <c r="E6" s="300">
        <v>0</v>
      </c>
      <c r="F6" s="300">
        <v>0</v>
      </c>
      <c r="G6" s="300">
        <v>0</v>
      </c>
      <c r="H6" s="300">
        <v>0</v>
      </c>
      <c r="I6" s="300">
        <v>0</v>
      </c>
      <c r="J6" s="300">
        <v>0</v>
      </c>
      <c r="K6" s="300">
        <v>0</v>
      </c>
      <c r="L6" s="300">
        <v>0</v>
      </c>
      <c r="M6" s="300">
        <v>0</v>
      </c>
      <c r="N6" s="300">
        <v>0</v>
      </c>
      <c r="O6" s="300">
        <v>0</v>
      </c>
      <c r="P6" s="300">
        <v>0</v>
      </c>
      <c r="Q6" s="300">
        <v>0</v>
      </c>
      <c r="R6" s="300">
        <v>0</v>
      </c>
      <c r="S6" s="300">
        <v>0</v>
      </c>
      <c r="T6" s="300">
        <v>0</v>
      </c>
      <c r="U6" s="300">
        <v>0</v>
      </c>
      <c r="V6" s="300">
        <v>0</v>
      </c>
      <c r="W6" s="300">
        <v>0</v>
      </c>
      <c r="X6" s="300">
        <v>0</v>
      </c>
      <c r="Y6" s="300">
        <v>0</v>
      </c>
      <c r="Z6" s="300">
        <v>0</v>
      </c>
      <c r="AA6" s="300">
        <v>0</v>
      </c>
      <c r="AB6" s="300">
        <v>0</v>
      </c>
      <c r="AC6" s="300">
        <v>0</v>
      </c>
      <c r="AD6" s="300">
        <v>0</v>
      </c>
      <c r="AE6" s="300">
        <v>0</v>
      </c>
      <c r="AF6" s="300">
        <v>0</v>
      </c>
      <c r="AG6" s="300">
        <v>0</v>
      </c>
      <c r="AH6" s="300">
        <v>0</v>
      </c>
      <c r="AI6" s="300">
        <v>0</v>
      </c>
      <c r="AJ6" s="300">
        <v>0</v>
      </c>
      <c r="AK6" s="300">
        <v>0</v>
      </c>
      <c r="AL6" s="300">
        <v>0</v>
      </c>
      <c r="AM6" s="300">
        <v>0</v>
      </c>
      <c r="AN6" s="300">
        <v>0</v>
      </c>
      <c r="AO6" s="300">
        <v>0</v>
      </c>
      <c r="AP6" s="300">
        <v>0</v>
      </c>
    </row>
    <row r="7" spans="1:42" x14ac:dyDescent="0.2">
      <c r="A7" s="18" t="s">
        <v>386</v>
      </c>
      <c r="B7" s="303">
        <f>SUM(B5:B6)</f>
        <v>0</v>
      </c>
      <c r="C7" s="303">
        <f t="shared" ref="C7:AP7" si="1">SUM(C5:C6)</f>
        <v>211907000</v>
      </c>
      <c r="D7" s="303">
        <f t="shared" si="1"/>
        <v>210848000</v>
      </c>
      <c r="E7" s="303">
        <f t="shared" si="1"/>
        <v>209794000</v>
      </c>
      <c r="F7" s="303">
        <f t="shared" si="1"/>
        <v>208745000</v>
      </c>
      <c r="G7" s="303">
        <f t="shared" si="1"/>
        <v>207701000</v>
      </c>
      <c r="H7" s="303">
        <f t="shared" si="1"/>
        <v>206662000</v>
      </c>
      <c r="I7" s="303">
        <f t="shared" si="1"/>
        <v>205629000</v>
      </c>
      <c r="J7" s="303">
        <f t="shared" si="1"/>
        <v>204601000</v>
      </c>
      <c r="K7" s="303">
        <f t="shared" si="1"/>
        <v>203578000</v>
      </c>
      <c r="L7" s="303">
        <f t="shared" si="1"/>
        <v>202560000</v>
      </c>
      <c r="M7" s="303">
        <f t="shared" si="1"/>
        <v>201547000</v>
      </c>
      <c r="N7" s="303">
        <f t="shared" si="1"/>
        <v>200540000</v>
      </c>
      <c r="O7" s="303">
        <f t="shared" si="1"/>
        <v>199537000</v>
      </c>
      <c r="P7" s="303">
        <f t="shared" si="1"/>
        <v>198539000</v>
      </c>
      <c r="Q7" s="303">
        <f t="shared" si="1"/>
        <v>197547000</v>
      </c>
      <c r="R7" s="303">
        <f t="shared" si="1"/>
        <v>196559000</v>
      </c>
      <c r="S7" s="303">
        <f t="shared" si="1"/>
        <v>195576000</v>
      </c>
      <c r="T7" s="303">
        <f t="shared" si="1"/>
        <v>194598000</v>
      </c>
      <c r="U7" s="303">
        <f t="shared" si="1"/>
        <v>193625000</v>
      </c>
      <c r="V7" s="303">
        <f t="shared" si="1"/>
        <v>192657000</v>
      </c>
      <c r="W7" s="303">
        <f t="shared" si="1"/>
        <v>191694000</v>
      </c>
      <c r="X7" s="303">
        <f t="shared" si="1"/>
        <v>190735000</v>
      </c>
      <c r="Y7" s="303">
        <f t="shared" si="1"/>
        <v>189782000</v>
      </c>
      <c r="Z7" s="303">
        <f t="shared" si="1"/>
        <v>188833000</v>
      </c>
      <c r="AA7" s="303">
        <f t="shared" si="1"/>
        <v>187888000</v>
      </c>
      <c r="AB7" s="303">
        <f t="shared" si="1"/>
        <v>0</v>
      </c>
      <c r="AC7" s="303">
        <f t="shared" si="1"/>
        <v>0</v>
      </c>
      <c r="AD7" s="303">
        <f t="shared" si="1"/>
        <v>0</v>
      </c>
      <c r="AE7" s="303">
        <f t="shared" si="1"/>
        <v>0</v>
      </c>
      <c r="AF7" s="303">
        <f t="shared" si="1"/>
        <v>0</v>
      </c>
      <c r="AG7" s="303">
        <f t="shared" si="1"/>
        <v>0</v>
      </c>
      <c r="AH7" s="303">
        <f t="shared" si="1"/>
        <v>0</v>
      </c>
      <c r="AI7" s="303">
        <f t="shared" si="1"/>
        <v>0</v>
      </c>
      <c r="AJ7" s="303">
        <f t="shared" si="1"/>
        <v>0</v>
      </c>
      <c r="AK7" s="303">
        <f t="shared" si="1"/>
        <v>0</v>
      </c>
      <c r="AL7" s="303">
        <f t="shared" si="1"/>
        <v>0</v>
      </c>
      <c r="AM7" s="303">
        <f t="shared" si="1"/>
        <v>0</v>
      </c>
      <c r="AN7" s="303">
        <f t="shared" si="1"/>
        <v>0</v>
      </c>
      <c r="AO7" s="303">
        <f t="shared" si="1"/>
        <v>0</v>
      </c>
      <c r="AP7" s="303">
        <f t="shared" si="1"/>
        <v>0</v>
      </c>
    </row>
    <row r="8" spans="1:42" x14ac:dyDescent="0.2">
      <c r="A8" s="18" t="s">
        <v>387</v>
      </c>
      <c r="B8" s="303">
        <f t="array" ref="B8:AP10">Inputs!C152:AQ154</f>
        <v>0</v>
      </c>
      <c r="C8" s="303">
        <v>0</v>
      </c>
      <c r="D8" s="303">
        <v>0</v>
      </c>
      <c r="E8" s="303">
        <v>0</v>
      </c>
      <c r="F8" s="303">
        <v>0</v>
      </c>
      <c r="G8" s="303">
        <v>0</v>
      </c>
      <c r="H8" s="303">
        <v>0</v>
      </c>
      <c r="I8" s="303">
        <v>0</v>
      </c>
      <c r="J8" s="303">
        <v>0</v>
      </c>
      <c r="K8" s="303">
        <v>0</v>
      </c>
      <c r="L8" s="303">
        <v>0</v>
      </c>
      <c r="M8" s="303">
        <v>0</v>
      </c>
      <c r="N8" s="303">
        <v>0</v>
      </c>
      <c r="O8" s="303">
        <v>0</v>
      </c>
      <c r="P8" s="303">
        <v>0</v>
      </c>
      <c r="Q8" s="303">
        <v>0</v>
      </c>
      <c r="R8" s="303">
        <v>0</v>
      </c>
      <c r="S8" s="303">
        <v>0</v>
      </c>
      <c r="T8" s="303">
        <v>0</v>
      </c>
      <c r="U8" s="303">
        <v>0</v>
      </c>
      <c r="V8" s="303">
        <v>0</v>
      </c>
      <c r="W8" s="303">
        <v>0</v>
      </c>
      <c r="X8" s="303">
        <v>0</v>
      </c>
      <c r="Y8" s="303">
        <v>0</v>
      </c>
      <c r="Z8" s="303">
        <v>0</v>
      </c>
      <c r="AA8" s="303">
        <v>0</v>
      </c>
      <c r="AB8" s="303">
        <v>0</v>
      </c>
      <c r="AC8" s="303">
        <v>0</v>
      </c>
      <c r="AD8" s="303">
        <v>0</v>
      </c>
      <c r="AE8" s="303">
        <v>0</v>
      </c>
      <c r="AF8" s="303">
        <v>0</v>
      </c>
      <c r="AG8" s="303">
        <v>0</v>
      </c>
      <c r="AH8" s="303">
        <v>0</v>
      </c>
      <c r="AI8" s="303">
        <v>0</v>
      </c>
      <c r="AJ8" s="303">
        <v>0</v>
      </c>
      <c r="AK8" s="303">
        <v>0</v>
      </c>
      <c r="AL8" s="303">
        <v>0</v>
      </c>
      <c r="AM8" s="303">
        <v>0</v>
      </c>
      <c r="AN8" s="303">
        <v>0</v>
      </c>
      <c r="AO8" s="303">
        <v>0</v>
      </c>
      <c r="AP8" s="303">
        <v>0</v>
      </c>
    </row>
    <row r="9" spans="1:42" x14ac:dyDescent="0.2">
      <c r="A9" s="18" t="s">
        <v>388</v>
      </c>
      <c r="B9" s="303">
        <v>0</v>
      </c>
      <c r="C9" s="303">
        <v>0</v>
      </c>
      <c r="D9" s="303">
        <v>0</v>
      </c>
      <c r="E9" s="303">
        <v>0</v>
      </c>
      <c r="F9" s="303">
        <v>0</v>
      </c>
      <c r="G9" s="303">
        <v>0</v>
      </c>
      <c r="H9" s="303">
        <v>0</v>
      </c>
      <c r="I9" s="303">
        <v>0</v>
      </c>
      <c r="J9" s="303">
        <v>0</v>
      </c>
      <c r="K9" s="303">
        <v>0</v>
      </c>
      <c r="L9" s="303">
        <v>0</v>
      </c>
      <c r="M9" s="303">
        <v>0</v>
      </c>
      <c r="N9" s="303">
        <v>0</v>
      </c>
      <c r="O9" s="303">
        <v>0</v>
      </c>
      <c r="P9" s="303">
        <v>0</v>
      </c>
      <c r="Q9" s="303">
        <v>0</v>
      </c>
      <c r="R9" s="303">
        <v>0</v>
      </c>
      <c r="S9" s="303">
        <v>0</v>
      </c>
      <c r="T9" s="303">
        <v>0</v>
      </c>
      <c r="U9" s="303">
        <v>0</v>
      </c>
      <c r="V9" s="303">
        <v>0</v>
      </c>
      <c r="W9" s="303">
        <v>0</v>
      </c>
      <c r="X9" s="303">
        <v>0</v>
      </c>
      <c r="Y9" s="303">
        <v>0</v>
      </c>
      <c r="Z9" s="303">
        <v>0</v>
      </c>
      <c r="AA9" s="303">
        <v>0</v>
      </c>
      <c r="AB9" s="303">
        <v>0</v>
      </c>
      <c r="AC9" s="303">
        <v>0</v>
      </c>
      <c r="AD9" s="303">
        <v>0</v>
      </c>
      <c r="AE9" s="303">
        <v>0</v>
      </c>
      <c r="AF9" s="303">
        <v>0</v>
      </c>
      <c r="AG9" s="303">
        <v>0</v>
      </c>
      <c r="AH9" s="303">
        <v>0</v>
      </c>
      <c r="AI9" s="303">
        <v>0</v>
      </c>
      <c r="AJ9" s="303">
        <v>0</v>
      </c>
      <c r="AK9" s="303">
        <v>0</v>
      </c>
      <c r="AL9" s="303">
        <v>0</v>
      </c>
      <c r="AM9" s="303">
        <v>0</v>
      </c>
      <c r="AN9" s="303">
        <v>0</v>
      </c>
      <c r="AO9" s="303">
        <v>0</v>
      </c>
      <c r="AP9" s="303">
        <v>0</v>
      </c>
    </row>
    <row r="10" spans="1:42" x14ac:dyDescent="0.2">
      <c r="A10" s="18" t="s">
        <v>389</v>
      </c>
      <c r="B10" s="303">
        <v>0</v>
      </c>
      <c r="C10" s="303">
        <v>0</v>
      </c>
      <c r="D10" s="303">
        <v>0</v>
      </c>
      <c r="E10" s="303">
        <v>0</v>
      </c>
      <c r="F10" s="303">
        <v>0</v>
      </c>
      <c r="G10" s="303">
        <v>0</v>
      </c>
      <c r="H10" s="303">
        <v>0</v>
      </c>
      <c r="I10" s="303">
        <v>0</v>
      </c>
      <c r="J10" s="303">
        <v>0</v>
      </c>
      <c r="K10" s="303">
        <v>0</v>
      </c>
      <c r="L10" s="303">
        <v>0</v>
      </c>
      <c r="M10" s="303">
        <v>0</v>
      </c>
      <c r="N10" s="303">
        <v>0</v>
      </c>
      <c r="O10" s="303">
        <v>0</v>
      </c>
      <c r="P10" s="303">
        <v>0</v>
      </c>
      <c r="Q10" s="303">
        <v>0</v>
      </c>
      <c r="R10" s="303">
        <v>0</v>
      </c>
      <c r="S10" s="303">
        <v>0</v>
      </c>
      <c r="T10" s="303">
        <v>0</v>
      </c>
      <c r="U10" s="303">
        <v>0</v>
      </c>
      <c r="V10" s="303">
        <v>0</v>
      </c>
      <c r="W10" s="303">
        <v>0</v>
      </c>
      <c r="X10" s="303">
        <v>0</v>
      </c>
      <c r="Y10" s="303">
        <v>0</v>
      </c>
      <c r="Z10" s="303">
        <v>0</v>
      </c>
      <c r="AA10" s="303">
        <v>0</v>
      </c>
      <c r="AB10" s="303">
        <v>0</v>
      </c>
      <c r="AC10" s="303">
        <v>0</v>
      </c>
      <c r="AD10" s="303">
        <v>0</v>
      </c>
      <c r="AE10" s="303">
        <v>0</v>
      </c>
      <c r="AF10" s="303">
        <v>0</v>
      </c>
      <c r="AG10" s="303">
        <v>0</v>
      </c>
      <c r="AH10" s="303">
        <v>0</v>
      </c>
      <c r="AI10" s="303">
        <v>0</v>
      </c>
      <c r="AJ10" s="303">
        <v>0</v>
      </c>
      <c r="AK10" s="303">
        <v>0</v>
      </c>
      <c r="AL10" s="303">
        <v>0</v>
      </c>
      <c r="AM10" s="303">
        <v>0</v>
      </c>
      <c r="AN10" s="303">
        <v>0</v>
      </c>
      <c r="AO10" s="303">
        <v>0</v>
      </c>
      <c r="AP10" s="303">
        <v>0</v>
      </c>
    </row>
    <row r="11" spans="1:42" x14ac:dyDescent="0.2">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row>
    <row r="12" spans="1:42" x14ac:dyDescent="0.2">
      <c r="A12" s="84" t="s">
        <v>336</v>
      </c>
      <c r="B12" s="7"/>
      <c r="C12" s="219"/>
      <c r="D12" s="219"/>
      <c r="E12" s="219"/>
      <c r="F12" s="219"/>
      <c r="G12" s="219"/>
      <c r="H12" s="219"/>
      <c r="I12" s="219"/>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row>
    <row r="13" spans="1:42" x14ac:dyDescent="0.2">
      <c r="A13" s="4" t="s">
        <v>337</v>
      </c>
      <c r="C13" s="15"/>
      <c r="D13" s="21"/>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90" t="s">
        <v>330</v>
      </c>
      <c r="C14" s="157">
        <f>C5</f>
        <v>211907000</v>
      </c>
      <c r="D14" s="157">
        <f t="shared" ref="D14:AP14" si="2">D5</f>
        <v>210848000</v>
      </c>
      <c r="E14" s="157">
        <f t="shared" si="2"/>
        <v>209794000</v>
      </c>
      <c r="F14" s="157">
        <f t="shared" si="2"/>
        <v>208745000</v>
      </c>
      <c r="G14" s="157">
        <f t="shared" si="2"/>
        <v>207701000</v>
      </c>
      <c r="H14" s="157">
        <f t="shared" si="2"/>
        <v>206662000</v>
      </c>
      <c r="I14" s="157">
        <f t="shared" si="2"/>
        <v>205629000</v>
      </c>
      <c r="J14" s="157">
        <f t="shared" si="2"/>
        <v>204601000</v>
      </c>
      <c r="K14" s="157">
        <f t="shared" si="2"/>
        <v>203578000</v>
      </c>
      <c r="L14" s="157">
        <f t="shared" si="2"/>
        <v>202560000</v>
      </c>
      <c r="M14" s="157">
        <f t="shared" si="2"/>
        <v>201547000</v>
      </c>
      <c r="N14" s="157">
        <f t="shared" si="2"/>
        <v>200540000</v>
      </c>
      <c r="O14" s="157">
        <f t="shared" si="2"/>
        <v>199537000</v>
      </c>
      <c r="P14" s="157">
        <f t="shared" si="2"/>
        <v>198539000</v>
      </c>
      <c r="Q14" s="157">
        <f t="shared" si="2"/>
        <v>197547000</v>
      </c>
      <c r="R14" s="157">
        <f t="shared" si="2"/>
        <v>196559000</v>
      </c>
      <c r="S14" s="157">
        <f t="shared" si="2"/>
        <v>195576000</v>
      </c>
      <c r="T14" s="157">
        <f t="shared" si="2"/>
        <v>194598000</v>
      </c>
      <c r="U14" s="157">
        <f t="shared" si="2"/>
        <v>193625000</v>
      </c>
      <c r="V14" s="157">
        <f t="shared" si="2"/>
        <v>192657000</v>
      </c>
      <c r="W14" s="157">
        <f t="shared" si="2"/>
        <v>191694000</v>
      </c>
      <c r="X14" s="157">
        <f t="shared" si="2"/>
        <v>190735000</v>
      </c>
      <c r="Y14" s="157">
        <f t="shared" si="2"/>
        <v>189782000</v>
      </c>
      <c r="Z14" s="157">
        <f t="shared" si="2"/>
        <v>188833000</v>
      </c>
      <c r="AA14" s="157">
        <f t="shared" si="2"/>
        <v>187888000</v>
      </c>
      <c r="AB14" s="157">
        <f t="shared" si="2"/>
        <v>0</v>
      </c>
      <c r="AC14" s="157">
        <f t="shared" si="2"/>
        <v>0</v>
      </c>
      <c r="AD14" s="157">
        <f t="shared" si="2"/>
        <v>0</v>
      </c>
      <c r="AE14" s="157">
        <f t="shared" si="2"/>
        <v>0</v>
      </c>
      <c r="AF14" s="157">
        <f t="shared" si="2"/>
        <v>0</v>
      </c>
      <c r="AG14" s="157">
        <f t="shared" si="2"/>
        <v>0</v>
      </c>
      <c r="AH14" s="157">
        <f t="shared" si="2"/>
        <v>0</v>
      </c>
      <c r="AI14" s="157">
        <f t="shared" si="2"/>
        <v>0</v>
      </c>
      <c r="AJ14" s="157">
        <f t="shared" si="2"/>
        <v>0</v>
      </c>
      <c r="AK14" s="157">
        <f t="shared" si="2"/>
        <v>0</v>
      </c>
      <c r="AL14" s="157">
        <f t="shared" si="2"/>
        <v>0</v>
      </c>
      <c r="AM14" s="157">
        <f t="shared" si="2"/>
        <v>0</v>
      </c>
      <c r="AN14" s="157">
        <f t="shared" si="2"/>
        <v>0</v>
      </c>
      <c r="AO14" s="157">
        <f t="shared" si="2"/>
        <v>0</v>
      </c>
      <c r="AP14" s="157">
        <f t="shared" si="2"/>
        <v>0</v>
      </c>
    </row>
    <row r="15" spans="1:42" x14ac:dyDescent="0.2">
      <c r="A15" s="90" t="s">
        <v>10</v>
      </c>
      <c r="B15" s="4">
        <f t="array" ref="B15:AP15">Inputs!C156:AQ156</f>
        <v>0</v>
      </c>
      <c r="C15" s="155">
        <v>4</v>
      </c>
      <c r="D15" s="155">
        <v>4.04</v>
      </c>
      <c r="E15" s="155">
        <v>4.0804</v>
      </c>
      <c r="F15" s="155">
        <v>4.1212</v>
      </c>
      <c r="G15" s="155">
        <v>4.16242</v>
      </c>
      <c r="H15" s="155">
        <v>4.20404</v>
      </c>
      <c r="I15" s="155">
        <v>4.2460800000000001</v>
      </c>
      <c r="J15" s="155">
        <v>4.2885400000000002</v>
      </c>
      <c r="K15" s="155">
        <v>4.3314300000000001</v>
      </c>
      <c r="L15" s="155">
        <v>4.3747400000000001</v>
      </c>
      <c r="M15" s="155">
        <v>4.4184900000000003</v>
      </c>
      <c r="N15" s="155">
        <v>4.4626700000000001</v>
      </c>
      <c r="O15" s="155">
        <v>4.5072999999999999</v>
      </c>
      <c r="P15" s="155">
        <v>4.5523699999999998</v>
      </c>
      <c r="Q15" s="155">
        <v>4.5979000000000001</v>
      </c>
      <c r="R15" s="155">
        <v>4.6438800000000002</v>
      </c>
      <c r="S15" s="155">
        <v>4.6903100000000002</v>
      </c>
      <c r="T15" s="155">
        <v>4.7372199999999998</v>
      </c>
      <c r="U15" s="155">
        <v>4.7845899999999997</v>
      </c>
      <c r="V15" s="155">
        <v>4.8324400000000001</v>
      </c>
      <c r="W15" s="155">
        <v>4.8807600000000004</v>
      </c>
      <c r="X15" s="155">
        <v>4.92957</v>
      </c>
      <c r="Y15" s="155">
        <v>4.9788600000000001</v>
      </c>
      <c r="Z15" s="155">
        <v>5.0286499999999998</v>
      </c>
      <c r="AA15" s="155">
        <v>5.0789400000000002</v>
      </c>
      <c r="AB15" s="155">
        <v>0</v>
      </c>
      <c r="AC15" s="155">
        <v>0</v>
      </c>
      <c r="AD15" s="155">
        <v>0</v>
      </c>
      <c r="AE15" s="155">
        <v>0</v>
      </c>
      <c r="AF15" s="155">
        <v>0</v>
      </c>
      <c r="AG15" s="155">
        <v>0</v>
      </c>
      <c r="AH15" s="155">
        <v>0</v>
      </c>
      <c r="AI15" s="155">
        <v>0</v>
      </c>
      <c r="AJ15" s="155">
        <v>0</v>
      </c>
      <c r="AK15" s="155">
        <v>0</v>
      </c>
      <c r="AL15" s="155">
        <v>0</v>
      </c>
      <c r="AM15" s="155">
        <v>0</v>
      </c>
      <c r="AN15" s="155">
        <v>0</v>
      </c>
      <c r="AO15" s="155">
        <v>0</v>
      </c>
      <c r="AP15" s="155">
        <v>0</v>
      </c>
    </row>
    <row r="16" spans="1:42" x14ac:dyDescent="0.2">
      <c r="A16" s="90" t="s">
        <v>409</v>
      </c>
      <c r="B16" s="123">
        <f t="array" ref="B16:AP16">Inputs!C157:AQ157</f>
        <v>0</v>
      </c>
      <c r="C16" s="129">
        <v>8476300</v>
      </c>
      <c r="D16" s="129">
        <v>8518260</v>
      </c>
      <c r="E16" s="129">
        <v>8560420</v>
      </c>
      <c r="F16" s="129">
        <v>8602800</v>
      </c>
      <c r="G16" s="129">
        <v>8645380</v>
      </c>
      <c r="H16" s="129">
        <v>8688170</v>
      </c>
      <c r="I16" s="129">
        <v>8731180</v>
      </c>
      <c r="J16" s="129">
        <v>8774400</v>
      </c>
      <c r="K16" s="129">
        <v>8817830</v>
      </c>
      <c r="L16" s="129">
        <v>8861480</v>
      </c>
      <c r="M16" s="129">
        <v>8905350</v>
      </c>
      <c r="N16" s="129">
        <v>8949430</v>
      </c>
      <c r="O16" s="129">
        <v>8993730</v>
      </c>
      <c r="P16" s="129">
        <v>9038250</v>
      </c>
      <c r="Q16" s="129">
        <v>9082980</v>
      </c>
      <c r="R16" s="129">
        <v>9127950</v>
      </c>
      <c r="S16" s="129">
        <v>9173130</v>
      </c>
      <c r="T16" s="129">
        <v>9218540</v>
      </c>
      <c r="U16" s="129">
        <v>9264170</v>
      </c>
      <c r="V16" s="129">
        <v>9310030</v>
      </c>
      <c r="W16" s="129">
        <v>9356110</v>
      </c>
      <c r="X16" s="129">
        <v>9402420</v>
      </c>
      <c r="Y16" s="129">
        <v>9448960</v>
      </c>
      <c r="Z16" s="129">
        <v>9495740</v>
      </c>
      <c r="AA16" s="129">
        <v>9542740</v>
      </c>
      <c r="AB16" s="129">
        <v>0</v>
      </c>
      <c r="AC16" s="129">
        <v>0</v>
      </c>
      <c r="AD16" s="129">
        <v>0</v>
      </c>
      <c r="AE16" s="129">
        <v>0</v>
      </c>
      <c r="AF16" s="129">
        <v>0</v>
      </c>
      <c r="AG16" s="129">
        <v>0</v>
      </c>
      <c r="AH16" s="129">
        <v>0</v>
      </c>
      <c r="AI16" s="129">
        <v>0</v>
      </c>
      <c r="AJ16" s="129">
        <v>0</v>
      </c>
      <c r="AK16" s="129">
        <v>0</v>
      </c>
      <c r="AL16" s="129">
        <v>0</v>
      </c>
      <c r="AM16" s="129">
        <v>0</v>
      </c>
      <c r="AN16" s="129">
        <v>0</v>
      </c>
      <c r="AO16" s="129">
        <v>0</v>
      </c>
      <c r="AP16" s="129">
        <v>0</v>
      </c>
    </row>
    <row r="17" spans="1:42" x14ac:dyDescent="0.2">
      <c r="A17" s="18" t="s">
        <v>338</v>
      </c>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row>
    <row r="18" spans="1:42" x14ac:dyDescent="0.2">
      <c r="A18" s="317" t="s">
        <v>340</v>
      </c>
      <c r="B18" s="123">
        <f t="array" ref="B18:AP20">Inputs!C158:AQ160</f>
        <v>0</v>
      </c>
      <c r="C18" s="123">
        <v>0</v>
      </c>
      <c r="D18" s="123">
        <v>0</v>
      </c>
      <c r="E18" s="123">
        <v>0</v>
      </c>
      <c r="F18" s="123">
        <v>0</v>
      </c>
      <c r="G18" s="123">
        <v>0</v>
      </c>
      <c r="H18" s="123">
        <v>0</v>
      </c>
      <c r="I18" s="123">
        <v>0</v>
      </c>
      <c r="J18" s="123">
        <v>0</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0</v>
      </c>
      <c r="AA18" s="123">
        <v>0</v>
      </c>
      <c r="AB18" s="123">
        <v>0</v>
      </c>
      <c r="AC18" s="123">
        <v>0</v>
      </c>
      <c r="AD18" s="123">
        <v>0</v>
      </c>
      <c r="AE18" s="123">
        <v>0</v>
      </c>
      <c r="AF18" s="123">
        <v>0</v>
      </c>
      <c r="AG18" s="123">
        <v>0</v>
      </c>
      <c r="AH18" s="123">
        <v>0</v>
      </c>
      <c r="AI18" s="123">
        <v>0</v>
      </c>
      <c r="AJ18" s="123">
        <v>0</v>
      </c>
      <c r="AK18" s="123">
        <v>0</v>
      </c>
      <c r="AL18" s="123">
        <v>0</v>
      </c>
      <c r="AM18" s="123">
        <v>0</v>
      </c>
      <c r="AN18" s="123">
        <v>0</v>
      </c>
      <c r="AO18" s="123">
        <v>0</v>
      </c>
      <c r="AP18" s="123">
        <v>0</v>
      </c>
    </row>
    <row r="19" spans="1:42" x14ac:dyDescent="0.2">
      <c r="A19" s="317" t="s">
        <v>339</v>
      </c>
      <c r="B19" s="123">
        <v>0</v>
      </c>
      <c r="C19" s="123">
        <v>0</v>
      </c>
      <c r="D19" s="123">
        <v>0</v>
      </c>
      <c r="E19" s="123">
        <v>0</v>
      </c>
      <c r="F19" s="123">
        <v>0</v>
      </c>
      <c r="G19" s="123">
        <v>0</v>
      </c>
      <c r="H19" s="123">
        <v>0</v>
      </c>
      <c r="I19" s="123">
        <v>0</v>
      </c>
      <c r="J19" s="123">
        <v>0</v>
      </c>
      <c r="K19" s="123">
        <v>0</v>
      </c>
      <c r="L19" s="123">
        <v>0</v>
      </c>
      <c r="M19" s="123">
        <v>0</v>
      </c>
      <c r="N19" s="123">
        <v>0</v>
      </c>
      <c r="O19" s="123">
        <v>0</v>
      </c>
      <c r="P19" s="123">
        <v>0</v>
      </c>
      <c r="Q19" s="123">
        <v>0</v>
      </c>
      <c r="R19" s="123">
        <v>0</v>
      </c>
      <c r="S19" s="123">
        <v>0</v>
      </c>
      <c r="T19" s="123">
        <v>0</v>
      </c>
      <c r="U19" s="123">
        <v>0</v>
      </c>
      <c r="V19" s="123">
        <v>0</v>
      </c>
      <c r="W19" s="123">
        <v>0</v>
      </c>
      <c r="X19" s="123">
        <v>0</v>
      </c>
      <c r="Y19" s="123">
        <v>0</v>
      </c>
      <c r="Z19" s="123">
        <v>0</v>
      </c>
      <c r="AA19" s="123">
        <v>0</v>
      </c>
      <c r="AB19" s="123">
        <v>0</v>
      </c>
      <c r="AC19" s="123">
        <v>0</v>
      </c>
      <c r="AD19" s="123">
        <v>0</v>
      </c>
      <c r="AE19" s="123">
        <v>0</v>
      </c>
      <c r="AF19" s="123">
        <v>0</v>
      </c>
      <c r="AG19" s="123">
        <v>0</v>
      </c>
      <c r="AH19" s="123">
        <v>0</v>
      </c>
      <c r="AI19" s="123">
        <v>0</v>
      </c>
      <c r="AJ19" s="123">
        <v>0</v>
      </c>
      <c r="AK19" s="123">
        <v>0</v>
      </c>
      <c r="AL19" s="123">
        <v>0</v>
      </c>
      <c r="AM19" s="123">
        <v>0</v>
      </c>
      <c r="AN19" s="123">
        <v>0</v>
      </c>
      <c r="AO19" s="123">
        <v>0</v>
      </c>
      <c r="AP19" s="123">
        <v>0</v>
      </c>
    </row>
    <row r="20" spans="1:42" x14ac:dyDescent="0.2">
      <c r="A20" s="317" t="s">
        <v>411</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0</v>
      </c>
      <c r="S20" s="123">
        <v>0</v>
      </c>
      <c r="T20" s="123">
        <v>0</v>
      </c>
      <c r="U20" s="123">
        <v>0</v>
      </c>
      <c r="V20" s="123">
        <v>0</v>
      </c>
      <c r="W20" s="123">
        <v>0</v>
      </c>
      <c r="X20" s="123">
        <v>0</v>
      </c>
      <c r="Y20" s="123">
        <v>0</v>
      </c>
      <c r="Z20" s="123">
        <v>0</v>
      </c>
      <c r="AA20" s="123">
        <v>0</v>
      </c>
      <c r="AB20" s="123">
        <v>0</v>
      </c>
      <c r="AC20" s="123">
        <v>0</v>
      </c>
      <c r="AD20" s="123">
        <v>0</v>
      </c>
      <c r="AE20" s="123">
        <v>0</v>
      </c>
      <c r="AF20" s="123">
        <v>0</v>
      </c>
      <c r="AG20" s="123">
        <v>0</v>
      </c>
      <c r="AH20" s="123">
        <v>0</v>
      </c>
      <c r="AI20" s="123">
        <v>0</v>
      </c>
      <c r="AJ20" s="123">
        <v>0</v>
      </c>
      <c r="AK20" s="123">
        <v>0</v>
      </c>
      <c r="AL20" s="123">
        <v>0</v>
      </c>
      <c r="AM20" s="123">
        <v>0</v>
      </c>
      <c r="AN20" s="123">
        <v>0</v>
      </c>
      <c r="AO20" s="123">
        <v>0</v>
      </c>
      <c r="AP20" s="123">
        <v>0</v>
      </c>
    </row>
    <row r="21" spans="1:42" x14ac:dyDescent="0.2">
      <c r="A21" s="4" t="s">
        <v>20</v>
      </c>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row>
    <row r="22" spans="1:42" x14ac:dyDescent="0.2">
      <c r="A22" s="90" t="s">
        <v>4</v>
      </c>
      <c r="C22" s="123">
        <f t="shared" ref="C22:AP22" si="3">IF(pbi_fed_for_ds="Yes",C569,0)</f>
        <v>0</v>
      </c>
      <c r="D22" s="123">
        <f t="shared" si="3"/>
        <v>0</v>
      </c>
      <c r="E22" s="123">
        <f t="shared" si="3"/>
        <v>0</v>
      </c>
      <c r="F22" s="123">
        <f t="shared" si="3"/>
        <v>0</v>
      </c>
      <c r="G22" s="123">
        <f t="shared" si="3"/>
        <v>0</v>
      </c>
      <c r="H22" s="123">
        <f t="shared" si="3"/>
        <v>0</v>
      </c>
      <c r="I22" s="123">
        <f t="shared" si="3"/>
        <v>0</v>
      </c>
      <c r="J22" s="123">
        <f t="shared" si="3"/>
        <v>0</v>
      </c>
      <c r="K22" s="123">
        <f t="shared" si="3"/>
        <v>0</v>
      </c>
      <c r="L22" s="123">
        <f t="shared" si="3"/>
        <v>0</v>
      </c>
      <c r="M22" s="123">
        <f t="shared" si="3"/>
        <v>0</v>
      </c>
      <c r="N22" s="123">
        <f t="shared" si="3"/>
        <v>0</v>
      </c>
      <c r="O22" s="123">
        <f t="shared" si="3"/>
        <v>0</v>
      </c>
      <c r="P22" s="123">
        <f t="shared" si="3"/>
        <v>0</v>
      </c>
      <c r="Q22" s="123">
        <f t="shared" si="3"/>
        <v>0</v>
      </c>
      <c r="R22" s="123">
        <f t="shared" si="3"/>
        <v>0</v>
      </c>
      <c r="S22" s="123">
        <f t="shared" si="3"/>
        <v>0</v>
      </c>
      <c r="T22" s="123">
        <f t="shared" si="3"/>
        <v>0</v>
      </c>
      <c r="U22" s="123">
        <f t="shared" si="3"/>
        <v>0</v>
      </c>
      <c r="V22" s="123">
        <f t="shared" si="3"/>
        <v>0</v>
      </c>
      <c r="W22" s="123">
        <f t="shared" si="3"/>
        <v>0</v>
      </c>
      <c r="X22" s="123">
        <f t="shared" si="3"/>
        <v>0</v>
      </c>
      <c r="Y22" s="123">
        <f t="shared" si="3"/>
        <v>0</v>
      </c>
      <c r="Z22" s="123">
        <f t="shared" si="3"/>
        <v>0</v>
      </c>
      <c r="AA22" s="123">
        <f t="shared" si="3"/>
        <v>0</v>
      </c>
      <c r="AB22" s="123">
        <f t="shared" si="3"/>
        <v>0</v>
      </c>
      <c r="AC22" s="123">
        <f t="shared" si="3"/>
        <v>0</v>
      </c>
      <c r="AD22" s="123">
        <f t="shared" si="3"/>
        <v>0</v>
      </c>
      <c r="AE22" s="123">
        <f t="shared" si="3"/>
        <v>0</v>
      </c>
      <c r="AF22" s="123">
        <f t="shared" si="3"/>
        <v>0</v>
      </c>
      <c r="AG22" s="123">
        <f t="shared" si="3"/>
        <v>0</v>
      </c>
      <c r="AH22" s="123">
        <f t="shared" si="3"/>
        <v>0</v>
      </c>
      <c r="AI22" s="123">
        <f t="shared" si="3"/>
        <v>0</v>
      </c>
      <c r="AJ22" s="123">
        <f t="shared" si="3"/>
        <v>0</v>
      </c>
      <c r="AK22" s="123">
        <f t="shared" si="3"/>
        <v>0</v>
      </c>
      <c r="AL22" s="123">
        <f t="shared" si="3"/>
        <v>0</v>
      </c>
      <c r="AM22" s="123">
        <f t="shared" si="3"/>
        <v>0</v>
      </c>
      <c r="AN22" s="123">
        <f t="shared" si="3"/>
        <v>0</v>
      </c>
      <c r="AO22" s="123">
        <f t="shared" si="3"/>
        <v>0</v>
      </c>
      <c r="AP22" s="123">
        <f t="shared" si="3"/>
        <v>0</v>
      </c>
    </row>
    <row r="23" spans="1:42" x14ac:dyDescent="0.2">
      <c r="A23" s="90" t="s">
        <v>5</v>
      </c>
      <c r="C23" s="123">
        <f t="shared" ref="C23:AP23" si="4">IF(pbi_sta_for_ds="Yes",C573,0)</f>
        <v>0</v>
      </c>
      <c r="D23" s="123">
        <f t="shared" si="4"/>
        <v>0</v>
      </c>
      <c r="E23" s="123">
        <f t="shared" si="4"/>
        <v>0</v>
      </c>
      <c r="F23" s="123">
        <f t="shared" si="4"/>
        <v>0</v>
      </c>
      <c r="G23" s="123">
        <f t="shared" si="4"/>
        <v>0</v>
      </c>
      <c r="H23" s="123">
        <f t="shared" si="4"/>
        <v>0</v>
      </c>
      <c r="I23" s="123">
        <f t="shared" si="4"/>
        <v>0</v>
      </c>
      <c r="J23" s="123">
        <f t="shared" si="4"/>
        <v>0</v>
      </c>
      <c r="K23" s="123">
        <f t="shared" si="4"/>
        <v>0</v>
      </c>
      <c r="L23" s="123">
        <f t="shared" si="4"/>
        <v>0</v>
      </c>
      <c r="M23" s="123">
        <f t="shared" si="4"/>
        <v>0</v>
      </c>
      <c r="N23" s="123">
        <f t="shared" si="4"/>
        <v>0</v>
      </c>
      <c r="O23" s="123">
        <f t="shared" si="4"/>
        <v>0</v>
      </c>
      <c r="P23" s="123">
        <f t="shared" si="4"/>
        <v>0</v>
      </c>
      <c r="Q23" s="123">
        <f t="shared" si="4"/>
        <v>0</v>
      </c>
      <c r="R23" s="123">
        <f t="shared" si="4"/>
        <v>0</v>
      </c>
      <c r="S23" s="123">
        <f t="shared" si="4"/>
        <v>0</v>
      </c>
      <c r="T23" s="123">
        <f t="shared" si="4"/>
        <v>0</v>
      </c>
      <c r="U23" s="123">
        <f t="shared" si="4"/>
        <v>0</v>
      </c>
      <c r="V23" s="123">
        <f t="shared" si="4"/>
        <v>0</v>
      </c>
      <c r="W23" s="123">
        <f t="shared" si="4"/>
        <v>0</v>
      </c>
      <c r="X23" s="123">
        <f t="shared" si="4"/>
        <v>0</v>
      </c>
      <c r="Y23" s="123">
        <f t="shared" si="4"/>
        <v>0</v>
      </c>
      <c r="Z23" s="123">
        <f t="shared" si="4"/>
        <v>0</v>
      </c>
      <c r="AA23" s="123">
        <f t="shared" si="4"/>
        <v>0</v>
      </c>
      <c r="AB23" s="123">
        <f t="shared" si="4"/>
        <v>0</v>
      </c>
      <c r="AC23" s="123">
        <f t="shared" si="4"/>
        <v>0</v>
      </c>
      <c r="AD23" s="123">
        <f t="shared" si="4"/>
        <v>0</v>
      </c>
      <c r="AE23" s="123">
        <f t="shared" si="4"/>
        <v>0</v>
      </c>
      <c r="AF23" s="123">
        <f t="shared" si="4"/>
        <v>0</v>
      </c>
      <c r="AG23" s="123">
        <f t="shared" si="4"/>
        <v>0</v>
      </c>
      <c r="AH23" s="123">
        <f t="shared" si="4"/>
        <v>0</v>
      </c>
      <c r="AI23" s="123">
        <f t="shared" si="4"/>
        <v>0</v>
      </c>
      <c r="AJ23" s="123">
        <f t="shared" si="4"/>
        <v>0</v>
      </c>
      <c r="AK23" s="123">
        <f t="shared" si="4"/>
        <v>0</v>
      </c>
      <c r="AL23" s="123">
        <f t="shared" si="4"/>
        <v>0</v>
      </c>
      <c r="AM23" s="123">
        <f t="shared" si="4"/>
        <v>0</v>
      </c>
      <c r="AN23" s="123">
        <f t="shared" si="4"/>
        <v>0</v>
      </c>
      <c r="AO23" s="123">
        <f t="shared" si="4"/>
        <v>0</v>
      </c>
      <c r="AP23" s="123">
        <f t="shared" si="4"/>
        <v>0</v>
      </c>
    </row>
    <row r="24" spans="1:42" x14ac:dyDescent="0.2">
      <c r="A24" s="90" t="s">
        <v>185</v>
      </c>
      <c r="C24" s="123">
        <f t="shared" ref="C24:AP24" si="5">IF(pbi_uti_for_ds="Yes",C577,0)</f>
        <v>0</v>
      </c>
      <c r="D24" s="123">
        <f t="shared" si="5"/>
        <v>0</v>
      </c>
      <c r="E24" s="123">
        <f t="shared" si="5"/>
        <v>0</v>
      </c>
      <c r="F24" s="123">
        <f t="shared" si="5"/>
        <v>0</v>
      </c>
      <c r="G24" s="123">
        <f t="shared" si="5"/>
        <v>0</v>
      </c>
      <c r="H24" s="123">
        <f t="shared" si="5"/>
        <v>0</v>
      </c>
      <c r="I24" s="123">
        <f t="shared" si="5"/>
        <v>0</v>
      </c>
      <c r="J24" s="123">
        <f t="shared" si="5"/>
        <v>0</v>
      </c>
      <c r="K24" s="123">
        <f t="shared" si="5"/>
        <v>0</v>
      </c>
      <c r="L24" s="123">
        <f t="shared" si="5"/>
        <v>0</v>
      </c>
      <c r="M24" s="123">
        <f t="shared" si="5"/>
        <v>0</v>
      </c>
      <c r="N24" s="123">
        <f t="shared" si="5"/>
        <v>0</v>
      </c>
      <c r="O24" s="123">
        <f t="shared" si="5"/>
        <v>0</v>
      </c>
      <c r="P24" s="123">
        <f t="shared" si="5"/>
        <v>0</v>
      </c>
      <c r="Q24" s="123">
        <f t="shared" si="5"/>
        <v>0</v>
      </c>
      <c r="R24" s="123">
        <f t="shared" si="5"/>
        <v>0</v>
      </c>
      <c r="S24" s="123">
        <f t="shared" si="5"/>
        <v>0</v>
      </c>
      <c r="T24" s="123">
        <f t="shared" si="5"/>
        <v>0</v>
      </c>
      <c r="U24" s="123">
        <f t="shared" si="5"/>
        <v>0</v>
      </c>
      <c r="V24" s="123">
        <f t="shared" si="5"/>
        <v>0</v>
      </c>
      <c r="W24" s="123">
        <f t="shared" si="5"/>
        <v>0</v>
      </c>
      <c r="X24" s="123">
        <f t="shared" si="5"/>
        <v>0</v>
      </c>
      <c r="Y24" s="123">
        <f t="shared" si="5"/>
        <v>0</v>
      </c>
      <c r="Z24" s="123">
        <f t="shared" si="5"/>
        <v>0</v>
      </c>
      <c r="AA24" s="123">
        <f t="shared" si="5"/>
        <v>0</v>
      </c>
      <c r="AB24" s="123">
        <f t="shared" si="5"/>
        <v>0</v>
      </c>
      <c r="AC24" s="123">
        <f t="shared" si="5"/>
        <v>0</v>
      </c>
      <c r="AD24" s="123">
        <f t="shared" si="5"/>
        <v>0</v>
      </c>
      <c r="AE24" s="123">
        <f t="shared" si="5"/>
        <v>0</v>
      </c>
      <c r="AF24" s="123">
        <f t="shared" si="5"/>
        <v>0</v>
      </c>
      <c r="AG24" s="123">
        <f t="shared" si="5"/>
        <v>0</v>
      </c>
      <c r="AH24" s="123">
        <f t="shared" si="5"/>
        <v>0</v>
      </c>
      <c r="AI24" s="123">
        <f t="shared" si="5"/>
        <v>0</v>
      </c>
      <c r="AJ24" s="123">
        <f t="shared" si="5"/>
        <v>0</v>
      </c>
      <c r="AK24" s="123">
        <f t="shared" si="5"/>
        <v>0</v>
      </c>
      <c r="AL24" s="123">
        <f t="shared" si="5"/>
        <v>0</v>
      </c>
      <c r="AM24" s="123">
        <f t="shared" si="5"/>
        <v>0</v>
      </c>
      <c r="AN24" s="123">
        <f t="shared" si="5"/>
        <v>0</v>
      </c>
      <c r="AO24" s="123">
        <f t="shared" si="5"/>
        <v>0</v>
      </c>
      <c r="AP24" s="123">
        <f t="shared" si="5"/>
        <v>0</v>
      </c>
    </row>
    <row r="25" spans="1:42" x14ac:dyDescent="0.2">
      <c r="A25" s="90" t="s">
        <v>186</v>
      </c>
      <c r="C25" s="124">
        <f t="shared" ref="C25:AP25" si="6">IF(pbi_oth_for_ds="Yes",C581,0)</f>
        <v>0</v>
      </c>
      <c r="D25" s="124">
        <f t="shared" si="6"/>
        <v>0</v>
      </c>
      <c r="E25" s="124">
        <f t="shared" si="6"/>
        <v>0</v>
      </c>
      <c r="F25" s="124">
        <f t="shared" si="6"/>
        <v>0</v>
      </c>
      <c r="G25" s="124">
        <f t="shared" si="6"/>
        <v>0</v>
      </c>
      <c r="H25" s="124">
        <f t="shared" si="6"/>
        <v>0</v>
      </c>
      <c r="I25" s="124">
        <f t="shared" si="6"/>
        <v>0</v>
      </c>
      <c r="J25" s="124">
        <f t="shared" si="6"/>
        <v>0</v>
      </c>
      <c r="K25" s="124">
        <f t="shared" si="6"/>
        <v>0</v>
      </c>
      <c r="L25" s="124">
        <f t="shared" si="6"/>
        <v>0</v>
      </c>
      <c r="M25" s="124">
        <f t="shared" si="6"/>
        <v>0</v>
      </c>
      <c r="N25" s="124">
        <f t="shared" si="6"/>
        <v>0</v>
      </c>
      <c r="O25" s="124">
        <f t="shared" si="6"/>
        <v>0</v>
      </c>
      <c r="P25" s="124">
        <f t="shared" si="6"/>
        <v>0</v>
      </c>
      <c r="Q25" s="124">
        <f t="shared" si="6"/>
        <v>0</v>
      </c>
      <c r="R25" s="124">
        <f t="shared" si="6"/>
        <v>0</v>
      </c>
      <c r="S25" s="124">
        <f t="shared" si="6"/>
        <v>0</v>
      </c>
      <c r="T25" s="124">
        <f t="shared" si="6"/>
        <v>0</v>
      </c>
      <c r="U25" s="124">
        <f t="shared" si="6"/>
        <v>0</v>
      </c>
      <c r="V25" s="124">
        <f t="shared" si="6"/>
        <v>0</v>
      </c>
      <c r="W25" s="124">
        <f t="shared" si="6"/>
        <v>0</v>
      </c>
      <c r="X25" s="124">
        <f t="shared" si="6"/>
        <v>0</v>
      </c>
      <c r="Y25" s="124">
        <f t="shared" si="6"/>
        <v>0</v>
      </c>
      <c r="Z25" s="124">
        <f t="shared" si="6"/>
        <v>0</v>
      </c>
      <c r="AA25" s="124">
        <f t="shared" si="6"/>
        <v>0</v>
      </c>
      <c r="AB25" s="124">
        <f t="shared" si="6"/>
        <v>0</v>
      </c>
      <c r="AC25" s="124">
        <f t="shared" si="6"/>
        <v>0</v>
      </c>
      <c r="AD25" s="124">
        <f t="shared" si="6"/>
        <v>0</v>
      </c>
      <c r="AE25" s="124">
        <f t="shared" si="6"/>
        <v>0</v>
      </c>
      <c r="AF25" s="124">
        <f t="shared" si="6"/>
        <v>0</v>
      </c>
      <c r="AG25" s="124">
        <f t="shared" si="6"/>
        <v>0</v>
      </c>
      <c r="AH25" s="124">
        <f t="shared" si="6"/>
        <v>0</v>
      </c>
      <c r="AI25" s="124">
        <f t="shared" si="6"/>
        <v>0</v>
      </c>
      <c r="AJ25" s="124">
        <f t="shared" si="6"/>
        <v>0</v>
      </c>
      <c r="AK25" s="124">
        <f t="shared" si="6"/>
        <v>0</v>
      </c>
      <c r="AL25" s="124">
        <f t="shared" si="6"/>
        <v>0</v>
      </c>
      <c r="AM25" s="124">
        <f t="shared" si="6"/>
        <v>0</v>
      </c>
      <c r="AN25" s="124">
        <f t="shared" si="6"/>
        <v>0</v>
      </c>
      <c r="AO25" s="124">
        <f t="shared" si="6"/>
        <v>0</v>
      </c>
      <c r="AP25" s="124">
        <f t="shared" si="6"/>
        <v>0</v>
      </c>
    </row>
    <row r="26" spans="1:42" x14ac:dyDescent="0.2">
      <c r="A26" s="90" t="s">
        <v>21</v>
      </c>
      <c r="C26" s="123">
        <f>SUM(C22:C25)</f>
        <v>0</v>
      </c>
      <c r="D26" s="123">
        <f t="shared" ref="D26:AP26" si="7">SUM(D22:D25)</f>
        <v>0</v>
      </c>
      <c r="E26" s="123">
        <f t="shared" si="7"/>
        <v>0</v>
      </c>
      <c r="F26" s="123">
        <f t="shared" si="7"/>
        <v>0</v>
      </c>
      <c r="G26" s="123">
        <f t="shared" si="7"/>
        <v>0</v>
      </c>
      <c r="H26" s="123">
        <f t="shared" si="7"/>
        <v>0</v>
      </c>
      <c r="I26" s="123">
        <f t="shared" si="7"/>
        <v>0</v>
      </c>
      <c r="J26" s="123">
        <f t="shared" si="7"/>
        <v>0</v>
      </c>
      <c r="K26" s="123">
        <f t="shared" si="7"/>
        <v>0</v>
      </c>
      <c r="L26" s="123">
        <f t="shared" si="7"/>
        <v>0</v>
      </c>
      <c r="M26" s="123">
        <f t="shared" si="7"/>
        <v>0</v>
      </c>
      <c r="N26" s="123">
        <f t="shared" si="7"/>
        <v>0</v>
      </c>
      <c r="O26" s="123">
        <f t="shared" si="7"/>
        <v>0</v>
      </c>
      <c r="P26" s="123">
        <f t="shared" si="7"/>
        <v>0</v>
      </c>
      <c r="Q26" s="123">
        <f t="shared" si="7"/>
        <v>0</v>
      </c>
      <c r="R26" s="123">
        <f t="shared" si="7"/>
        <v>0</v>
      </c>
      <c r="S26" s="123">
        <f t="shared" si="7"/>
        <v>0</v>
      </c>
      <c r="T26" s="123">
        <f t="shared" si="7"/>
        <v>0</v>
      </c>
      <c r="U26" s="123">
        <f t="shared" si="7"/>
        <v>0</v>
      </c>
      <c r="V26" s="123">
        <f t="shared" si="7"/>
        <v>0</v>
      </c>
      <c r="W26" s="123">
        <f t="shared" si="7"/>
        <v>0</v>
      </c>
      <c r="X26" s="123">
        <f t="shared" si="7"/>
        <v>0</v>
      </c>
      <c r="Y26" s="123">
        <f t="shared" si="7"/>
        <v>0</v>
      </c>
      <c r="Z26" s="123">
        <f t="shared" si="7"/>
        <v>0</v>
      </c>
      <c r="AA26" s="123">
        <f t="shared" si="7"/>
        <v>0</v>
      </c>
      <c r="AB26" s="123">
        <f t="shared" si="7"/>
        <v>0</v>
      </c>
      <c r="AC26" s="123">
        <f t="shared" si="7"/>
        <v>0</v>
      </c>
      <c r="AD26" s="123">
        <f t="shared" si="7"/>
        <v>0</v>
      </c>
      <c r="AE26" s="123">
        <f t="shared" si="7"/>
        <v>0</v>
      </c>
      <c r="AF26" s="123">
        <f t="shared" si="7"/>
        <v>0</v>
      </c>
      <c r="AG26" s="123">
        <f t="shared" si="7"/>
        <v>0</v>
      </c>
      <c r="AH26" s="123">
        <f t="shared" si="7"/>
        <v>0</v>
      </c>
      <c r="AI26" s="123">
        <f t="shared" si="7"/>
        <v>0</v>
      </c>
      <c r="AJ26" s="123">
        <f t="shared" si="7"/>
        <v>0</v>
      </c>
      <c r="AK26" s="123">
        <f t="shared" si="7"/>
        <v>0</v>
      </c>
      <c r="AL26" s="123">
        <f t="shared" si="7"/>
        <v>0</v>
      </c>
      <c r="AM26" s="123">
        <f t="shared" si="7"/>
        <v>0</v>
      </c>
      <c r="AN26" s="123">
        <f t="shared" si="7"/>
        <v>0</v>
      </c>
      <c r="AO26" s="123">
        <f t="shared" si="7"/>
        <v>0</v>
      </c>
      <c r="AP26" s="123">
        <f t="shared" si="7"/>
        <v>0</v>
      </c>
    </row>
    <row r="27" spans="1:42" x14ac:dyDescent="0.2">
      <c r="A27" s="18" t="s">
        <v>331</v>
      </c>
      <c r="C27" s="123">
        <f t="shared" ref="C27:AP27" si="8">IF(C2=analysis_period,total_installed_cost*salvage_percentage/100,0)</f>
        <v>0</v>
      </c>
      <c r="D27" s="123">
        <f t="shared" si="8"/>
        <v>0</v>
      </c>
      <c r="E27" s="123">
        <f t="shared" si="8"/>
        <v>0</v>
      </c>
      <c r="F27" s="123">
        <f t="shared" si="8"/>
        <v>0</v>
      </c>
      <c r="G27" s="123">
        <f t="shared" si="8"/>
        <v>0</v>
      </c>
      <c r="H27" s="123">
        <f t="shared" si="8"/>
        <v>0</v>
      </c>
      <c r="I27" s="123">
        <f t="shared" si="8"/>
        <v>0</v>
      </c>
      <c r="J27" s="123">
        <f t="shared" si="8"/>
        <v>0</v>
      </c>
      <c r="K27" s="123">
        <f t="shared" si="8"/>
        <v>0</v>
      </c>
      <c r="L27" s="123">
        <f t="shared" si="8"/>
        <v>0</v>
      </c>
      <c r="M27" s="123">
        <f t="shared" si="8"/>
        <v>0</v>
      </c>
      <c r="N27" s="123">
        <f t="shared" si="8"/>
        <v>0</v>
      </c>
      <c r="O27" s="123">
        <f t="shared" si="8"/>
        <v>0</v>
      </c>
      <c r="P27" s="123">
        <f t="shared" si="8"/>
        <v>0</v>
      </c>
      <c r="Q27" s="123">
        <f t="shared" si="8"/>
        <v>0</v>
      </c>
      <c r="R27" s="123">
        <f t="shared" si="8"/>
        <v>0</v>
      </c>
      <c r="S27" s="123">
        <f t="shared" si="8"/>
        <v>0</v>
      </c>
      <c r="T27" s="123">
        <f t="shared" si="8"/>
        <v>0</v>
      </c>
      <c r="U27" s="123">
        <f t="shared" si="8"/>
        <v>0</v>
      </c>
      <c r="V27" s="123">
        <f t="shared" si="8"/>
        <v>0</v>
      </c>
      <c r="W27" s="123">
        <f t="shared" si="8"/>
        <v>0</v>
      </c>
      <c r="X27" s="123">
        <f t="shared" si="8"/>
        <v>0</v>
      </c>
      <c r="Y27" s="123">
        <f t="shared" si="8"/>
        <v>0</v>
      </c>
      <c r="Z27" s="123">
        <f t="shared" si="8"/>
        <v>0</v>
      </c>
      <c r="AA27" s="123">
        <f t="shared" si="8"/>
        <v>0</v>
      </c>
      <c r="AB27" s="123">
        <f t="shared" si="8"/>
        <v>0</v>
      </c>
      <c r="AC27" s="123">
        <f t="shared" si="8"/>
        <v>0</v>
      </c>
      <c r="AD27" s="123">
        <f t="shared" si="8"/>
        <v>0</v>
      </c>
      <c r="AE27" s="123">
        <f t="shared" si="8"/>
        <v>0</v>
      </c>
      <c r="AF27" s="123">
        <f t="shared" si="8"/>
        <v>0</v>
      </c>
      <c r="AG27" s="123">
        <f t="shared" si="8"/>
        <v>0</v>
      </c>
      <c r="AH27" s="123">
        <f t="shared" si="8"/>
        <v>0</v>
      </c>
      <c r="AI27" s="123">
        <f t="shared" si="8"/>
        <v>0</v>
      </c>
      <c r="AJ27" s="123">
        <f t="shared" si="8"/>
        <v>0</v>
      </c>
      <c r="AK27" s="123">
        <f t="shared" si="8"/>
        <v>0</v>
      </c>
      <c r="AL27" s="123">
        <f t="shared" si="8"/>
        <v>0</v>
      </c>
      <c r="AM27" s="123">
        <f t="shared" si="8"/>
        <v>0</v>
      </c>
      <c r="AN27" s="123">
        <f t="shared" si="8"/>
        <v>0</v>
      </c>
      <c r="AO27" s="123">
        <f t="shared" si="8"/>
        <v>0</v>
      </c>
      <c r="AP27" s="123">
        <f t="shared" si="8"/>
        <v>0</v>
      </c>
    </row>
    <row r="28" spans="1:42" x14ac:dyDescent="0.2">
      <c r="A28" s="209" t="s">
        <v>84</v>
      </c>
      <c r="B28" s="30"/>
      <c r="C28" s="141">
        <f t="shared" ref="C28:AP28" si="9">IF(C2&lt;=analysis_period,C$16+SUM(C18:C20)+C$26+C$27,0)</f>
        <v>8476300</v>
      </c>
      <c r="D28" s="141">
        <f t="shared" si="9"/>
        <v>8518260</v>
      </c>
      <c r="E28" s="141">
        <f t="shared" si="9"/>
        <v>8560420</v>
      </c>
      <c r="F28" s="141">
        <f t="shared" si="9"/>
        <v>8602800</v>
      </c>
      <c r="G28" s="141">
        <f t="shared" si="9"/>
        <v>8645380</v>
      </c>
      <c r="H28" s="141">
        <f t="shared" si="9"/>
        <v>8688170</v>
      </c>
      <c r="I28" s="141">
        <f t="shared" si="9"/>
        <v>8731180</v>
      </c>
      <c r="J28" s="141">
        <f t="shared" si="9"/>
        <v>8774400</v>
      </c>
      <c r="K28" s="141">
        <f t="shared" si="9"/>
        <v>8817830</v>
      </c>
      <c r="L28" s="141">
        <f t="shared" si="9"/>
        <v>8861480</v>
      </c>
      <c r="M28" s="141">
        <f t="shared" si="9"/>
        <v>8905350</v>
      </c>
      <c r="N28" s="141">
        <f t="shared" si="9"/>
        <v>8949430</v>
      </c>
      <c r="O28" s="141">
        <f t="shared" si="9"/>
        <v>8993730</v>
      </c>
      <c r="P28" s="141">
        <f t="shared" si="9"/>
        <v>9038250</v>
      </c>
      <c r="Q28" s="141">
        <f t="shared" si="9"/>
        <v>9082980</v>
      </c>
      <c r="R28" s="141">
        <f t="shared" si="9"/>
        <v>9127950</v>
      </c>
      <c r="S28" s="141">
        <f t="shared" si="9"/>
        <v>9173130</v>
      </c>
      <c r="T28" s="141">
        <f t="shared" si="9"/>
        <v>9218540</v>
      </c>
      <c r="U28" s="141">
        <f t="shared" si="9"/>
        <v>9264170</v>
      </c>
      <c r="V28" s="141">
        <f t="shared" si="9"/>
        <v>9310030</v>
      </c>
      <c r="W28" s="141">
        <f t="shared" si="9"/>
        <v>9356110</v>
      </c>
      <c r="X28" s="141">
        <f t="shared" si="9"/>
        <v>9402420</v>
      </c>
      <c r="Y28" s="141">
        <f t="shared" si="9"/>
        <v>9448960</v>
      </c>
      <c r="Z28" s="141">
        <f t="shared" si="9"/>
        <v>9495740</v>
      </c>
      <c r="AA28" s="141">
        <f t="shared" si="9"/>
        <v>9542740</v>
      </c>
      <c r="AB28" s="141">
        <f t="shared" si="9"/>
        <v>0</v>
      </c>
      <c r="AC28" s="141">
        <f t="shared" si="9"/>
        <v>0</v>
      </c>
      <c r="AD28" s="141">
        <f t="shared" si="9"/>
        <v>0</v>
      </c>
      <c r="AE28" s="141">
        <f t="shared" si="9"/>
        <v>0</v>
      </c>
      <c r="AF28" s="141">
        <f t="shared" si="9"/>
        <v>0</v>
      </c>
      <c r="AG28" s="141">
        <f t="shared" si="9"/>
        <v>0</v>
      </c>
      <c r="AH28" s="141">
        <f t="shared" si="9"/>
        <v>0</v>
      </c>
      <c r="AI28" s="141">
        <f t="shared" si="9"/>
        <v>0</v>
      </c>
      <c r="AJ28" s="141">
        <f t="shared" si="9"/>
        <v>0</v>
      </c>
      <c r="AK28" s="141">
        <f t="shared" si="9"/>
        <v>0</v>
      </c>
      <c r="AL28" s="141">
        <f t="shared" si="9"/>
        <v>0</v>
      </c>
      <c r="AM28" s="141">
        <f t="shared" si="9"/>
        <v>0</v>
      </c>
      <c r="AN28" s="141">
        <f t="shared" si="9"/>
        <v>0</v>
      </c>
      <c r="AO28" s="141">
        <f t="shared" si="9"/>
        <v>0</v>
      </c>
      <c r="AP28" s="141">
        <f t="shared" si="9"/>
        <v>0</v>
      </c>
    </row>
    <row r="29" spans="1:42" x14ac:dyDescent="0.2">
      <c r="A29" s="18"/>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row>
    <row r="30" spans="1:42" x14ac:dyDescent="0.2">
      <c r="A30" s="18" t="s">
        <v>117</v>
      </c>
      <c r="C30" s="123">
        <f>PropertyTaxAssessedValue</f>
        <v>106498000</v>
      </c>
      <c r="D30" s="123">
        <f>IF(D$2&lt;=analysis_period,PropertyTaxAssessedValue*(100-(D$2-1)*prop_tax_assessed_decline)/100,0)</f>
        <v>106498000</v>
      </c>
      <c r="E30" s="123">
        <f t="shared" ref="E30:AP30" si="10">IF(E$2&lt;=analysis_period,PropertyTaxAssessedValue*(100-(E$2-1)*prop_tax_assessed_decline)/100,0)</f>
        <v>106498000</v>
      </c>
      <c r="F30" s="123">
        <f t="shared" si="10"/>
        <v>106498000</v>
      </c>
      <c r="G30" s="123">
        <f t="shared" si="10"/>
        <v>106498000</v>
      </c>
      <c r="H30" s="123">
        <f t="shared" si="10"/>
        <v>106498000</v>
      </c>
      <c r="I30" s="123">
        <f t="shared" si="10"/>
        <v>106498000</v>
      </c>
      <c r="J30" s="123">
        <f t="shared" si="10"/>
        <v>106498000</v>
      </c>
      <c r="K30" s="123">
        <f t="shared" si="10"/>
        <v>106498000</v>
      </c>
      <c r="L30" s="123">
        <f t="shared" si="10"/>
        <v>106498000</v>
      </c>
      <c r="M30" s="123">
        <f t="shared" si="10"/>
        <v>106498000</v>
      </c>
      <c r="N30" s="123">
        <f t="shared" si="10"/>
        <v>106498000</v>
      </c>
      <c r="O30" s="123">
        <f t="shared" si="10"/>
        <v>106498000</v>
      </c>
      <c r="P30" s="123">
        <f t="shared" si="10"/>
        <v>106498000</v>
      </c>
      <c r="Q30" s="123">
        <f t="shared" si="10"/>
        <v>106498000</v>
      </c>
      <c r="R30" s="123">
        <f t="shared" si="10"/>
        <v>106498000</v>
      </c>
      <c r="S30" s="123">
        <f t="shared" si="10"/>
        <v>106498000</v>
      </c>
      <c r="T30" s="123">
        <f t="shared" si="10"/>
        <v>106498000</v>
      </c>
      <c r="U30" s="123">
        <f t="shared" si="10"/>
        <v>106498000</v>
      </c>
      <c r="V30" s="123">
        <f t="shared" si="10"/>
        <v>106498000</v>
      </c>
      <c r="W30" s="123">
        <f t="shared" si="10"/>
        <v>106498000</v>
      </c>
      <c r="X30" s="123">
        <f t="shared" si="10"/>
        <v>106498000</v>
      </c>
      <c r="Y30" s="123">
        <f t="shared" si="10"/>
        <v>106498000</v>
      </c>
      <c r="Z30" s="123">
        <f t="shared" si="10"/>
        <v>106498000</v>
      </c>
      <c r="AA30" s="123">
        <f t="shared" si="10"/>
        <v>106498000</v>
      </c>
      <c r="AB30" s="123">
        <f t="shared" si="10"/>
        <v>0</v>
      </c>
      <c r="AC30" s="123">
        <f t="shared" si="10"/>
        <v>0</v>
      </c>
      <c r="AD30" s="123">
        <f t="shared" si="10"/>
        <v>0</v>
      </c>
      <c r="AE30" s="123">
        <f t="shared" si="10"/>
        <v>0</v>
      </c>
      <c r="AF30" s="123">
        <f t="shared" si="10"/>
        <v>0</v>
      </c>
      <c r="AG30" s="123">
        <f t="shared" si="10"/>
        <v>0</v>
      </c>
      <c r="AH30" s="123">
        <f t="shared" si="10"/>
        <v>0</v>
      </c>
      <c r="AI30" s="123">
        <f t="shared" si="10"/>
        <v>0</v>
      </c>
      <c r="AJ30" s="123">
        <f t="shared" si="10"/>
        <v>0</v>
      </c>
      <c r="AK30" s="123">
        <f t="shared" si="10"/>
        <v>0</v>
      </c>
      <c r="AL30" s="123">
        <f t="shared" si="10"/>
        <v>0</v>
      </c>
      <c r="AM30" s="123">
        <f t="shared" si="10"/>
        <v>0</v>
      </c>
      <c r="AN30" s="123">
        <f t="shared" si="10"/>
        <v>0</v>
      </c>
      <c r="AO30" s="123">
        <f t="shared" si="10"/>
        <v>0</v>
      </c>
      <c r="AP30" s="123">
        <f t="shared" si="10"/>
        <v>0</v>
      </c>
    </row>
    <row r="31" spans="1:42" x14ac:dyDescent="0.2">
      <c r="A31" s="22"/>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row>
    <row r="32" spans="1:42" x14ac:dyDescent="0.2">
      <c r="A32" s="84" t="s">
        <v>254</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row>
    <row r="33" spans="1:42" x14ac:dyDescent="0.2">
      <c r="A33" s="4" t="s">
        <v>233</v>
      </c>
      <c r="C33" s="15"/>
      <c r="D33" s="15"/>
      <c r="E33" s="15"/>
      <c r="F33" s="15"/>
      <c r="G33" s="15"/>
      <c r="H33" s="15"/>
      <c r="I33" s="15"/>
      <c r="J33" s="15"/>
      <c r="K33" s="15"/>
      <c r="L33" s="15"/>
      <c r="M33" s="15"/>
      <c r="N33" s="15"/>
      <c r="O33" s="15"/>
      <c r="P33" s="15"/>
      <c r="Q33" s="15"/>
      <c r="R33" s="15"/>
      <c r="S33" s="15"/>
    </row>
    <row r="34" spans="1:42" x14ac:dyDescent="0.2">
      <c r="A34" s="90" t="s">
        <v>234</v>
      </c>
      <c r="C34" s="123">
        <f>IF(C$2&lt;=analysis_period,IF(om_fixed="n/a",Inputs!D162,om_fixed*(1+inflation_rate/100+om_fixed_escal/100)^B$2),0)</f>
        <v>0</v>
      </c>
      <c r="D34" s="123">
        <f>IF(D$2&lt;=analysis_period,IF(om_fixed="n/a",Inputs!E162,om_fixed*(1+inflation_rate/100+om_fixed_escal/100)^C$2),0)</f>
        <v>0</v>
      </c>
      <c r="E34" s="123">
        <f>IF(E$2&lt;=analysis_period,IF(om_fixed="n/a",Inputs!F162,om_fixed*(1+inflation_rate/100+om_fixed_escal/100)^D$2),0)</f>
        <v>0</v>
      </c>
      <c r="F34" s="123">
        <f>IF(F$2&lt;=analysis_period,IF(om_fixed="n/a",Inputs!G162,om_fixed*(1+inflation_rate/100+om_fixed_escal/100)^E$2),0)</f>
        <v>0</v>
      </c>
      <c r="G34" s="123">
        <f>IF(G$2&lt;=analysis_period,IF(om_fixed="n/a",Inputs!H162,om_fixed*(1+inflation_rate/100+om_fixed_escal/100)^F$2),0)</f>
        <v>0</v>
      </c>
      <c r="H34" s="123">
        <f>IF(H$2&lt;=analysis_period,IF(om_fixed="n/a",Inputs!I162,om_fixed*(1+inflation_rate/100+om_fixed_escal/100)^G$2),0)</f>
        <v>0</v>
      </c>
      <c r="I34" s="123">
        <f>IF(I$2&lt;=analysis_period,IF(om_fixed="n/a",Inputs!J162,om_fixed*(1+inflation_rate/100+om_fixed_escal/100)^H$2),0)</f>
        <v>0</v>
      </c>
      <c r="J34" s="123">
        <f>IF(J$2&lt;=analysis_period,IF(om_fixed="n/a",Inputs!K162,om_fixed*(1+inflation_rate/100+om_fixed_escal/100)^I$2),0)</f>
        <v>0</v>
      </c>
      <c r="K34" s="123">
        <f>IF(K$2&lt;=analysis_period,IF(om_fixed="n/a",Inputs!L162,om_fixed*(1+inflation_rate/100+om_fixed_escal/100)^J$2),0)</f>
        <v>0</v>
      </c>
      <c r="L34" s="123">
        <f>IF(L$2&lt;=analysis_period,IF(om_fixed="n/a",Inputs!M162,om_fixed*(1+inflation_rate/100+om_fixed_escal/100)^K$2),0)</f>
        <v>0</v>
      </c>
      <c r="M34" s="123">
        <f>IF(M$2&lt;=analysis_period,IF(om_fixed="n/a",Inputs!N162,om_fixed*(1+inflation_rate/100+om_fixed_escal/100)^L$2),0)</f>
        <v>0</v>
      </c>
      <c r="N34" s="123">
        <f>IF(N$2&lt;=analysis_period,IF(om_fixed="n/a",Inputs!O162,om_fixed*(1+inflation_rate/100+om_fixed_escal/100)^M$2),0)</f>
        <v>0</v>
      </c>
      <c r="O34" s="123">
        <f>IF(O$2&lt;=analysis_period,IF(om_fixed="n/a",Inputs!P162,om_fixed*(1+inflation_rate/100+om_fixed_escal/100)^N$2),0)</f>
        <v>0</v>
      </c>
      <c r="P34" s="123">
        <f>IF(P$2&lt;=analysis_period,IF(om_fixed="n/a",Inputs!Q162,om_fixed*(1+inflation_rate/100+om_fixed_escal/100)^O$2),0)</f>
        <v>0</v>
      </c>
      <c r="Q34" s="123">
        <f>IF(Q$2&lt;=analysis_period,IF(om_fixed="n/a",Inputs!R162,om_fixed*(1+inflation_rate/100+om_fixed_escal/100)^P$2),0)</f>
        <v>0</v>
      </c>
      <c r="R34" s="123">
        <f>IF(R$2&lt;=analysis_period,IF(om_fixed="n/a",Inputs!S162,om_fixed*(1+inflation_rate/100+om_fixed_escal/100)^Q$2),0)</f>
        <v>0</v>
      </c>
      <c r="S34" s="123">
        <f>IF(S$2&lt;=analysis_period,IF(om_fixed="n/a",Inputs!T162,om_fixed*(1+inflation_rate/100+om_fixed_escal/100)^R$2),0)</f>
        <v>0</v>
      </c>
      <c r="T34" s="123">
        <f>IF(T$2&lt;=analysis_period,IF(om_fixed="n/a",Inputs!U162,om_fixed*(1+inflation_rate/100+om_fixed_escal/100)^S$2),0)</f>
        <v>0</v>
      </c>
      <c r="U34" s="123">
        <f>IF(U$2&lt;=analysis_period,IF(om_fixed="n/a",Inputs!V162,om_fixed*(1+inflation_rate/100+om_fixed_escal/100)^T$2),0)</f>
        <v>0</v>
      </c>
      <c r="V34" s="123">
        <f>IF(V$2&lt;=analysis_period,IF(om_fixed="n/a",Inputs!W162,om_fixed*(1+inflation_rate/100+om_fixed_escal/100)^U$2),0)</f>
        <v>0</v>
      </c>
      <c r="W34" s="123">
        <f>IF(W$2&lt;=analysis_period,IF(om_fixed="n/a",Inputs!X162,om_fixed*(1+inflation_rate/100+om_fixed_escal/100)^V$2),0)</f>
        <v>0</v>
      </c>
      <c r="X34" s="123">
        <f>IF(X$2&lt;=analysis_period,IF(om_fixed="n/a",Inputs!Y162,om_fixed*(1+inflation_rate/100+om_fixed_escal/100)^W$2),0)</f>
        <v>0</v>
      </c>
      <c r="Y34" s="123">
        <f>IF(Y$2&lt;=analysis_period,IF(om_fixed="n/a",Inputs!Z162,om_fixed*(1+inflation_rate/100+om_fixed_escal/100)^X$2),0)</f>
        <v>0</v>
      </c>
      <c r="Z34" s="123">
        <f>IF(Z$2&lt;=analysis_period,IF(om_fixed="n/a",Inputs!AA162,om_fixed*(1+inflation_rate/100+om_fixed_escal/100)^Y$2),0)</f>
        <v>0</v>
      </c>
      <c r="AA34" s="123">
        <f>IF(AA$2&lt;=analysis_period,IF(om_fixed="n/a",Inputs!AB162,om_fixed*(1+inflation_rate/100+om_fixed_escal/100)^Z$2),0)</f>
        <v>0</v>
      </c>
      <c r="AB34" s="123">
        <f>IF(AB$2&lt;=analysis_period,IF(om_fixed="n/a",Inputs!AC162,om_fixed*(1+inflation_rate/100+om_fixed_escal/100)^AA$2),0)</f>
        <v>0</v>
      </c>
      <c r="AC34" s="123">
        <f>IF(AC$2&lt;=analysis_period,IF(om_fixed="n/a",Inputs!AD162,om_fixed*(1+inflation_rate/100+om_fixed_escal/100)^AB$2),0)</f>
        <v>0</v>
      </c>
      <c r="AD34" s="123">
        <f>IF(AD$2&lt;=analysis_period,IF(om_fixed="n/a",Inputs!AE162,om_fixed*(1+inflation_rate/100+om_fixed_escal/100)^AC$2),0)</f>
        <v>0</v>
      </c>
      <c r="AE34" s="123">
        <f>IF(AE$2&lt;=analysis_period,IF(om_fixed="n/a",Inputs!AF162,om_fixed*(1+inflation_rate/100+om_fixed_escal/100)^AD$2),0)</f>
        <v>0</v>
      </c>
      <c r="AF34" s="123">
        <f>IF(AF$2&lt;=analysis_period,IF(om_fixed="n/a",Inputs!AG162,om_fixed*(1+inflation_rate/100+om_fixed_escal/100)^AE$2),0)</f>
        <v>0</v>
      </c>
      <c r="AG34" s="123">
        <f>IF(AG$2&lt;=analysis_period,IF(om_fixed="n/a",Inputs!AH162,om_fixed*(1+inflation_rate/100+om_fixed_escal/100)^AF$2),0)</f>
        <v>0</v>
      </c>
      <c r="AH34" s="123">
        <f>IF(AH$2&lt;=analysis_period,IF(om_fixed="n/a",Inputs!AI162,om_fixed*(1+inflation_rate/100+om_fixed_escal/100)^AG$2),0)</f>
        <v>0</v>
      </c>
      <c r="AI34" s="123">
        <f>IF(AI$2&lt;=analysis_period,IF(om_fixed="n/a",Inputs!AJ162,om_fixed*(1+inflation_rate/100+om_fixed_escal/100)^AH$2),0)</f>
        <v>0</v>
      </c>
      <c r="AJ34" s="123">
        <f>IF(AJ$2&lt;=analysis_period,IF(om_fixed="n/a",Inputs!AK162,om_fixed*(1+inflation_rate/100+om_fixed_escal/100)^AI$2),0)</f>
        <v>0</v>
      </c>
      <c r="AK34" s="123">
        <f>IF(AK$2&lt;=analysis_period,IF(om_fixed="n/a",Inputs!AL162,om_fixed*(1+inflation_rate/100+om_fixed_escal/100)^AJ$2),0)</f>
        <v>0</v>
      </c>
      <c r="AL34" s="123">
        <f>IF(AL$2&lt;=analysis_period,IF(om_fixed="n/a",Inputs!AM162,om_fixed*(1+inflation_rate/100+om_fixed_escal/100)^AK$2),0)</f>
        <v>0</v>
      </c>
      <c r="AM34" s="123">
        <f>IF(AM$2&lt;=analysis_period,IF(om_fixed="n/a",Inputs!AN162,om_fixed*(1+inflation_rate/100+om_fixed_escal/100)^AL$2),0)</f>
        <v>0</v>
      </c>
      <c r="AN34" s="123">
        <f>IF(AN$2&lt;=analysis_period,IF(om_fixed="n/a",Inputs!AO162,om_fixed*(1+inflation_rate/100+om_fixed_escal/100)^AM$2),0)</f>
        <v>0</v>
      </c>
      <c r="AO34" s="123">
        <f>IF(AO$2&lt;=analysis_period,IF(om_fixed="n/a",Inputs!AP162,om_fixed*(1+inflation_rate/100+om_fixed_escal/100)^AN$2),0)</f>
        <v>0</v>
      </c>
      <c r="AP34" s="123">
        <f>IF(AP$2&lt;=analysis_period,IF(om_fixed="n/a",Inputs!AQ162,om_fixed*(1+inflation_rate/100+om_fixed_escal/100)^AO$2),0)</f>
        <v>0</v>
      </c>
    </row>
    <row r="35" spans="1:42" x14ac:dyDescent="0.2">
      <c r="A35" s="90" t="s">
        <v>235</v>
      </c>
    </row>
    <row r="36" spans="1:42" x14ac:dyDescent="0.2">
      <c r="A36" s="91" t="s">
        <v>11</v>
      </c>
      <c r="C36" s="157">
        <f t="shared" ref="C36:AP36" si="11">IF(C$2&lt;=analysis_period,system_capacity,0)</f>
        <v>100000</v>
      </c>
      <c r="D36" s="157">
        <f t="shared" si="11"/>
        <v>100000</v>
      </c>
      <c r="E36" s="157">
        <f t="shared" si="11"/>
        <v>100000</v>
      </c>
      <c r="F36" s="157">
        <f t="shared" si="11"/>
        <v>100000</v>
      </c>
      <c r="G36" s="157">
        <f t="shared" si="11"/>
        <v>100000</v>
      </c>
      <c r="H36" s="157">
        <f t="shared" si="11"/>
        <v>100000</v>
      </c>
      <c r="I36" s="157">
        <f t="shared" si="11"/>
        <v>100000</v>
      </c>
      <c r="J36" s="157">
        <f t="shared" si="11"/>
        <v>100000</v>
      </c>
      <c r="K36" s="157">
        <f t="shared" si="11"/>
        <v>100000</v>
      </c>
      <c r="L36" s="157">
        <f t="shared" si="11"/>
        <v>100000</v>
      </c>
      <c r="M36" s="157">
        <f t="shared" si="11"/>
        <v>100000</v>
      </c>
      <c r="N36" s="157">
        <f t="shared" si="11"/>
        <v>100000</v>
      </c>
      <c r="O36" s="157">
        <f t="shared" si="11"/>
        <v>100000</v>
      </c>
      <c r="P36" s="157">
        <f t="shared" si="11"/>
        <v>100000</v>
      </c>
      <c r="Q36" s="157">
        <f t="shared" si="11"/>
        <v>100000</v>
      </c>
      <c r="R36" s="157">
        <f t="shared" si="11"/>
        <v>100000</v>
      </c>
      <c r="S36" s="157">
        <f t="shared" si="11"/>
        <v>100000</v>
      </c>
      <c r="T36" s="157">
        <f t="shared" si="11"/>
        <v>100000</v>
      </c>
      <c r="U36" s="157">
        <f t="shared" si="11"/>
        <v>100000</v>
      </c>
      <c r="V36" s="157">
        <f t="shared" si="11"/>
        <v>100000</v>
      </c>
      <c r="W36" s="157">
        <f t="shared" si="11"/>
        <v>100000</v>
      </c>
      <c r="X36" s="157">
        <f t="shared" si="11"/>
        <v>100000</v>
      </c>
      <c r="Y36" s="157">
        <f t="shared" si="11"/>
        <v>100000</v>
      </c>
      <c r="Z36" s="157">
        <f t="shared" si="11"/>
        <v>100000</v>
      </c>
      <c r="AA36" s="157">
        <f t="shared" si="11"/>
        <v>100000</v>
      </c>
      <c r="AB36" s="157">
        <f t="shared" si="11"/>
        <v>0</v>
      </c>
      <c r="AC36" s="157">
        <f t="shared" si="11"/>
        <v>0</v>
      </c>
      <c r="AD36" s="157">
        <f t="shared" si="11"/>
        <v>0</v>
      </c>
      <c r="AE36" s="157">
        <f t="shared" si="11"/>
        <v>0</v>
      </c>
      <c r="AF36" s="157">
        <f t="shared" si="11"/>
        <v>0</v>
      </c>
      <c r="AG36" s="157">
        <f t="shared" si="11"/>
        <v>0</v>
      </c>
      <c r="AH36" s="157">
        <f t="shared" si="11"/>
        <v>0</v>
      </c>
      <c r="AI36" s="157">
        <f t="shared" si="11"/>
        <v>0</v>
      </c>
      <c r="AJ36" s="157">
        <f t="shared" si="11"/>
        <v>0</v>
      </c>
      <c r="AK36" s="157">
        <f t="shared" si="11"/>
        <v>0</v>
      </c>
      <c r="AL36" s="157">
        <f t="shared" si="11"/>
        <v>0</v>
      </c>
      <c r="AM36" s="157">
        <f t="shared" si="11"/>
        <v>0</v>
      </c>
      <c r="AN36" s="157">
        <f t="shared" si="11"/>
        <v>0</v>
      </c>
      <c r="AO36" s="157">
        <f t="shared" si="11"/>
        <v>0</v>
      </c>
      <c r="AP36" s="157">
        <f t="shared" si="11"/>
        <v>0</v>
      </c>
    </row>
    <row r="37" spans="1:42" x14ac:dyDescent="0.2">
      <c r="A37" s="91" t="s">
        <v>12</v>
      </c>
      <c r="C37" s="155">
        <f>IF(C$2&lt;=analysis_period,IF(om_capacity="n/a",Inputs!D163,om_capacity*(1+inflation_rate/100+om_capacity_escal/100)^B$2),0)</f>
        <v>15</v>
      </c>
      <c r="D37" s="155">
        <f>IF(D$2&lt;=analysis_period,IF(om_capacity="n/a",Inputs!E163,om_capacity*(1+inflation_rate/100+om_capacity_escal/100)^C$2),0)</f>
        <v>15.374999999999998</v>
      </c>
      <c r="E37" s="155">
        <f>IF(E$2&lt;=analysis_period,IF(om_capacity="n/a",Inputs!F163,om_capacity*(1+inflation_rate/100+om_capacity_escal/100)^D$2),0)</f>
        <v>15.759374999999999</v>
      </c>
      <c r="F37" s="155">
        <f>IF(F$2&lt;=analysis_period,IF(om_capacity="n/a",Inputs!G163,om_capacity*(1+inflation_rate/100+om_capacity_escal/100)^E$2),0)</f>
        <v>16.153359374999997</v>
      </c>
      <c r="G37" s="155">
        <f>IF(G$2&lt;=analysis_period,IF(om_capacity="n/a",Inputs!H163,om_capacity*(1+inflation_rate/100+om_capacity_escal/100)^F$2),0)</f>
        <v>16.557193359374995</v>
      </c>
      <c r="H37" s="155">
        <f>IF(H$2&lt;=analysis_period,IF(om_capacity="n/a",Inputs!I163,om_capacity*(1+inflation_rate/100+om_capacity_escal/100)^G$2),0)</f>
        <v>16.971123193359368</v>
      </c>
      <c r="I37" s="155">
        <f>IF(I$2&lt;=analysis_period,IF(om_capacity="n/a",Inputs!J163,om_capacity*(1+inflation_rate/100+om_capacity_escal/100)^H$2),0)</f>
        <v>17.395401273193354</v>
      </c>
      <c r="J37" s="155">
        <f>IF(J$2&lt;=analysis_period,IF(om_capacity="n/a",Inputs!K163,om_capacity*(1+inflation_rate/100+om_capacity_escal/100)^I$2),0)</f>
        <v>17.830286305023186</v>
      </c>
      <c r="K37" s="155">
        <f>IF(K$2&lt;=analysis_period,IF(om_capacity="n/a",Inputs!L163,om_capacity*(1+inflation_rate/100+om_capacity_escal/100)^J$2),0)</f>
        <v>18.276043462648765</v>
      </c>
      <c r="L37" s="155">
        <f>IF(L$2&lt;=analysis_period,IF(om_capacity="n/a",Inputs!M163,om_capacity*(1+inflation_rate/100+om_capacity_escal/100)^K$2),0)</f>
        <v>18.732944549214981</v>
      </c>
      <c r="M37" s="155">
        <f>IF(M$2&lt;=analysis_period,IF(om_capacity="n/a",Inputs!N163,om_capacity*(1+inflation_rate/100+om_capacity_escal/100)^L$2),0)</f>
        <v>19.201268162945357</v>
      </c>
      <c r="N37" s="155">
        <f>IF(N$2&lt;=analysis_period,IF(om_capacity="n/a",Inputs!O163,om_capacity*(1+inflation_rate/100+om_capacity_escal/100)^M$2),0)</f>
        <v>19.681299867018989</v>
      </c>
      <c r="O37" s="155">
        <f>IF(O$2&lt;=analysis_period,IF(om_capacity="n/a",Inputs!P163,om_capacity*(1+inflation_rate/100+om_capacity_escal/100)^N$2),0)</f>
        <v>20.173332363694463</v>
      </c>
      <c r="P37" s="155">
        <f>IF(P$2&lt;=analysis_period,IF(om_capacity="n/a",Inputs!Q163,om_capacity*(1+inflation_rate/100+om_capacity_escal/100)^O$2),0)</f>
        <v>20.677665672786823</v>
      </c>
      <c r="Q37" s="155">
        <f>IF(Q$2&lt;=analysis_period,IF(om_capacity="n/a",Inputs!R163,om_capacity*(1+inflation_rate/100+om_capacity_escal/100)^P$2),0)</f>
        <v>21.194607314606493</v>
      </c>
      <c r="R37" s="155">
        <f>IF(R$2&lt;=analysis_period,IF(om_capacity="n/a",Inputs!S163,om_capacity*(1+inflation_rate/100+om_capacity_escal/100)^Q$2),0)</f>
        <v>21.724472497471659</v>
      </c>
      <c r="S37" s="155">
        <f>IF(S$2&lt;=analysis_period,IF(om_capacity="n/a",Inputs!T163,om_capacity*(1+inflation_rate/100+om_capacity_escal/100)^R$2),0)</f>
        <v>22.267584309908447</v>
      </c>
      <c r="T37" s="155">
        <f>IF(T$2&lt;=analysis_period,IF(om_capacity="n/a",Inputs!U163,om_capacity*(1+inflation_rate/100+om_capacity_escal/100)^S$2),0)</f>
        <v>22.824273917656154</v>
      </c>
      <c r="U37" s="155">
        <f>IF(U$2&lt;=analysis_period,IF(om_capacity="n/a",Inputs!V163,om_capacity*(1+inflation_rate/100+om_capacity_escal/100)^T$2),0)</f>
        <v>23.394880765597559</v>
      </c>
      <c r="V37" s="155">
        <f>IF(V$2&lt;=analysis_period,IF(om_capacity="n/a",Inputs!W163,om_capacity*(1+inflation_rate/100+om_capacity_escal/100)^U$2),0)</f>
        <v>23.979752784737499</v>
      </c>
      <c r="W37" s="155">
        <f>IF(W$2&lt;=analysis_period,IF(om_capacity="n/a",Inputs!X163,om_capacity*(1+inflation_rate/100+om_capacity_escal/100)^V$2),0)</f>
        <v>24.579246604355934</v>
      </c>
      <c r="X37" s="155">
        <f>IF(X$2&lt;=analysis_period,IF(om_capacity="n/a",Inputs!Y163,om_capacity*(1+inflation_rate/100+om_capacity_escal/100)^W$2),0)</f>
        <v>25.193727769464829</v>
      </c>
      <c r="Y37" s="155">
        <f>IF(Y$2&lt;=analysis_period,IF(om_capacity="n/a",Inputs!Z163,om_capacity*(1+inflation_rate/100+om_capacity_escal/100)^X$2),0)</f>
        <v>25.823570963701449</v>
      </c>
      <c r="Z37" s="155">
        <f>IF(Z$2&lt;=analysis_period,IF(om_capacity="n/a",Inputs!AA163,om_capacity*(1+inflation_rate/100+om_capacity_escal/100)^Y$2),0)</f>
        <v>26.469160237793986</v>
      </c>
      <c r="AA37" s="155">
        <f>IF(AA$2&lt;=analysis_period,IF(om_capacity="n/a",Inputs!AB163,om_capacity*(1+inflation_rate/100+om_capacity_escal/100)^Z$2),0)</f>
        <v>27.130889243738835</v>
      </c>
      <c r="AB37" s="155">
        <f>IF(AB$2&lt;=analysis_period,IF(om_capacity="n/a",Inputs!AC163,om_capacity*(1+inflation_rate/100+om_capacity_escal/100)^AA$2),0)</f>
        <v>0</v>
      </c>
      <c r="AC37" s="155">
        <f>IF(AC$2&lt;=analysis_period,IF(om_capacity="n/a",Inputs!AD163,om_capacity*(1+inflation_rate/100+om_capacity_escal/100)^AB$2),0)</f>
        <v>0</v>
      </c>
      <c r="AD37" s="155">
        <f>IF(AD$2&lt;=analysis_period,IF(om_capacity="n/a",Inputs!AE163,om_capacity*(1+inflation_rate/100+om_capacity_escal/100)^AC$2),0)</f>
        <v>0</v>
      </c>
      <c r="AE37" s="155">
        <f>IF(AE$2&lt;=analysis_period,IF(om_capacity="n/a",Inputs!AF163,om_capacity*(1+inflation_rate/100+om_capacity_escal/100)^AD$2),0)</f>
        <v>0</v>
      </c>
      <c r="AF37" s="155">
        <f>IF(AF$2&lt;=analysis_period,IF(om_capacity="n/a",Inputs!AG163,om_capacity*(1+inflation_rate/100+om_capacity_escal/100)^AE$2),0)</f>
        <v>0</v>
      </c>
      <c r="AG37" s="155">
        <f>IF(AG$2&lt;=analysis_period,IF(om_capacity="n/a",Inputs!AH163,om_capacity*(1+inflation_rate/100+om_capacity_escal/100)^AF$2),0)</f>
        <v>0</v>
      </c>
      <c r="AH37" s="155">
        <f>IF(AH$2&lt;=analysis_period,IF(om_capacity="n/a",Inputs!AI163,om_capacity*(1+inflation_rate/100+om_capacity_escal/100)^AG$2),0)</f>
        <v>0</v>
      </c>
      <c r="AI37" s="155">
        <f>IF(AI$2&lt;=analysis_period,IF(om_capacity="n/a",Inputs!AJ163,om_capacity*(1+inflation_rate/100+om_capacity_escal/100)^AH$2),0)</f>
        <v>0</v>
      </c>
      <c r="AJ37" s="155">
        <f>IF(AJ$2&lt;=analysis_period,IF(om_capacity="n/a",Inputs!AK163,om_capacity*(1+inflation_rate/100+om_capacity_escal/100)^AI$2),0)</f>
        <v>0</v>
      </c>
      <c r="AK37" s="155">
        <f>IF(AK$2&lt;=analysis_period,IF(om_capacity="n/a",Inputs!AL163,om_capacity*(1+inflation_rate/100+om_capacity_escal/100)^AJ$2),0)</f>
        <v>0</v>
      </c>
      <c r="AL37" s="155">
        <f>IF(AL$2&lt;=analysis_period,IF(om_capacity="n/a",Inputs!AM163,om_capacity*(1+inflation_rate/100+om_capacity_escal/100)^AK$2),0)</f>
        <v>0</v>
      </c>
      <c r="AM37" s="155">
        <f>IF(AM$2&lt;=analysis_period,IF(om_capacity="n/a",Inputs!AN163,om_capacity*(1+inflation_rate/100+om_capacity_escal/100)^AL$2),0)</f>
        <v>0</v>
      </c>
      <c r="AN37" s="155">
        <f>IF(AN$2&lt;=analysis_period,IF(om_capacity="n/a",Inputs!AO163,om_capacity*(1+inflation_rate/100+om_capacity_escal/100)^AM$2),0)</f>
        <v>0</v>
      </c>
      <c r="AO37" s="155">
        <f>IF(AO$2&lt;=analysis_period,IF(om_capacity="n/a",Inputs!AP163,om_capacity*(1+inflation_rate/100+om_capacity_escal/100)^AN$2),0)</f>
        <v>0</v>
      </c>
      <c r="AP37" s="155">
        <f>IF(AP$2&lt;=analysis_period,IF(om_capacity="n/a",Inputs!AQ163,om_capacity*(1+inflation_rate/100+om_capacity_escal/100)^AO$2),0)</f>
        <v>0</v>
      </c>
    </row>
    <row r="38" spans="1:42" x14ac:dyDescent="0.2">
      <c r="A38" s="91" t="s">
        <v>119</v>
      </c>
      <c r="C38" s="123">
        <f>C36*C37</f>
        <v>1500000</v>
      </c>
      <c r="D38" s="123">
        <f t="shared" ref="D38:AP38" si="12">D36*D37</f>
        <v>1537499.9999999998</v>
      </c>
      <c r="E38" s="123">
        <f t="shared" si="12"/>
        <v>1575937.4999999998</v>
      </c>
      <c r="F38" s="123">
        <f t="shared" si="12"/>
        <v>1615335.9374999998</v>
      </c>
      <c r="G38" s="123">
        <f t="shared" si="12"/>
        <v>1655719.3359374995</v>
      </c>
      <c r="H38" s="123">
        <f t="shared" si="12"/>
        <v>1697112.3193359368</v>
      </c>
      <c r="I38" s="123">
        <f t="shared" si="12"/>
        <v>1739540.1273193355</v>
      </c>
      <c r="J38" s="123">
        <f t="shared" si="12"/>
        <v>1783028.6305023187</v>
      </c>
      <c r="K38" s="123">
        <f t="shared" si="12"/>
        <v>1827604.3462648764</v>
      </c>
      <c r="L38" s="123">
        <f t="shared" si="12"/>
        <v>1873294.4549214982</v>
      </c>
      <c r="M38" s="123">
        <f t="shared" si="12"/>
        <v>1920126.8162945358</v>
      </c>
      <c r="N38" s="123">
        <f t="shared" si="12"/>
        <v>1968129.986701899</v>
      </c>
      <c r="O38" s="123">
        <f t="shared" si="12"/>
        <v>2017333.2363694464</v>
      </c>
      <c r="P38" s="123">
        <f t="shared" si="12"/>
        <v>2067766.5672786823</v>
      </c>
      <c r="Q38" s="123">
        <f t="shared" si="12"/>
        <v>2119460.7314606495</v>
      </c>
      <c r="R38" s="123">
        <f t="shared" si="12"/>
        <v>2172447.2497471659</v>
      </c>
      <c r="S38" s="123">
        <f t="shared" si="12"/>
        <v>2226758.4309908445</v>
      </c>
      <c r="T38" s="123">
        <f t="shared" si="12"/>
        <v>2282427.3917656154</v>
      </c>
      <c r="U38" s="123">
        <f t="shared" si="12"/>
        <v>2339488.076559756</v>
      </c>
      <c r="V38" s="123">
        <f t="shared" si="12"/>
        <v>2397975.2784737498</v>
      </c>
      <c r="W38" s="123">
        <f t="shared" si="12"/>
        <v>2457924.6604355932</v>
      </c>
      <c r="X38" s="123">
        <f t="shared" si="12"/>
        <v>2519372.7769464827</v>
      </c>
      <c r="Y38" s="123">
        <f t="shared" si="12"/>
        <v>2582357.0963701447</v>
      </c>
      <c r="Z38" s="123">
        <f t="shared" si="12"/>
        <v>2646916.0237793988</v>
      </c>
      <c r="AA38" s="123">
        <f t="shared" si="12"/>
        <v>2713088.9243738833</v>
      </c>
      <c r="AB38" s="123">
        <f t="shared" si="12"/>
        <v>0</v>
      </c>
      <c r="AC38" s="123">
        <f t="shared" si="12"/>
        <v>0</v>
      </c>
      <c r="AD38" s="123">
        <f t="shared" si="12"/>
        <v>0</v>
      </c>
      <c r="AE38" s="123">
        <f t="shared" si="12"/>
        <v>0</v>
      </c>
      <c r="AF38" s="123">
        <f t="shared" si="12"/>
        <v>0</v>
      </c>
      <c r="AG38" s="123">
        <f t="shared" si="12"/>
        <v>0</v>
      </c>
      <c r="AH38" s="123">
        <f t="shared" si="12"/>
        <v>0</v>
      </c>
      <c r="AI38" s="123">
        <f t="shared" si="12"/>
        <v>0</v>
      </c>
      <c r="AJ38" s="123">
        <f t="shared" si="12"/>
        <v>0</v>
      </c>
      <c r="AK38" s="123">
        <f t="shared" si="12"/>
        <v>0</v>
      </c>
      <c r="AL38" s="123">
        <f t="shared" si="12"/>
        <v>0</v>
      </c>
      <c r="AM38" s="123">
        <f t="shared" si="12"/>
        <v>0</v>
      </c>
      <c r="AN38" s="123">
        <f t="shared" si="12"/>
        <v>0</v>
      </c>
      <c r="AO38" s="123">
        <f t="shared" si="12"/>
        <v>0</v>
      </c>
      <c r="AP38" s="123">
        <f t="shared" si="12"/>
        <v>0</v>
      </c>
    </row>
    <row r="39" spans="1:42" x14ac:dyDescent="0.2">
      <c r="A39" s="90" t="s">
        <v>236</v>
      </c>
    </row>
    <row r="40" spans="1:42" x14ac:dyDescent="0.2">
      <c r="A40" s="91" t="s">
        <v>14</v>
      </c>
      <c r="C40" s="157">
        <f>IF(C$8=0,C$5,C$8)/1000</f>
        <v>211907</v>
      </c>
      <c r="D40" s="157">
        <f t="shared" ref="D40:AP40" si="13">IF(D$8=0,D$5,D$8)/1000</f>
        <v>210848</v>
      </c>
      <c r="E40" s="157">
        <f t="shared" si="13"/>
        <v>209794</v>
      </c>
      <c r="F40" s="157">
        <f t="shared" si="13"/>
        <v>208745</v>
      </c>
      <c r="G40" s="157">
        <f t="shared" si="13"/>
        <v>207701</v>
      </c>
      <c r="H40" s="157">
        <f t="shared" si="13"/>
        <v>206662</v>
      </c>
      <c r="I40" s="157">
        <f t="shared" si="13"/>
        <v>205629</v>
      </c>
      <c r="J40" s="157">
        <f t="shared" si="13"/>
        <v>204601</v>
      </c>
      <c r="K40" s="157">
        <f t="shared" si="13"/>
        <v>203578</v>
      </c>
      <c r="L40" s="157">
        <f t="shared" si="13"/>
        <v>202560</v>
      </c>
      <c r="M40" s="157">
        <f t="shared" si="13"/>
        <v>201547</v>
      </c>
      <c r="N40" s="157">
        <f t="shared" si="13"/>
        <v>200540</v>
      </c>
      <c r="O40" s="157">
        <f t="shared" si="13"/>
        <v>199537</v>
      </c>
      <c r="P40" s="157">
        <f t="shared" si="13"/>
        <v>198539</v>
      </c>
      <c r="Q40" s="157">
        <f t="shared" si="13"/>
        <v>197547</v>
      </c>
      <c r="R40" s="157">
        <f t="shared" si="13"/>
        <v>196559</v>
      </c>
      <c r="S40" s="157">
        <f t="shared" si="13"/>
        <v>195576</v>
      </c>
      <c r="T40" s="157">
        <f t="shared" si="13"/>
        <v>194598</v>
      </c>
      <c r="U40" s="157">
        <f t="shared" si="13"/>
        <v>193625</v>
      </c>
      <c r="V40" s="157">
        <f t="shared" si="13"/>
        <v>192657</v>
      </c>
      <c r="W40" s="157">
        <f t="shared" si="13"/>
        <v>191694</v>
      </c>
      <c r="X40" s="157">
        <f t="shared" si="13"/>
        <v>190735</v>
      </c>
      <c r="Y40" s="157">
        <f t="shared" si="13"/>
        <v>189782</v>
      </c>
      <c r="Z40" s="157">
        <f t="shared" si="13"/>
        <v>188833</v>
      </c>
      <c r="AA40" s="157">
        <f t="shared" si="13"/>
        <v>187888</v>
      </c>
      <c r="AB40" s="157">
        <f t="shared" si="13"/>
        <v>0</v>
      </c>
      <c r="AC40" s="157">
        <f t="shared" si="13"/>
        <v>0</v>
      </c>
      <c r="AD40" s="157">
        <f t="shared" si="13"/>
        <v>0</v>
      </c>
      <c r="AE40" s="157">
        <f t="shared" si="13"/>
        <v>0</v>
      </c>
      <c r="AF40" s="157">
        <f t="shared" si="13"/>
        <v>0</v>
      </c>
      <c r="AG40" s="157">
        <f t="shared" si="13"/>
        <v>0</v>
      </c>
      <c r="AH40" s="157">
        <f t="shared" si="13"/>
        <v>0</v>
      </c>
      <c r="AI40" s="157">
        <f t="shared" si="13"/>
        <v>0</v>
      </c>
      <c r="AJ40" s="157">
        <f t="shared" si="13"/>
        <v>0</v>
      </c>
      <c r="AK40" s="157">
        <f t="shared" si="13"/>
        <v>0</v>
      </c>
      <c r="AL40" s="157">
        <f t="shared" si="13"/>
        <v>0</v>
      </c>
      <c r="AM40" s="157">
        <f t="shared" si="13"/>
        <v>0</v>
      </c>
      <c r="AN40" s="157">
        <f t="shared" si="13"/>
        <v>0</v>
      </c>
      <c r="AO40" s="157">
        <f t="shared" si="13"/>
        <v>0</v>
      </c>
      <c r="AP40" s="157">
        <f t="shared" si="13"/>
        <v>0</v>
      </c>
    </row>
    <row r="41" spans="1:42" x14ac:dyDescent="0.2">
      <c r="A41" s="91" t="s">
        <v>15</v>
      </c>
      <c r="C41" s="155">
        <f>IF(C$2&lt;=analysis_period,IF(om_production="n/a",Inputs!D164,om_production*(1+inflation_rate/100+om_production_escal/100)^B$2),0)</f>
        <v>0</v>
      </c>
      <c r="D41" s="155">
        <f>IF(D$2&lt;=analysis_period,IF(om_production="n/a",Inputs!E164,om_production*(1+inflation_rate/100+om_production_escal/100)^C$2),0)</f>
        <v>0</v>
      </c>
      <c r="E41" s="155">
        <f>IF(E$2&lt;=analysis_period,IF(om_production="n/a",Inputs!F164,om_production*(1+inflation_rate/100+om_production_escal/100)^D$2),0)</f>
        <v>0</v>
      </c>
      <c r="F41" s="155">
        <f>IF(F$2&lt;=analysis_period,IF(om_production="n/a",Inputs!G164,om_production*(1+inflation_rate/100+om_production_escal/100)^E$2),0)</f>
        <v>0</v>
      </c>
      <c r="G41" s="155">
        <f>IF(G$2&lt;=analysis_period,IF(om_production="n/a",Inputs!H164,om_production*(1+inflation_rate/100+om_production_escal/100)^F$2),0)</f>
        <v>0</v>
      </c>
      <c r="H41" s="155">
        <f>IF(H$2&lt;=analysis_period,IF(om_production="n/a",Inputs!I164,om_production*(1+inflation_rate/100+om_production_escal/100)^G$2),0)</f>
        <v>0</v>
      </c>
      <c r="I41" s="155">
        <f>IF(I$2&lt;=analysis_period,IF(om_production="n/a",Inputs!J164,om_production*(1+inflation_rate/100+om_production_escal/100)^H$2),0)</f>
        <v>0</v>
      </c>
      <c r="J41" s="155">
        <f>IF(J$2&lt;=analysis_period,IF(om_production="n/a",Inputs!K164,om_production*(1+inflation_rate/100+om_production_escal/100)^I$2),0)</f>
        <v>0</v>
      </c>
      <c r="K41" s="155">
        <f>IF(K$2&lt;=analysis_period,IF(om_production="n/a",Inputs!L164,om_production*(1+inflation_rate/100+om_production_escal/100)^J$2),0)</f>
        <v>0</v>
      </c>
      <c r="L41" s="155">
        <f>IF(L$2&lt;=analysis_period,IF(om_production="n/a",Inputs!M164,om_production*(1+inflation_rate/100+om_production_escal/100)^K$2),0)</f>
        <v>0</v>
      </c>
      <c r="M41" s="155">
        <f>IF(M$2&lt;=analysis_period,IF(om_production="n/a",Inputs!N164,om_production*(1+inflation_rate/100+om_production_escal/100)^L$2),0)</f>
        <v>0</v>
      </c>
      <c r="N41" s="155">
        <f>IF(N$2&lt;=analysis_period,IF(om_production="n/a",Inputs!O164,om_production*(1+inflation_rate/100+om_production_escal/100)^M$2),0)</f>
        <v>0</v>
      </c>
      <c r="O41" s="155">
        <f>IF(O$2&lt;=analysis_period,IF(om_production="n/a",Inputs!P164,om_production*(1+inflation_rate/100+om_production_escal/100)^N$2),0)</f>
        <v>0</v>
      </c>
      <c r="P41" s="155">
        <f>IF(P$2&lt;=analysis_period,IF(om_production="n/a",Inputs!Q164,om_production*(1+inflation_rate/100+om_production_escal/100)^O$2),0)</f>
        <v>0</v>
      </c>
      <c r="Q41" s="155">
        <f>IF(Q$2&lt;=analysis_period,IF(om_production="n/a",Inputs!R164,om_production*(1+inflation_rate/100+om_production_escal/100)^P$2),0)</f>
        <v>0</v>
      </c>
      <c r="R41" s="155">
        <f>IF(R$2&lt;=analysis_period,IF(om_production="n/a",Inputs!S164,om_production*(1+inflation_rate/100+om_production_escal/100)^Q$2),0)</f>
        <v>0</v>
      </c>
      <c r="S41" s="155">
        <f>IF(S$2&lt;=analysis_period,IF(om_production="n/a",Inputs!T164,om_production*(1+inflation_rate/100+om_production_escal/100)^R$2),0)</f>
        <v>0</v>
      </c>
      <c r="T41" s="155">
        <f>IF(T$2&lt;=analysis_period,IF(om_production="n/a",Inputs!U164,om_production*(1+inflation_rate/100+om_production_escal/100)^S$2),0)</f>
        <v>0</v>
      </c>
      <c r="U41" s="155">
        <f>IF(U$2&lt;=analysis_period,IF(om_production="n/a",Inputs!V164,om_production*(1+inflation_rate/100+om_production_escal/100)^T$2),0)</f>
        <v>0</v>
      </c>
      <c r="V41" s="155">
        <f>IF(V$2&lt;=analysis_period,IF(om_production="n/a",Inputs!W164,om_production*(1+inflation_rate/100+om_production_escal/100)^U$2),0)</f>
        <v>0</v>
      </c>
      <c r="W41" s="155">
        <f>IF(W$2&lt;=analysis_period,IF(om_production="n/a",Inputs!X164,om_production*(1+inflation_rate/100+om_production_escal/100)^V$2),0)</f>
        <v>0</v>
      </c>
      <c r="X41" s="155">
        <f>IF(X$2&lt;=analysis_period,IF(om_production="n/a",Inputs!Y164,om_production*(1+inflation_rate/100+om_production_escal/100)^W$2),0)</f>
        <v>0</v>
      </c>
      <c r="Y41" s="155">
        <f>IF(Y$2&lt;=analysis_period,IF(om_production="n/a",Inputs!Z164,om_production*(1+inflation_rate/100+om_production_escal/100)^X$2),0)</f>
        <v>0</v>
      </c>
      <c r="Z41" s="155">
        <f>IF(Z$2&lt;=analysis_period,IF(om_production="n/a",Inputs!AA164,om_production*(1+inflation_rate/100+om_production_escal/100)^Y$2),0)</f>
        <v>0</v>
      </c>
      <c r="AA41" s="155">
        <f>IF(AA$2&lt;=analysis_period,IF(om_production="n/a",Inputs!AB164,om_production*(1+inflation_rate/100+om_production_escal/100)^Z$2),0)</f>
        <v>0</v>
      </c>
      <c r="AB41" s="155">
        <f>IF(AB$2&lt;=analysis_period,IF(om_production="n/a",Inputs!AC164,om_production*(1+inflation_rate/100+om_production_escal/100)^AA$2),0)</f>
        <v>0</v>
      </c>
      <c r="AC41" s="155">
        <f>IF(AC$2&lt;=analysis_period,IF(om_production="n/a",Inputs!AD164,om_production*(1+inflation_rate/100+om_production_escal/100)^AB$2),0)</f>
        <v>0</v>
      </c>
      <c r="AD41" s="155">
        <f>IF(AD$2&lt;=analysis_period,IF(om_production="n/a",Inputs!AE164,om_production*(1+inflation_rate/100+om_production_escal/100)^AC$2),0)</f>
        <v>0</v>
      </c>
      <c r="AE41" s="155">
        <f>IF(AE$2&lt;=analysis_period,IF(om_production="n/a",Inputs!AF164,om_production*(1+inflation_rate/100+om_production_escal/100)^AD$2),0)</f>
        <v>0</v>
      </c>
      <c r="AF41" s="155">
        <f>IF(AF$2&lt;=analysis_period,IF(om_production="n/a",Inputs!AG164,om_production*(1+inflation_rate/100+om_production_escal/100)^AE$2),0)</f>
        <v>0</v>
      </c>
      <c r="AG41" s="155">
        <f>IF(AG$2&lt;=analysis_period,IF(om_production="n/a",Inputs!AH164,om_production*(1+inflation_rate/100+om_production_escal/100)^AF$2),0)</f>
        <v>0</v>
      </c>
      <c r="AH41" s="155">
        <f>IF(AH$2&lt;=analysis_period,IF(om_production="n/a",Inputs!AI164,om_production*(1+inflation_rate/100+om_production_escal/100)^AG$2),0)</f>
        <v>0</v>
      </c>
      <c r="AI41" s="155">
        <f>IF(AI$2&lt;=analysis_period,IF(om_production="n/a",Inputs!AJ164,om_production*(1+inflation_rate/100+om_production_escal/100)^AH$2),0)</f>
        <v>0</v>
      </c>
      <c r="AJ41" s="155">
        <f>IF(AJ$2&lt;=analysis_period,IF(om_production="n/a",Inputs!AK164,om_production*(1+inflation_rate/100+om_production_escal/100)^AI$2),0)</f>
        <v>0</v>
      </c>
      <c r="AK41" s="155">
        <f>IF(AK$2&lt;=analysis_period,IF(om_production="n/a",Inputs!AL164,om_production*(1+inflation_rate/100+om_production_escal/100)^AJ$2),0)</f>
        <v>0</v>
      </c>
      <c r="AL41" s="155">
        <f>IF(AL$2&lt;=analysis_period,IF(om_production="n/a",Inputs!AM164,om_production*(1+inflation_rate/100+om_production_escal/100)^AK$2),0)</f>
        <v>0</v>
      </c>
      <c r="AM41" s="155">
        <f>IF(AM$2&lt;=analysis_period,IF(om_production="n/a",Inputs!AN164,om_production*(1+inflation_rate/100+om_production_escal/100)^AL$2),0)</f>
        <v>0</v>
      </c>
      <c r="AN41" s="155">
        <f>IF(AN$2&lt;=analysis_period,IF(om_production="n/a",Inputs!AO164,om_production*(1+inflation_rate/100+om_production_escal/100)^AM$2),0)</f>
        <v>0</v>
      </c>
      <c r="AO41" s="155">
        <f>IF(AO$2&lt;=analysis_period,IF(om_production="n/a",Inputs!AP164,om_production*(1+inflation_rate/100+om_production_escal/100)^AN$2),0)</f>
        <v>0</v>
      </c>
      <c r="AP41" s="155">
        <f>IF(AP$2&lt;=analysis_period,IF(om_production="n/a",Inputs!AQ164,om_production*(1+inflation_rate/100+om_production_escal/100)^AO$2),0)</f>
        <v>0</v>
      </c>
    </row>
    <row r="42" spans="1:42" x14ac:dyDescent="0.2">
      <c r="A42" s="91" t="s">
        <v>118</v>
      </c>
      <c r="C42" s="158">
        <f>C40*C41</f>
        <v>0</v>
      </c>
      <c r="D42" s="158">
        <f t="shared" ref="D42:AP42" si="14">D40*D41</f>
        <v>0</v>
      </c>
      <c r="E42" s="158">
        <f t="shared" si="14"/>
        <v>0</v>
      </c>
      <c r="F42" s="158">
        <f t="shared" si="14"/>
        <v>0</v>
      </c>
      <c r="G42" s="158">
        <f t="shared" si="14"/>
        <v>0</v>
      </c>
      <c r="H42" s="158">
        <f t="shared" si="14"/>
        <v>0</v>
      </c>
      <c r="I42" s="158">
        <f t="shared" si="14"/>
        <v>0</v>
      </c>
      <c r="J42" s="158">
        <f t="shared" si="14"/>
        <v>0</v>
      </c>
      <c r="K42" s="158">
        <f t="shared" si="14"/>
        <v>0</v>
      </c>
      <c r="L42" s="158">
        <f t="shared" si="14"/>
        <v>0</v>
      </c>
      <c r="M42" s="158">
        <f t="shared" si="14"/>
        <v>0</v>
      </c>
      <c r="N42" s="158">
        <f t="shared" si="14"/>
        <v>0</v>
      </c>
      <c r="O42" s="158">
        <f t="shared" si="14"/>
        <v>0</v>
      </c>
      <c r="P42" s="158">
        <f t="shared" si="14"/>
        <v>0</v>
      </c>
      <c r="Q42" s="158">
        <f t="shared" si="14"/>
        <v>0</v>
      </c>
      <c r="R42" s="158">
        <f t="shared" si="14"/>
        <v>0</v>
      </c>
      <c r="S42" s="158">
        <f t="shared" si="14"/>
        <v>0</v>
      </c>
      <c r="T42" s="158">
        <f t="shared" si="14"/>
        <v>0</v>
      </c>
      <c r="U42" s="158">
        <f t="shared" si="14"/>
        <v>0</v>
      </c>
      <c r="V42" s="158">
        <f t="shared" si="14"/>
        <v>0</v>
      </c>
      <c r="W42" s="158">
        <f t="shared" si="14"/>
        <v>0</v>
      </c>
      <c r="X42" s="158">
        <f t="shared" si="14"/>
        <v>0</v>
      </c>
      <c r="Y42" s="158">
        <f t="shared" si="14"/>
        <v>0</v>
      </c>
      <c r="Z42" s="158">
        <f t="shared" si="14"/>
        <v>0</v>
      </c>
      <c r="AA42" s="158">
        <f t="shared" si="14"/>
        <v>0</v>
      </c>
      <c r="AB42" s="158">
        <f t="shared" si="14"/>
        <v>0</v>
      </c>
      <c r="AC42" s="158">
        <f t="shared" si="14"/>
        <v>0</v>
      </c>
      <c r="AD42" s="158">
        <f t="shared" si="14"/>
        <v>0</v>
      </c>
      <c r="AE42" s="158">
        <f t="shared" si="14"/>
        <v>0</v>
      </c>
      <c r="AF42" s="158">
        <f t="shared" si="14"/>
        <v>0</v>
      </c>
      <c r="AG42" s="158">
        <f t="shared" si="14"/>
        <v>0</v>
      </c>
      <c r="AH42" s="158">
        <f t="shared" si="14"/>
        <v>0</v>
      </c>
      <c r="AI42" s="158">
        <f t="shared" si="14"/>
        <v>0</v>
      </c>
      <c r="AJ42" s="158">
        <f t="shared" si="14"/>
        <v>0</v>
      </c>
      <c r="AK42" s="158">
        <f t="shared" si="14"/>
        <v>0</v>
      </c>
      <c r="AL42" s="158">
        <f t="shared" si="14"/>
        <v>0</v>
      </c>
      <c r="AM42" s="158">
        <f t="shared" si="14"/>
        <v>0</v>
      </c>
      <c r="AN42" s="158">
        <f t="shared" si="14"/>
        <v>0</v>
      </c>
      <c r="AO42" s="158">
        <f t="shared" si="14"/>
        <v>0</v>
      </c>
      <c r="AP42" s="158">
        <f t="shared" si="14"/>
        <v>0</v>
      </c>
    </row>
    <row r="43" spans="1:42" x14ac:dyDescent="0.2">
      <c r="A43" s="90" t="s">
        <v>323</v>
      </c>
      <c r="C43" s="123">
        <f t="array" ref="C43:AP43">Inputs!D184:AQ184</f>
        <v>0</v>
      </c>
      <c r="D43" s="123">
        <v>0</v>
      </c>
      <c r="E43" s="123">
        <v>0</v>
      </c>
      <c r="F43" s="123">
        <v>0</v>
      </c>
      <c r="G43" s="123">
        <v>0</v>
      </c>
      <c r="H43" s="123">
        <v>0</v>
      </c>
      <c r="I43" s="123">
        <v>0</v>
      </c>
      <c r="J43" s="123">
        <v>0</v>
      </c>
      <c r="K43" s="123">
        <v>0</v>
      </c>
      <c r="L43" s="123">
        <v>0</v>
      </c>
      <c r="M43" s="123">
        <v>0</v>
      </c>
      <c r="N43" s="123">
        <v>0</v>
      </c>
      <c r="O43" s="123">
        <v>0</v>
      </c>
      <c r="P43" s="123">
        <v>0</v>
      </c>
      <c r="Q43" s="123">
        <v>0</v>
      </c>
      <c r="R43" s="123">
        <v>0</v>
      </c>
      <c r="S43" s="123">
        <v>0</v>
      </c>
      <c r="T43" s="123">
        <v>0</v>
      </c>
      <c r="U43" s="123">
        <v>0</v>
      </c>
      <c r="V43" s="123">
        <v>0</v>
      </c>
      <c r="W43" s="123">
        <v>0</v>
      </c>
      <c r="X43" s="123">
        <v>0</v>
      </c>
      <c r="Y43" s="123">
        <v>0</v>
      </c>
      <c r="Z43" s="123">
        <v>0</v>
      </c>
      <c r="AA43" s="123">
        <v>0</v>
      </c>
      <c r="AB43" s="123">
        <v>0</v>
      </c>
      <c r="AC43" s="123">
        <v>0</v>
      </c>
      <c r="AD43" s="123">
        <v>0</v>
      </c>
      <c r="AE43" s="123">
        <v>0</v>
      </c>
      <c r="AF43" s="123">
        <v>0</v>
      </c>
      <c r="AG43" s="123">
        <v>0</v>
      </c>
      <c r="AH43" s="123">
        <v>0</v>
      </c>
      <c r="AI43" s="123">
        <v>0</v>
      </c>
      <c r="AJ43" s="123">
        <v>0</v>
      </c>
      <c r="AK43" s="123">
        <v>0</v>
      </c>
      <c r="AL43" s="123">
        <v>0</v>
      </c>
      <c r="AM43" s="123">
        <v>0</v>
      </c>
      <c r="AN43" s="123">
        <v>0</v>
      </c>
      <c r="AO43" s="123">
        <v>0</v>
      </c>
      <c r="AP43" s="123">
        <v>0</v>
      </c>
    </row>
    <row r="44" spans="1:42" x14ac:dyDescent="0.2">
      <c r="A44" s="90" t="s">
        <v>369</v>
      </c>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c r="AO44" s="123"/>
      <c r="AP44" s="123"/>
    </row>
    <row r="45" spans="1:42" x14ac:dyDescent="0.2">
      <c r="A45" s="22" t="s">
        <v>348</v>
      </c>
      <c r="B45" s="4">
        <f t="array" ref="B45:AP48">Inputs!C186:AQ189</f>
        <v>0</v>
      </c>
      <c r="C45" s="123">
        <v>0</v>
      </c>
      <c r="D45" s="123">
        <v>0</v>
      </c>
      <c r="E45" s="123">
        <v>0</v>
      </c>
      <c r="F45" s="123">
        <v>0</v>
      </c>
      <c r="G45" s="123">
        <v>0</v>
      </c>
      <c r="H45" s="123">
        <v>0</v>
      </c>
      <c r="I45" s="123">
        <v>0</v>
      </c>
      <c r="J45" s="123">
        <v>0</v>
      </c>
      <c r="K45" s="123">
        <v>0</v>
      </c>
      <c r="L45" s="123">
        <v>0</v>
      </c>
      <c r="M45" s="123">
        <v>0</v>
      </c>
      <c r="N45" s="123">
        <v>0</v>
      </c>
      <c r="O45" s="123">
        <v>0</v>
      </c>
      <c r="P45" s="123">
        <v>0</v>
      </c>
      <c r="Q45" s="123">
        <v>0</v>
      </c>
      <c r="R45" s="123">
        <v>0</v>
      </c>
      <c r="S45" s="123">
        <v>0</v>
      </c>
      <c r="T45" s="123">
        <v>0</v>
      </c>
      <c r="U45" s="123">
        <v>0</v>
      </c>
      <c r="V45" s="123">
        <v>0</v>
      </c>
      <c r="W45" s="123">
        <v>0</v>
      </c>
      <c r="X45" s="123">
        <v>0</v>
      </c>
      <c r="Y45" s="123">
        <v>0</v>
      </c>
      <c r="Z45" s="123">
        <v>0</v>
      </c>
      <c r="AA45" s="123">
        <v>0</v>
      </c>
      <c r="AB45" s="123">
        <v>0</v>
      </c>
      <c r="AC45" s="123">
        <v>0</v>
      </c>
      <c r="AD45" s="123">
        <v>0</v>
      </c>
      <c r="AE45" s="123">
        <v>0</v>
      </c>
      <c r="AF45" s="123">
        <v>0</v>
      </c>
      <c r="AG45" s="123">
        <v>0</v>
      </c>
      <c r="AH45" s="123">
        <v>0</v>
      </c>
      <c r="AI45" s="123">
        <v>0</v>
      </c>
      <c r="AJ45" s="123">
        <v>0</v>
      </c>
      <c r="AK45" s="123">
        <v>0</v>
      </c>
      <c r="AL45" s="123">
        <v>0</v>
      </c>
      <c r="AM45" s="123">
        <v>0</v>
      </c>
      <c r="AN45" s="123">
        <v>0</v>
      </c>
      <c r="AO45" s="123">
        <v>0</v>
      </c>
      <c r="AP45" s="123">
        <v>0</v>
      </c>
    </row>
    <row r="46" spans="1:42" x14ac:dyDescent="0.2">
      <c r="A46" s="22" t="s">
        <v>349</v>
      </c>
      <c r="B46" s="4">
        <v>0</v>
      </c>
      <c r="C46" s="123">
        <v>0</v>
      </c>
      <c r="D46" s="123">
        <v>0</v>
      </c>
      <c r="E46" s="123">
        <v>0</v>
      </c>
      <c r="F46" s="123">
        <v>0</v>
      </c>
      <c r="G46" s="123">
        <v>0</v>
      </c>
      <c r="H46" s="123">
        <v>0</v>
      </c>
      <c r="I46" s="123">
        <v>0</v>
      </c>
      <c r="J46" s="123">
        <v>0</v>
      </c>
      <c r="K46" s="123">
        <v>0</v>
      </c>
      <c r="L46" s="123">
        <v>0</v>
      </c>
      <c r="M46" s="123">
        <v>0</v>
      </c>
      <c r="N46" s="123">
        <v>0</v>
      </c>
      <c r="O46" s="123">
        <v>0</v>
      </c>
      <c r="P46" s="123">
        <v>0</v>
      </c>
      <c r="Q46" s="123">
        <v>0</v>
      </c>
      <c r="R46" s="123">
        <v>0</v>
      </c>
      <c r="S46" s="123">
        <v>0</v>
      </c>
      <c r="T46" s="123">
        <v>0</v>
      </c>
      <c r="U46" s="123">
        <v>0</v>
      </c>
      <c r="V46" s="123">
        <v>0</v>
      </c>
      <c r="W46" s="123">
        <v>0</v>
      </c>
      <c r="X46" s="123">
        <v>0</v>
      </c>
      <c r="Y46" s="123">
        <v>0</v>
      </c>
      <c r="Z46" s="123">
        <v>0</v>
      </c>
      <c r="AA46" s="123">
        <v>0</v>
      </c>
      <c r="AB46" s="123">
        <v>0</v>
      </c>
      <c r="AC46" s="123">
        <v>0</v>
      </c>
      <c r="AD46" s="123">
        <v>0</v>
      </c>
      <c r="AE46" s="123">
        <v>0</v>
      </c>
      <c r="AF46" s="123">
        <v>0</v>
      </c>
      <c r="AG46" s="123">
        <v>0</v>
      </c>
      <c r="AH46" s="123">
        <v>0</v>
      </c>
      <c r="AI46" s="123">
        <v>0</v>
      </c>
      <c r="AJ46" s="123">
        <v>0</v>
      </c>
      <c r="AK46" s="123">
        <v>0</v>
      </c>
      <c r="AL46" s="123">
        <v>0</v>
      </c>
      <c r="AM46" s="123">
        <v>0</v>
      </c>
      <c r="AN46" s="123">
        <v>0</v>
      </c>
      <c r="AO46" s="123">
        <v>0</v>
      </c>
      <c r="AP46" s="123">
        <v>0</v>
      </c>
    </row>
    <row r="47" spans="1:42" x14ac:dyDescent="0.2">
      <c r="A47" s="22" t="s">
        <v>359</v>
      </c>
      <c r="B47" s="4">
        <v>0</v>
      </c>
      <c r="C47" s="123">
        <v>0</v>
      </c>
      <c r="D47" s="123">
        <v>0</v>
      </c>
      <c r="E47" s="123">
        <v>0</v>
      </c>
      <c r="F47" s="123">
        <v>0</v>
      </c>
      <c r="G47" s="123">
        <v>0</v>
      </c>
      <c r="H47" s="123">
        <v>0</v>
      </c>
      <c r="I47" s="123">
        <v>0</v>
      </c>
      <c r="J47" s="123">
        <v>0</v>
      </c>
      <c r="K47" s="123">
        <v>0</v>
      </c>
      <c r="L47" s="123">
        <v>0</v>
      </c>
      <c r="M47" s="123">
        <v>0</v>
      </c>
      <c r="N47" s="123">
        <v>0</v>
      </c>
      <c r="O47" s="123">
        <v>0</v>
      </c>
      <c r="P47" s="123">
        <v>0</v>
      </c>
      <c r="Q47" s="123">
        <v>0</v>
      </c>
      <c r="R47" s="123">
        <v>0</v>
      </c>
      <c r="S47" s="123">
        <v>0</v>
      </c>
      <c r="T47" s="123">
        <v>0</v>
      </c>
      <c r="U47" s="123">
        <v>0</v>
      </c>
      <c r="V47" s="123">
        <v>0</v>
      </c>
      <c r="W47" s="123">
        <v>0</v>
      </c>
      <c r="X47" s="123">
        <v>0</v>
      </c>
      <c r="Y47" s="123">
        <v>0</v>
      </c>
      <c r="Z47" s="123">
        <v>0</v>
      </c>
      <c r="AA47" s="123">
        <v>0</v>
      </c>
      <c r="AB47" s="123">
        <v>0</v>
      </c>
      <c r="AC47" s="123">
        <v>0</v>
      </c>
      <c r="AD47" s="123">
        <v>0</v>
      </c>
      <c r="AE47" s="123">
        <v>0</v>
      </c>
      <c r="AF47" s="123">
        <v>0</v>
      </c>
      <c r="AG47" s="123">
        <v>0</v>
      </c>
      <c r="AH47" s="123">
        <v>0</v>
      </c>
      <c r="AI47" s="123">
        <v>0</v>
      </c>
      <c r="AJ47" s="123">
        <v>0</v>
      </c>
      <c r="AK47" s="123">
        <v>0</v>
      </c>
      <c r="AL47" s="123">
        <v>0</v>
      </c>
      <c r="AM47" s="123">
        <v>0</v>
      </c>
      <c r="AN47" s="123">
        <v>0</v>
      </c>
      <c r="AO47" s="123">
        <v>0</v>
      </c>
      <c r="AP47" s="123">
        <v>0</v>
      </c>
    </row>
    <row r="48" spans="1:42" x14ac:dyDescent="0.2">
      <c r="A48" s="22" t="s">
        <v>317</v>
      </c>
      <c r="B48" s="4">
        <v>0</v>
      </c>
      <c r="C48" s="123">
        <v>0</v>
      </c>
      <c r="D48" s="123">
        <v>0</v>
      </c>
      <c r="E48" s="123">
        <v>0</v>
      </c>
      <c r="F48" s="123">
        <v>0</v>
      </c>
      <c r="G48" s="123">
        <v>0</v>
      </c>
      <c r="H48" s="123">
        <v>0</v>
      </c>
      <c r="I48" s="123">
        <v>0</v>
      </c>
      <c r="J48" s="123">
        <v>0</v>
      </c>
      <c r="K48" s="123">
        <v>0</v>
      </c>
      <c r="L48" s="123">
        <v>0</v>
      </c>
      <c r="M48" s="123">
        <v>0</v>
      </c>
      <c r="N48" s="123">
        <v>0</v>
      </c>
      <c r="O48" s="123">
        <v>0</v>
      </c>
      <c r="P48" s="123">
        <v>0</v>
      </c>
      <c r="Q48" s="123">
        <v>0</v>
      </c>
      <c r="R48" s="123">
        <v>0</v>
      </c>
      <c r="S48" s="123">
        <v>0</v>
      </c>
      <c r="T48" s="123">
        <v>0</v>
      </c>
      <c r="U48" s="123">
        <v>0</v>
      </c>
      <c r="V48" s="123">
        <v>0</v>
      </c>
      <c r="W48" s="123">
        <v>0</v>
      </c>
      <c r="X48" s="123">
        <v>0</v>
      </c>
      <c r="Y48" s="123">
        <v>0</v>
      </c>
      <c r="Z48" s="123">
        <v>0</v>
      </c>
      <c r="AA48" s="123">
        <v>0</v>
      </c>
      <c r="AB48" s="123">
        <v>0</v>
      </c>
      <c r="AC48" s="123">
        <v>0</v>
      </c>
      <c r="AD48" s="123">
        <v>0</v>
      </c>
      <c r="AE48" s="123">
        <v>0</v>
      </c>
      <c r="AF48" s="123">
        <v>0</v>
      </c>
      <c r="AG48" s="123">
        <v>0</v>
      </c>
      <c r="AH48" s="123">
        <v>0</v>
      </c>
      <c r="AI48" s="123">
        <v>0</v>
      </c>
      <c r="AJ48" s="123">
        <v>0</v>
      </c>
      <c r="AK48" s="123">
        <v>0</v>
      </c>
      <c r="AL48" s="123">
        <v>0</v>
      </c>
      <c r="AM48" s="123">
        <v>0</v>
      </c>
      <c r="AN48" s="123">
        <v>0</v>
      </c>
      <c r="AO48" s="123">
        <v>0</v>
      </c>
      <c r="AP48" s="123">
        <v>0</v>
      </c>
    </row>
    <row r="49" spans="1:42" x14ac:dyDescent="0.2">
      <c r="A49" s="90" t="s">
        <v>351</v>
      </c>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row>
    <row r="50" spans="1:42" x14ac:dyDescent="0.2">
      <c r="A50" s="22" t="s">
        <v>346</v>
      </c>
      <c r="B50" s="123">
        <f t="array" ref="B50:AP54">Inputs!C191:AQ195</f>
        <v>0</v>
      </c>
      <c r="C50" s="123">
        <v>0</v>
      </c>
      <c r="D50" s="123">
        <v>0</v>
      </c>
      <c r="E50" s="123">
        <v>0</v>
      </c>
      <c r="F50" s="123">
        <v>0</v>
      </c>
      <c r="G50" s="123">
        <v>0</v>
      </c>
      <c r="H50" s="123">
        <v>0</v>
      </c>
      <c r="I50" s="123">
        <v>0</v>
      </c>
      <c r="J50" s="123">
        <v>0</v>
      </c>
      <c r="K50" s="123">
        <v>0</v>
      </c>
      <c r="L50" s="123">
        <v>0</v>
      </c>
      <c r="M50" s="123">
        <v>0</v>
      </c>
      <c r="N50" s="123">
        <v>0</v>
      </c>
      <c r="O50" s="123">
        <v>0</v>
      </c>
      <c r="P50" s="123">
        <v>0</v>
      </c>
      <c r="Q50" s="123">
        <v>0</v>
      </c>
      <c r="R50" s="123">
        <v>0</v>
      </c>
      <c r="S50" s="123">
        <v>0</v>
      </c>
      <c r="T50" s="123">
        <v>0</v>
      </c>
      <c r="U50" s="123">
        <v>0</v>
      </c>
      <c r="V50" s="123">
        <v>0</v>
      </c>
      <c r="W50" s="123">
        <v>0</v>
      </c>
      <c r="X50" s="123">
        <v>0</v>
      </c>
      <c r="Y50" s="123">
        <v>0</v>
      </c>
      <c r="Z50" s="123">
        <v>0</v>
      </c>
      <c r="AA50" s="123">
        <v>0</v>
      </c>
      <c r="AB50" s="123">
        <v>0</v>
      </c>
      <c r="AC50" s="123">
        <v>0</v>
      </c>
      <c r="AD50" s="123">
        <v>0</v>
      </c>
      <c r="AE50" s="123">
        <v>0</v>
      </c>
      <c r="AF50" s="123">
        <v>0</v>
      </c>
      <c r="AG50" s="123">
        <v>0</v>
      </c>
      <c r="AH50" s="123">
        <v>0</v>
      </c>
      <c r="AI50" s="123">
        <v>0</v>
      </c>
      <c r="AJ50" s="123">
        <v>0</v>
      </c>
      <c r="AK50" s="123">
        <v>0</v>
      </c>
      <c r="AL50" s="123">
        <v>0</v>
      </c>
      <c r="AM50" s="123">
        <v>0</v>
      </c>
      <c r="AN50" s="123">
        <v>0</v>
      </c>
      <c r="AO50" s="123">
        <v>0</v>
      </c>
      <c r="AP50" s="123">
        <v>0</v>
      </c>
    </row>
    <row r="51" spans="1:42" x14ac:dyDescent="0.2">
      <c r="A51" s="22" t="s">
        <v>347</v>
      </c>
      <c r="B51" s="123">
        <v>0</v>
      </c>
      <c r="C51" s="123">
        <v>0</v>
      </c>
      <c r="D51" s="123">
        <v>0</v>
      </c>
      <c r="E51" s="123">
        <v>0</v>
      </c>
      <c r="F51" s="123">
        <v>0</v>
      </c>
      <c r="G51" s="123">
        <v>0</v>
      </c>
      <c r="H51" s="123">
        <v>0</v>
      </c>
      <c r="I51" s="123">
        <v>0</v>
      </c>
      <c r="J51" s="123">
        <v>0</v>
      </c>
      <c r="K51" s="123">
        <v>0</v>
      </c>
      <c r="L51" s="123">
        <v>0</v>
      </c>
      <c r="M51" s="123">
        <v>0</v>
      </c>
      <c r="N51" s="123">
        <v>0</v>
      </c>
      <c r="O51" s="123">
        <v>0</v>
      </c>
      <c r="P51" s="123">
        <v>0</v>
      </c>
      <c r="Q51" s="123">
        <v>0</v>
      </c>
      <c r="R51" s="123">
        <v>0</v>
      </c>
      <c r="S51" s="123">
        <v>0</v>
      </c>
      <c r="T51" s="123">
        <v>0</v>
      </c>
      <c r="U51" s="123">
        <v>0</v>
      </c>
      <c r="V51" s="123">
        <v>0</v>
      </c>
      <c r="W51" s="123">
        <v>0</v>
      </c>
      <c r="X51" s="123">
        <v>0</v>
      </c>
      <c r="Y51" s="123">
        <v>0</v>
      </c>
      <c r="Z51" s="123">
        <v>0</v>
      </c>
      <c r="AA51" s="123">
        <v>0</v>
      </c>
      <c r="AB51" s="123">
        <v>0</v>
      </c>
      <c r="AC51" s="123">
        <v>0</v>
      </c>
      <c r="AD51" s="123">
        <v>0</v>
      </c>
      <c r="AE51" s="123">
        <v>0</v>
      </c>
      <c r="AF51" s="123">
        <v>0</v>
      </c>
      <c r="AG51" s="123">
        <v>0</v>
      </c>
      <c r="AH51" s="123">
        <v>0</v>
      </c>
      <c r="AI51" s="123">
        <v>0</v>
      </c>
      <c r="AJ51" s="123">
        <v>0</v>
      </c>
      <c r="AK51" s="123">
        <v>0</v>
      </c>
      <c r="AL51" s="123">
        <v>0</v>
      </c>
      <c r="AM51" s="123">
        <v>0</v>
      </c>
      <c r="AN51" s="123">
        <v>0</v>
      </c>
      <c r="AO51" s="123">
        <v>0</v>
      </c>
      <c r="AP51" s="123">
        <v>0</v>
      </c>
    </row>
    <row r="52" spans="1:42" x14ac:dyDescent="0.2">
      <c r="A52" s="22" t="s">
        <v>366</v>
      </c>
      <c r="B52" s="123">
        <v>0</v>
      </c>
      <c r="C52" s="123">
        <v>0</v>
      </c>
      <c r="D52" s="123">
        <v>0</v>
      </c>
      <c r="E52" s="123">
        <v>0</v>
      </c>
      <c r="F52" s="123">
        <v>0</v>
      </c>
      <c r="G52" s="123">
        <v>0</v>
      </c>
      <c r="H52" s="123">
        <v>0</v>
      </c>
      <c r="I52" s="123">
        <v>0</v>
      </c>
      <c r="J52" s="123">
        <v>0</v>
      </c>
      <c r="K52" s="123">
        <v>0</v>
      </c>
      <c r="L52" s="123">
        <v>0</v>
      </c>
      <c r="M52" s="123">
        <v>0</v>
      </c>
      <c r="N52" s="123">
        <v>0</v>
      </c>
      <c r="O52" s="123">
        <v>0</v>
      </c>
      <c r="P52" s="123">
        <v>0</v>
      </c>
      <c r="Q52" s="123">
        <v>0</v>
      </c>
      <c r="R52" s="123">
        <v>0</v>
      </c>
      <c r="S52" s="123">
        <v>0</v>
      </c>
      <c r="T52" s="123">
        <v>0</v>
      </c>
      <c r="U52" s="123">
        <v>0</v>
      </c>
      <c r="V52" s="123">
        <v>0</v>
      </c>
      <c r="W52" s="123">
        <v>0</v>
      </c>
      <c r="X52" s="123">
        <v>0</v>
      </c>
      <c r="Y52" s="123">
        <v>0</v>
      </c>
      <c r="Z52" s="123">
        <v>0</v>
      </c>
      <c r="AA52" s="123">
        <v>0</v>
      </c>
      <c r="AB52" s="123">
        <v>0</v>
      </c>
      <c r="AC52" s="123">
        <v>0</v>
      </c>
      <c r="AD52" s="123">
        <v>0</v>
      </c>
      <c r="AE52" s="123">
        <v>0</v>
      </c>
      <c r="AF52" s="123">
        <v>0</v>
      </c>
      <c r="AG52" s="123">
        <v>0</v>
      </c>
      <c r="AH52" s="123">
        <v>0</v>
      </c>
      <c r="AI52" s="123">
        <v>0</v>
      </c>
      <c r="AJ52" s="123">
        <v>0</v>
      </c>
      <c r="AK52" s="123">
        <v>0</v>
      </c>
      <c r="AL52" s="123">
        <v>0</v>
      </c>
      <c r="AM52" s="123">
        <v>0</v>
      </c>
      <c r="AN52" s="123">
        <v>0</v>
      </c>
      <c r="AO52" s="123">
        <v>0</v>
      </c>
      <c r="AP52" s="123">
        <v>0</v>
      </c>
    </row>
    <row r="53" spans="1:42" x14ac:dyDescent="0.2">
      <c r="A53" s="22" t="s">
        <v>350</v>
      </c>
      <c r="B53" s="123">
        <v>0</v>
      </c>
      <c r="C53" s="123">
        <v>0</v>
      </c>
      <c r="D53" s="123">
        <v>0</v>
      </c>
      <c r="E53" s="123">
        <v>0</v>
      </c>
      <c r="F53" s="123">
        <v>0</v>
      </c>
      <c r="G53" s="123">
        <v>0</v>
      </c>
      <c r="H53" s="123">
        <v>0</v>
      </c>
      <c r="I53" s="123">
        <v>0</v>
      </c>
      <c r="J53" s="123">
        <v>0</v>
      </c>
      <c r="K53" s="123">
        <v>0</v>
      </c>
      <c r="L53" s="123">
        <v>0</v>
      </c>
      <c r="M53" s="123">
        <v>0</v>
      </c>
      <c r="N53" s="123">
        <v>0</v>
      </c>
      <c r="O53" s="123">
        <v>0</v>
      </c>
      <c r="P53" s="123">
        <v>0</v>
      </c>
      <c r="Q53" s="123">
        <v>0</v>
      </c>
      <c r="R53" s="123">
        <v>0</v>
      </c>
      <c r="S53" s="123">
        <v>0</v>
      </c>
      <c r="T53" s="123">
        <v>0</v>
      </c>
      <c r="U53" s="123">
        <v>0</v>
      </c>
      <c r="V53" s="123">
        <v>0</v>
      </c>
      <c r="W53" s="123">
        <v>0</v>
      </c>
      <c r="X53" s="123">
        <v>0</v>
      </c>
      <c r="Y53" s="123">
        <v>0</v>
      </c>
      <c r="Z53" s="123">
        <v>0</v>
      </c>
      <c r="AA53" s="123">
        <v>0</v>
      </c>
      <c r="AB53" s="123">
        <v>0</v>
      </c>
      <c r="AC53" s="123">
        <v>0</v>
      </c>
      <c r="AD53" s="123">
        <v>0</v>
      </c>
      <c r="AE53" s="123">
        <v>0</v>
      </c>
      <c r="AF53" s="123">
        <v>0</v>
      </c>
      <c r="AG53" s="123">
        <v>0</v>
      </c>
      <c r="AH53" s="123">
        <v>0</v>
      </c>
      <c r="AI53" s="123">
        <v>0</v>
      </c>
      <c r="AJ53" s="123">
        <v>0</v>
      </c>
      <c r="AK53" s="123">
        <v>0</v>
      </c>
      <c r="AL53" s="123">
        <v>0</v>
      </c>
      <c r="AM53" s="123">
        <v>0</v>
      </c>
      <c r="AN53" s="123">
        <v>0</v>
      </c>
      <c r="AO53" s="123">
        <v>0</v>
      </c>
      <c r="AP53" s="123">
        <v>0</v>
      </c>
    </row>
    <row r="54" spans="1:42" x14ac:dyDescent="0.2">
      <c r="A54" s="22" t="s">
        <v>390</v>
      </c>
      <c r="B54" s="123">
        <v>0</v>
      </c>
      <c r="C54" s="123">
        <v>0</v>
      </c>
      <c r="D54" s="123">
        <v>0</v>
      </c>
      <c r="E54" s="123">
        <v>0</v>
      </c>
      <c r="F54" s="123">
        <v>0</v>
      </c>
      <c r="G54" s="123">
        <v>0</v>
      </c>
      <c r="H54" s="123">
        <v>0</v>
      </c>
      <c r="I54" s="123">
        <v>0</v>
      </c>
      <c r="J54" s="123">
        <v>0</v>
      </c>
      <c r="K54" s="123">
        <v>0</v>
      </c>
      <c r="L54" s="123">
        <v>0</v>
      </c>
      <c r="M54" s="123">
        <v>0</v>
      </c>
      <c r="N54" s="123">
        <v>0</v>
      </c>
      <c r="O54" s="123">
        <v>0</v>
      </c>
      <c r="P54" s="123">
        <v>0</v>
      </c>
      <c r="Q54" s="123">
        <v>0</v>
      </c>
      <c r="R54" s="123">
        <v>0</v>
      </c>
      <c r="S54" s="123">
        <v>0</v>
      </c>
      <c r="T54" s="123">
        <v>0</v>
      </c>
      <c r="U54" s="123">
        <v>0</v>
      </c>
      <c r="V54" s="123">
        <v>0</v>
      </c>
      <c r="W54" s="123">
        <v>0</v>
      </c>
      <c r="X54" s="123">
        <v>0</v>
      </c>
      <c r="Y54" s="123">
        <v>0</v>
      </c>
      <c r="Z54" s="123">
        <v>0</v>
      </c>
      <c r="AA54" s="123">
        <v>0</v>
      </c>
      <c r="AB54" s="123">
        <v>0</v>
      </c>
      <c r="AC54" s="123">
        <v>0</v>
      </c>
      <c r="AD54" s="123">
        <v>0</v>
      </c>
      <c r="AE54" s="123">
        <v>0</v>
      </c>
      <c r="AF54" s="123">
        <v>0</v>
      </c>
      <c r="AG54" s="123">
        <v>0</v>
      </c>
      <c r="AH54" s="123">
        <v>0</v>
      </c>
      <c r="AI54" s="123">
        <v>0</v>
      </c>
      <c r="AJ54" s="123">
        <v>0</v>
      </c>
      <c r="AK54" s="123">
        <v>0</v>
      </c>
      <c r="AL54" s="123">
        <v>0</v>
      </c>
      <c r="AM54" s="123">
        <v>0</v>
      </c>
      <c r="AN54" s="123">
        <v>0</v>
      </c>
      <c r="AO54" s="123">
        <v>0</v>
      </c>
      <c r="AP54" s="123">
        <v>0</v>
      </c>
    </row>
    <row r="55" spans="1:42" x14ac:dyDescent="0.2">
      <c r="A55" s="90" t="s">
        <v>391</v>
      </c>
      <c r="C55" s="123">
        <f t="shared" ref="C55:AP55" si="15">IF(C2&lt;=analysis_period,om_fuel_cost*annual_fuel_usage/1000*system_heat_rate*(1+om_fuel_cost_escal/100+inflation_rate/100)^B2,0)</f>
        <v>0</v>
      </c>
      <c r="D55" s="123">
        <f t="shared" si="15"/>
        <v>0</v>
      </c>
      <c r="E55" s="123">
        <f t="shared" si="15"/>
        <v>0</v>
      </c>
      <c r="F55" s="123">
        <f t="shared" si="15"/>
        <v>0</v>
      </c>
      <c r="G55" s="123">
        <f t="shared" si="15"/>
        <v>0</v>
      </c>
      <c r="H55" s="123">
        <f t="shared" si="15"/>
        <v>0</v>
      </c>
      <c r="I55" s="123">
        <f t="shared" si="15"/>
        <v>0</v>
      </c>
      <c r="J55" s="123">
        <f t="shared" si="15"/>
        <v>0</v>
      </c>
      <c r="K55" s="123">
        <f t="shared" si="15"/>
        <v>0</v>
      </c>
      <c r="L55" s="123">
        <f t="shared" si="15"/>
        <v>0</v>
      </c>
      <c r="M55" s="123">
        <f t="shared" si="15"/>
        <v>0</v>
      </c>
      <c r="N55" s="123">
        <f t="shared" si="15"/>
        <v>0</v>
      </c>
      <c r="O55" s="123">
        <f t="shared" si="15"/>
        <v>0</v>
      </c>
      <c r="P55" s="123">
        <f t="shared" si="15"/>
        <v>0</v>
      </c>
      <c r="Q55" s="123">
        <f t="shared" si="15"/>
        <v>0</v>
      </c>
      <c r="R55" s="123">
        <f t="shared" si="15"/>
        <v>0</v>
      </c>
      <c r="S55" s="123">
        <f t="shared" si="15"/>
        <v>0</v>
      </c>
      <c r="T55" s="123">
        <f t="shared" si="15"/>
        <v>0</v>
      </c>
      <c r="U55" s="123">
        <f t="shared" si="15"/>
        <v>0</v>
      </c>
      <c r="V55" s="123">
        <f t="shared" si="15"/>
        <v>0</v>
      </c>
      <c r="W55" s="123">
        <f t="shared" si="15"/>
        <v>0</v>
      </c>
      <c r="X55" s="123">
        <f t="shared" si="15"/>
        <v>0</v>
      </c>
      <c r="Y55" s="123">
        <f t="shared" si="15"/>
        <v>0</v>
      </c>
      <c r="Z55" s="123">
        <f t="shared" si="15"/>
        <v>0</v>
      </c>
      <c r="AA55" s="123">
        <f t="shared" si="15"/>
        <v>0</v>
      </c>
      <c r="AB55" s="123">
        <f t="shared" si="15"/>
        <v>0</v>
      </c>
      <c r="AC55" s="123">
        <f t="shared" si="15"/>
        <v>0</v>
      </c>
      <c r="AD55" s="123">
        <f t="shared" si="15"/>
        <v>0</v>
      </c>
      <c r="AE55" s="123">
        <f t="shared" si="15"/>
        <v>0</v>
      </c>
      <c r="AF55" s="123">
        <f t="shared" si="15"/>
        <v>0</v>
      </c>
      <c r="AG55" s="123">
        <f t="shared" si="15"/>
        <v>0</v>
      </c>
      <c r="AH55" s="123">
        <f t="shared" si="15"/>
        <v>0</v>
      </c>
      <c r="AI55" s="123">
        <f t="shared" si="15"/>
        <v>0</v>
      </c>
      <c r="AJ55" s="123">
        <f t="shared" si="15"/>
        <v>0</v>
      </c>
      <c r="AK55" s="123">
        <f t="shared" si="15"/>
        <v>0</v>
      </c>
      <c r="AL55" s="123">
        <f t="shared" si="15"/>
        <v>0</v>
      </c>
      <c r="AM55" s="123">
        <f t="shared" si="15"/>
        <v>0</v>
      </c>
      <c r="AN55" s="123">
        <f t="shared" si="15"/>
        <v>0</v>
      </c>
      <c r="AO55" s="123">
        <f t="shared" si="15"/>
        <v>0</v>
      </c>
      <c r="AP55" s="123">
        <f t="shared" si="15"/>
        <v>0</v>
      </c>
    </row>
    <row r="56" spans="1:42" x14ac:dyDescent="0.2">
      <c r="A56" s="90" t="s">
        <v>237</v>
      </c>
      <c r="B56" s="123">
        <f t="array" ref="B56:AP57">Inputs!C198:AQ199</f>
        <v>0</v>
      </c>
      <c r="C56" s="123">
        <v>0</v>
      </c>
      <c r="D56" s="123">
        <v>0</v>
      </c>
      <c r="E56" s="123">
        <v>0</v>
      </c>
      <c r="F56" s="123">
        <v>0</v>
      </c>
      <c r="G56" s="123">
        <v>0</v>
      </c>
      <c r="H56" s="123">
        <v>0</v>
      </c>
      <c r="I56" s="123">
        <v>0</v>
      </c>
      <c r="J56" s="123">
        <v>0</v>
      </c>
      <c r="K56" s="123">
        <v>0</v>
      </c>
      <c r="L56" s="123">
        <v>0</v>
      </c>
      <c r="M56" s="123">
        <v>0</v>
      </c>
      <c r="N56" s="123">
        <v>0</v>
      </c>
      <c r="O56" s="123">
        <v>0</v>
      </c>
      <c r="P56" s="123">
        <v>0</v>
      </c>
      <c r="Q56" s="123">
        <v>0</v>
      </c>
      <c r="R56" s="123">
        <v>0</v>
      </c>
      <c r="S56" s="123">
        <v>0</v>
      </c>
      <c r="T56" s="123">
        <v>0</v>
      </c>
      <c r="U56" s="123">
        <v>0</v>
      </c>
      <c r="V56" s="123">
        <v>0</v>
      </c>
      <c r="W56" s="123">
        <v>0</v>
      </c>
      <c r="X56" s="123">
        <v>0</v>
      </c>
      <c r="Y56" s="123">
        <v>0</v>
      </c>
      <c r="Z56" s="123">
        <v>0</v>
      </c>
      <c r="AA56" s="123">
        <v>0</v>
      </c>
      <c r="AB56" s="123">
        <v>0</v>
      </c>
      <c r="AC56" s="123">
        <v>0</v>
      </c>
      <c r="AD56" s="123">
        <v>0</v>
      </c>
      <c r="AE56" s="123">
        <v>0</v>
      </c>
      <c r="AF56" s="123">
        <v>0</v>
      </c>
      <c r="AG56" s="123">
        <v>0</v>
      </c>
      <c r="AH56" s="123">
        <v>0</v>
      </c>
      <c r="AI56" s="123">
        <v>0</v>
      </c>
      <c r="AJ56" s="123">
        <v>0</v>
      </c>
      <c r="AK56" s="123">
        <v>0</v>
      </c>
      <c r="AL56" s="123">
        <v>0</v>
      </c>
      <c r="AM56" s="123">
        <v>0</v>
      </c>
      <c r="AN56" s="123">
        <v>0</v>
      </c>
      <c r="AO56" s="123">
        <v>0</v>
      </c>
      <c r="AP56" s="123">
        <v>0</v>
      </c>
    </row>
    <row r="57" spans="1:42" x14ac:dyDescent="0.2">
      <c r="A57" s="90" t="s">
        <v>238</v>
      </c>
      <c r="B57" s="123">
        <v>0</v>
      </c>
      <c r="C57" s="123">
        <v>0</v>
      </c>
      <c r="D57" s="123">
        <v>0</v>
      </c>
      <c r="E57" s="123">
        <v>0</v>
      </c>
      <c r="F57" s="123">
        <v>0</v>
      </c>
      <c r="G57" s="123">
        <v>0</v>
      </c>
      <c r="H57" s="123">
        <v>0</v>
      </c>
      <c r="I57" s="123">
        <v>0</v>
      </c>
      <c r="J57" s="123">
        <v>0</v>
      </c>
      <c r="K57" s="123">
        <v>0</v>
      </c>
      <c r="L57" s="123">
        <v>0</v>
      </c>
      <c r="M57" s="123">
        <v>0</v>
      </c>
      <c r="N57" s="123">
        <v>0</v>
      </c>
      <c r="O57" s="123">
        <v>0</v>
      </c>
      <c r="P57" s="123">
        <v>0</v>
      </c>
      <c r="Q57" s="123">
        <v>0</v>
      </c>
      <c r="R57" s="123">
        <v>0</v>
      </c>
      <c r="S57" s="123">
        <v>0</v>
      </c>
      <c r="T57" s="123">
        <v>0</v>
      </c>
      <c r="U57" s="123">
        <v>0</v>
      </c>
      <c r="V57" s="123">
        <v>0</v>
      </c>
      <c r="W57" s="123">
        <v>0</v>
      </c>
      <c r="X57" s="123">
        <v>0</v>
      </c>
      <c r="Y57" s="123">
        <v>0</v>
      </c>
      <c r="Z57" s="123">
        <v>0</v>
      </c>
      <c r="AA57" s="123">
        <v>0</v>
      </c>
      <c r="AB57" s="123">
        <v>0</v>
      </c>
      <c r="AC57" s="123">
        <v>0</v>
      </c>
      <c r="AD57" s="123">
        <v>0</v>
      </c>
      <c r="AE57" s="123">
        <v>0</v>
      </c>
      <c r="AF57" s="123">
        <v>0</v>
      </c>
      <c r="AG57" s="123">
        <v>0</v>
      </c>
      <c r="AH57" s="123">
        <v>0</v>
      </c>
      <c r="AI57" s="123">
        <v>0</v>
      </c>
      <c r="AJ57" s="123">
        <v>0</v>
      </c>
      <c r="AK57" s="123">
        <v>0</v>
      </c>
      <c r="AL57" s="123">
        <v>0</v>
      </c>
      <c r="AM57" s="123">
        <v>0</v>
      </c>
      <c r="AN57" s="123">
        <v>0</v>
      </c>
      <c r="AO57" s="123">
        <v>0</v>
      </c>
      <c r="AP57" s="123">
        <v>0</v>
      </c>
    </row>
    <row r="58" spans="1:42" x14ac:dyDescent="0.2">
      <c r="A58" s="90" t="s">
        <v>363</v>
      </c>
      <c r="B58" s="123">
        <f t="array" ref="B58:AP58">Inputs!C201:AQ201</f>
        <v>0</v>
      </c>
      <c r="C58" s="123">
        <v>0</v>
      </c>
      <c r="D58" s="123">
        <v>0</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23">
        <v>0</v>
      </c>
      <c r="W58" s="123">
        <v>0</v>
      </c>
      <c r="X58" s="123">
        <v>0</v>
      </c>
      <c r="Y58" s="123">
        <v>0</v>
      </c>
      <c r="Z58" s="123">
        <v>0</v>
      </c>
      <c r="AA58" s="123">
        <v>0</v>
      </c>
      <c r="AB58" s="123">
        <v>0</v>
      </c>
      <c r="AC58" s="123">
        <v>0</v>
      </c>
      <c r="AD58" s="123">
        <v>0</v>
      </c>
      <c r="AE58" s="123">
        <v>0</v>
      </c>
      <c r="AF58" s="123">
        <v>0</v>
      </c>
      <c r="AG58" s="123">
        <v>0</v>
      </c>
      <c r="AH58" s="123">
        <v>0</v>
      </c>
      <c r="AI58" s="123">
        <v>0</v>
      </c>
      <c r="AJ58" s="123">
        <v>0</v>
      </c>
      <c r="AK58" s="123">
        <v>0</v>
      </c>
      <c r="AL58" s="123">
        <v>0</v>
      </c>
      <c r="AM58" s="123">
        <v>0</v>
      </c>
      <c r="AN58" s="123">
        <v>0</v>
      </c>
      <c r="AO58" s="123">
        <v>0</v>
      </c>
      <c r="AP58" s="123">
        <v>0</v>
      </c>
    </row>
    <row r="59" spans="1:42" x14ac:dyDescent="0.2">
      <c r="A59" s="18" t="s">
        <v>379</v>
      </c>
      <c r="C59" s="123">
        <f>IF(C$2&lt;=analysis_period,IF(om_land_lease="n/a",total_land_area*Inputs!D$212,total_land_area*om_land_lease*(1+inflation_rate/100+om_land_lease_escal/100)^B$2),0)</f>
        <v>0</v>
      </c>
      <c r="D59" s="123">
        <f>IF(D$2&lt;=analysis_period,IF(om_land_lease="n/a",total_land_area*Inputs!E$212,total_land_area*om_land_lease*(1+inflation_rate/100+om_land_lease_escal/100)^C$2),0)</f>
        <v>0</v>
      </c>
      <c r="E59" s="123">
        <f>IF(E$2&lt;=analysis_period,IF(om_land_lease="n/a",total_land_area*Inputs!F$212,total_land_area*om_land_lease*(1+inflation_rate/100+om_land_lease_escal/100)^D$2),0)</f>
        <v>0</v>
      </c>
      <c r="F59" s="123">
        <f>IF(F$2&lt;=analysis_period,IF(om_land_lease="n/a",total_land_area*Inputs!G$212,total_land_area*om_land_lease*(1+inflation_rate/100+om_land_lease_escal/100)^E$2),0)</f>
        <v>0</v>
      </c>
      <c r="G59" s="123">
        <f>IF(G$2&lt;=analysis_period,IF(om_land_lease="n/a",total_land_area*Inputs!H$212,total_land_area*om_land_lease*(1+inflation_rate/100+om_land_lease_escal/100)^F$2),0)</f>
        <v>0</v>
      </c>
      <c r="H59" s="123">
        <f>IF(H$2&lt;=analysis_period,IF(om_land_lease="n/a",total_land_area*Inputs!I$212,total_land_area*om_land_lease*(1+inflation_rate/100+om_land_lease_escal/100)^G$2),0)</f>
        <v>0</v>
      </c>
      <c r="I59" s="123">
        <f>IF(I$2&lt;=analysis_period,IF(om_land_lease="n/a",total_land_area*Inputs!J$212,total_land_area*om_land_lease*(1+inflation_rate/100+om_land_lease_escal/100)^H$2),0)</f>
        <v>0</v>
      </c>
      <c r="J59" s="123">
        <f>IF(J$2&lt;=analysis_period,IF(om_land_lease="n/a",total_land_area*Inputs!K$212,total_land_area*om_land_lease*(1+inflation_rate/100+om_land_lease_escal/100)^I$2),0)</f>
        <v>0</v>
      </c>
      <c r="K59" s="123">
        <f>IF(K$2&lt;=analysis_period,IF(om_land_lease="n/a",total_land_area*Inputs!L$212,total_land_area*om_land_lease*(1+inflation_rate/100+om_land_lease_escal/100)^J$2),0)</f>
        <v>0</v>
      </c>
      <c r="L59" s="123">
        <f>IF(L$2&lt;=analysis_period,IF(om_land_lease="n/a",total_land_area*Inputs!M$212,total_land_area*om_land_lease*(1+inflation_rate/100+om_land_lease_escal/100)^K$2),0)</f>
        <v>0</v>
      </c>
      <c r="M59" s="123">
        <f>IF(M$2&lt;=analysis_period,IF(om_land_lease="n/a",total_land_area*Inputs!N$212,total_land_area*om_land_lease*(1+inflation_rate/100+om_land_lease_escal/100)^L$2),0)</f>
        <v>0</v>
      </c>
      <c r="N59" s="123">
        <f>IF(N$2&lt;=analysis_period,IF(om_land_lease="n/a",total_land_area*Inputs!O$212,total_land_area*om_land_lease*(1+inflation_rate/100+om_land_lease_escal/100)^M$2),0)</f>
        <v>0</v>
      </c>
      <c r="O59" s="123">
        <f>IF(O$2&lt;=analysis_period,IF(om_land_lease="n/a",total_land_area*Inputs!P$212,total_land_area*om_land_lease*(1+inflation_rate/100+om_land_lease_escal/100)^N$2),0)</f>
        <v>0</v>
      </c>
      <c r="P59" s="123">
        <f>IF(P$2&lt;=analysis_period,IF(om_land_lease="n/a",total_land_area*Inputs!Q$212,total_land_area*om_land_lease*(1+inflation_rate/100+om_land_lease_escal/100)^O$2),0)</f>
        <v>0</v>
      </c>
      <c r="Q59" s="123">
        <f>IF(Q$2&lt;=analysis_period,IF(om_land_lease="n/a",total_land_area*Inputs!R$212,total_land_area*om_land_lease*(1+inflation_rate/100+om_land_lease_escal/100)^P$2),0)</f>
        <v>0</v>
      </c>
      <c r="R59" s="123">
        <f>IF(R$2&lt;=analysis_period,IF(om_land_lease="n/a",total_land_area*Inputs!S$212,total_land_area*om_land_lease*(1+inflation_rate/100+om_land_lease_escal/100)^Q$2),0)</f>
        <v>0</v>
      </c>
      <c r="S59" s="123">
        <f>IF(S$2&lt;=analysis_period,IF(om_land_lease="n/a",total_land_area*Inputs!T$212,total_land_area*om_land_lease*(1+inflation_rate/100+om_land_lease_escal/100)^R$2),0)</f>
        <v>0</v>
      </c>
      <c r="T59" s="123">
        <f>IF(T$2&lt;=analysis_period,IF(om_land_lease="n/a",total_land_area*Inputs!U$212,total_land_area*om_land_lease*(1+inflation_rate/100+om_land_lease_escal/100)^S$2),0)</f>
        <v>0</v>
      </c>
      <c r="U59" s="123">
        <f>IF(U$2&lt;=analysis_period,IF(om_land_lease="n/a",total_land_area*Inputs!V$212,total_land_area*om_land_lease*(1+inflation_rate/100+om_land_lease_escal/100)^T$2),0)</f>
        <v>0</v>
      </c>
      <c r="V59" s="123">
        <f>IF(V$2&lt;=analysis_period,IF(om_land_lease="n/a",total_land_area*Inputs!W$212,total_land_area*om_land_lease*(1+inflation_rate/100+om_land_lease_escal/100)^U$2),0)</f>
        <v>0</v>
      </c>
      <c r="W59" s="123">
        <f>IF(W$2&lt;=analysis_period,IF(om_land_lease="n/a",total_land_area*Inputs!X$212,total_land_area*om_land_lease*(1+inflation_rate/100+om_land_lease_escal/100)^V$2),0)</f>
        <v>0</v>
      </c>
      <c r="X59" s="123">
        <f>IF(X$2&lt;=analysis_period,IF(om_land_lease="n/a",total_land_area*Inputs!Y$212,total_land_area*om_land_lease*(1+inflation_rate/100+om_land_lease_escal/100)^W$2),0)</f>
        <v>0</v>
      </c>
      <c r="Y59" s="123">
        <f>IF(Y$2&lt;=analysis_period,IF(om_land_lease="n/a",total_land_area*Inputs!Z$212,total_land_area*om_land_lease*(1+inflation_rate/100+om_land_lease_escal/100)^X$2),0)</f>
        <v>0</v>
      </c>
      <c r="Z59" s="123">
        <f>IF(Z$2&lt;=analysis_period,IF(om_land_lease="n/a",total_land_area*Inputs!AA$212,total_land_area*om_land_lease*(1+inflation_rate/100+om_land_lease_escal/100)^Y$2),0)</f>
        <v>0</v>
      </c>
      <c r="AA59" s="123">
        <f>IF(AA$2&lt;=analysis_period,IF(om_land_lease="n/a",total_land_area*Inputs!AB$212,total_land_area*om_land_lease*(1+inflation_rate/100+om_land_lease_escal/100)^Z$2),0)</f>
        <v>0</v>
      </c>
      <c r="AB59" s="123">
        <f>IF(AB$2&lt;=analysis_period,IF(om_land_lease="n/a",total_land_area*Inputs!AC$212,total_land_area*om_land_lease*(1+inflation_rate/100+om_land_lease_escal/100)^AA$2),0)</f>
        <v>0</v>
      </c>
      <c r="AC59" s="123">
        <f>IF(AC$2&lt;=analysis_period,IF(om_land_lease="n/a",total_land_area*Inputs!AD$212,total_land_area*om_land_lease*(1+inflation_rate/100+om_land_lease_escal/100)^AB$2),0)</f>
        <v>0</v>
      </c>
      <c r="AD59" s="123">
        <f>IF(AD$2&lt;=analysis_period,IF(om_land_lease="n/a",total_land_area*Inputs!AE$212,total_land_area*om_land_lease*(1+inflation_rate/100+om_land_lease_escal/100)^AC$2),0)</f>
        <v>0</v>
      </c>
      <c r="AE59" s="123">
        <f>IF(AE$2&lt;=analysis_period,IF(om_land_lease="n/a",total_land_area*Inputs!AF$212,total_land_area*om_land_lease*(1+inflation_rate/100+om_land_lease_escal/100)^AD$2),0)</f>
        <v>0</v>
      </c>
      <c r="AF59" s="123">
        <f>IF(AF$2&lt;=analysis_period,IF(om_land_lease="n/a",total_land_area*Inputs!AG$212,total_land_area*om_land_lease*(1+inflation_rate/100+om_land_lease_escal/100)^AE$2),0)</f>
        <v>0</v>
      </c>
      <c r="AG59" s="123">
        <f>IF(AG$2&lt;=analysis_period,IF(om_land_lease="n/a",total_land_area*Inputs!AH$212,total_land_area*om_land_lease*(1+inflation_rate/100+om_land_lease_escal/100)^AF$2),0)</f>
        <v>0</v>
      </c>
      <c r="AH59" s="123">
        <f>IF(AH$2&lt;=analysis_period,IF(om_land_lease="n/a",total_land_area*Inputs!AI$212,total_land_area*om_land_lease*(1+inflation_rate/100+om_land_lease_escal/100)^AG$2),0)</f>
        <v>0</v>
      </c>
      <c r="AI59" s="123">
        <f>IF(AI$2&lt;=analysis_period,IF(om_land_lease="n/a",total_land_area*Inputs!AJ$212,total_land_area*om_land_lease*(1+inflation_rate/100+om_land_lease_escal/100)^AH$2),0)</f>
        <v>0</v>
      </c>
      <c r="AJ59" s="123">
        <f>IF(AJ$2&lt;=analysis_period,IF(om_land_lease="n/a",total_land_area*Inputs!AK$212,total_land_area*om_land_lease*(1+inflation_rate/100+om_land_lease_escal/100)^AI$2),0)</f>
        <v>0</v>
      </c>
      <c r="AK59" s="123">
        <f>IF(AK$2&lt;=analysis_period,IF(om_land_lease="n/a",total_land_area*Inputs!AL$212,total_land_area*om_land_lease*(1+inflation_rate/100+om_land_lease_escal/100)^AJ$2),0)</f>
        <v>0</v>
      </c>
      <c r="AL59" s="123">
        <f>IF(AL$2&lt;=analysis_period,IF(om_land_lease="n/a",total_land_area*Inputs!AM$212,total_land_area*om_land_lease*(1+inflation_rate/100+om_land_lease_escal/100)^AK$2),0)</f>
        <v>0</v>
      </c>
      <c r="AM59" s="123">
        <f>IF(AM$2&lt;=analysis_period,IF(om_land_lease="n/a",total_land_area*Inputs!AN$212,total_land_area*om_land_lease*(1+inflation_rate/100+om_land_lease_escal/100)^AL$2),0)</f>
        <v>0</v>
      </c>
      <c r="AN59" s="123">
        <f>IF(AN$2&lt;=analysis_period,IF(om_land_lease="n/a",total_land_area*Inputs!AO$212,total_land_area*om_land_lease*(1+inflation_rate/100+om_land_lease_escal/100)^AM$2),0)</f>
        <v>0</v>
      </c>
      <c r="AO59" s="123">
        <f>IF(AO$2&lt;=analysis_period,IF(om_land_lease="n/a",total_land_area*Inputs!AP$212,total_land_area*om_land_lease*(1+inflation_rate/100+om_land_lease_escal/100)^AN$2),0)</f>
        <v>0</v>
      </c>
      <c r="AP59" s="123">
        <f>IF(AP$2&lt;=analysis_period,IF(om_land_lease="n/a",total_land_area*Inputs!AQ$212,total_land_area*om_land_lease*(1+inflation_rate/100+om_land_lease_escal/100)^AO$2),0)</f>
        <v>0</v>
      </c>
    </row>
    <row r="60" spans="1:42" x14ac:dyDescent="0.2">
      <c r="A60" s="18" t="s">
        <v>0</v>
      </c>
      <c r="C60" s="123">
        <f t="shared" ref="C60:AP60" si="16">C30*property_tax_rate/100</f>
        <v>0</v>
      </c>
      <c r="D60" s="123">
        <f t="shared" si="16"/>
        <v>0</v>
      </c>
      <c r="E60" s="123">
        <f t="shared" si="16"/>
        <v>0</v>
      </c>
      <c r="F60" s="123">
        <f t="shared" si="16"/>
        <v>0</v>
      </c>
      <c r="G60" s="123">
        <f t="shared" si="16"/>
        <v>0</v>
      </c>
      <c r="H60" s="123">
        <f t="shared" si="16"/>
        <v>0</v>
      </c>
      <c r="I60" s="123">
        <f t="shared" si="16"/>
        <v>0</v>
      </c>
      <c r="J60" s="123">
        <f t="shared" si="16"/>
        <v>0</v>
      </c>
      <c r="K60" s="123">
        <f t="shared" si="16"/>
        <v>0</v>
      </c>
      <c r="L60" s="123">
        <f t="shared" si="16"/>
        <v>0</v>
      </c>
      <c r="M60" s="123">
        <f t="shared" si="16"/>
        <v>0</v>
      </c>
      <c r="N60" s="123">
        <f t="shared" si="16"/>
        <v>0</v>
      </c>
      <c r="O60" s="123">
        <f t="shared" si="16"/>
        <v>0</v>
      </c>
      <c r="P60" s="123">
        <f t="shared" si="16"/>
        <v>0</v>
      </c>
      <c r="Q60" s="123">
        <f t="shared" si="16"/>
        <v>0</v>
      </c>
      <c r="R60" s="123">
        <f t="shared" si="16"/>
        <v>0</v>
      </c>
      <c r="S60" s="123">
        <f t="shared" si="16"/>
        <v>0</v>
      </c>
      <c r="T60" s="123">
        <f t="shared" si="16"/>
        <v>0</v>
      </c>
      <c r="U60" s="123">
        <f t="shared" si="16"/>
        <v>0</v>
      </c>
      <c r="V60" s="123">
        <f t="shared" si="16"/>
        <v>0</v>
      </c>
      <c r="W60" s="123">
        <f t="shared" si="16"/>
        <v>0</v>
      </c>
      <c r="X60" s="123">
        <f t="shared" si="16"/>
        <v>0</v>
      </c>
      <c r="Y60" s="123">
        <f t="shared" si="16"/>
        <v>0</v>
      </c>
      <c r="Z60" s="123">
        <f t="shared" si="16"/>
        <v>0</v>
      </c>
      <c r="AA60" s="123">
        <f t="shared" si="16"/>
        <v>0</v>
      </c>
      <c r="AB60" s="123">
        <f t="shared" si="16"/>
        <v>0</v>
      </c>
      <c r="AC60" s="123">
        <f t="shared" si="16"/>
        <v>0</v>
      </c>
      <c r="AD60" s="123">
        <f t="shared" si="16"/>
        <v>0</v>
      </c>
      <c r="AE60" s="123">
        <f t="shared" si="16"/>
        <v>0</v>
      </c>
      <c r="AF60" s="123">
        <f t="shared" si="16"/>
        <v>0</v>
      </c>
      <c r="AG60" s="123">
        <f t="shared" si="16"/>
        <v>0</v>
      </c>
      <c r="AH60" s="123">
        <f t="shared" si="16"/>
        <v>0</v>
      </c>
      <c r="AI60" s="123">
        <f t="shared" si="16"/>
        <v>0</v>
      </c>
      <c r="AJ60" s="123">
        <f t="shared" si="16"/>
        <v>0</v>
      </c>
      <c r="AK60" s="123">
        <f t="shared" si="16"/>
        <v>0</v>
      </c>
      <c r="AL60" s="123">
        <f t="shared" si="16"/>
        <v>0</v>
      </c>
      <c r="AM60" s="123">
        <f t="shared" si="16"/>
        <v>0</v>
      </c>
      <c r="AN60" s="123">
        <f t="shared" si="16"/>
        <v>0</v>
      </c>
      <c r="AO60" s="123">
        <f t="shared" si="16"/>
        <v>0</v>
      </c>
      <c r="AP60" s="123">
        <f t="shared" si="16"/>
        <v>0</v>
      </c>
    </row>
    <row r="61" spans="1:42" x14ac:dyDescent="0.2">
      <c r="A61" s="18" t="s">
        <v>43</v>
      </c>
      <c r="C61" s="123">
        <f t="shared" ref="C61:AP61" si="17">IF(C$2&lt;=analysis_period,total_installed_cost*insurance_rate/100*(1+inflation_rate/100)^B$2,0)</f>
        <v>0</v>
      </c>
      <c r="D61" s="123">
        <f t="shared" si="17"/>
        <v>0</v>
      </c>
      <c r="E61" s="123">
        <f t="shared" si="17"/>
        <v>0</v>
      </c>
      <c r="F61" s="123">
        <f t="shared" si="17"/>
        <v>0</v>
      </c>
      <c r="G61" s="123">
        <f t="shared" si="17"/>
        <v>0</v>
      </c>
      <c r="H61" s="123">
        <f t="shared" si="17"/>
        <v>0</v>
      </c>
      <c r="I61" s="123">
        <f t="shared" si="17"/>
        <v>0</v>
      </c>
      <c r="J61" s="123">
        <f t="shared" si="17"/>
        <v>0</v>
      </c>
      <c r="K61" s="123">
        <f t="shared" si="17"/>
        <v>0</v>
      </c>
      <c r="L61" s="123">
        <f t="shared" si="17"/>
        <v>0</v>
      </c>
      <c r="M61" s="123">
        <f t="shared" si="17"/>
        <v>0</v>
      </c>
      <c r="N61" s="123">
        <f t="shared" si="17"/>
        <v>0</v>
      </c>
      <c r="O61" s="123">
        <f t="shared" si="17"/>
        <v>0</v>
      </c>
      <c r="P61" s="123">
        <f t="shared" si="17"/>
        <v>0</v>
      </c>
      <c r="Q61" s="123">
        <f t="shared" si="17"/>
        <v>0</v>
      </c>
      <c r="R61" s="123">
        <f t="shared" si="17"/>
        <v>0</v>
      </c>
      <c r="S61" s="123">
        <f t="shared" si="17"/>
        <v>0</v>
      </c>
      <c r="T61" s="123">
        <f t="shared" si="17"/>
        <v>0</v>
      </c>
      <c r="U61" s="123">
        <f t="shared" si="17"/>
        <v>0</v>
      </c>
      <c r="V61" s="123">
        <f t="shared" si="17"/>
        <v>0</v>
      </c>
      <c r="W61" s="123">
        <f t="shared" si="17"/>
        <v>0</v>
      </c>
      <c r="X61" s="123">
        <f t="shared" si="17"/>
        <v>0</v>
      </c>
      <c r="Y61" s="123">
        <f t="shared" si="17"/>
        <v>0</v>
      </c>
      <c r="Z61" s="123">
        <f t="shared" si="17"/>
        <v>0</v>
      </c>
      <c r="AA61" s="123">
        <f t="shared" si="17"/>
        <v>0</v>
      </c>
      <c r="AB61" s="123">
        <f t="shared" si="17"/>
        <v>0</v>
      </c>
      <c r="AC61" s="123">
        <f t="shared" si="17"/>
        <v>0</v>
      </c>
      <c r="AD61" s="123">
        <f t="shared" si="17"/>
        <v>0</v>
      </c>
      <c r="AE61" s="123">
        <f t="shared" si="17"/>
        <v>0</v>
      </c>
      <c r="AF61" s="123">
        <f t="shared" si="17"/>
        <v>0</v>
      </c>
      <c r="AG61" s="123">
        <f t="shared" si="17"/>
        <v>0</v>
      </c>
      <c r="AH61" s="123">
        <f t="shared" si="17"/>
        <v>0</v>
      </c>
      <c r="AI61" s="123">
        <f t="shared" si="17"/>
        <v>0</v>
      </c>
      <c r="AJ61" s="123">
        <f t="shared" si="17"/>
        <v>0</v>
      </c>
      <c r="AK61" s="123">
        <f t="shared" si="17"/>
        <v>0</v>
      </c>
      <c r="AL61" s="123">
        <f t="shared" si="17"/>
        <v>0</v>
      </c>
      <c r="AM61" s="123">
        <f t="shared" si="17"/>
        <v>0</v>
      </c>
      <c r="AN61" s="123">
        <f t="shared" si="17"/>
        <v>0</v>
      </c>
      <c r="AO61" s="123">
        <f t="shared" si="17"/>
        <v>0</v>
      </c>
      <c r="AP61" s="123">
        <f t="shared" si="17"/>
        <v>0</v>
      </c>
    </row>
    <row r="62" spans="1:42" x14ac:dyDescent="0.2">
      <c r="A62" s="30" t="s">
        <v>19</v>
      </c>
      <c r="B62" s="30"/>
      <c r="C62" s="141">
        <f>C$34+C$38+C$42+SUM(C45:C48)+SUM(C43:C43)+SUM(C50:C61)</f>
        <v>1500000</v>
      </c>
      <c r="D62" s="141">
        <f t="shared" ref="D62:AP62" si="18">D$34+D$38+D$42+SUM(D45:D48)+SUM(D43:D43)+SUM(D50:D61)</f>
        <v>1537499.9999999998</v>
      </c>
      <c r="E62" s="141">
        <f t="shared" si="18"/>
        <v>1575937.4999999998</v>
      </c>
      <c r="F62" s="141">
        <f t="shared" si="18"/>
        <v>1615335.9374999998</v>
      </c>
      <c r="G62" s="141">
        <f t="shared" si="18"/>
        <v>1655719.3359374995</v>
      </c>
      <c r="H62" s="141">
        <f t="shared" si="18"/>
        <v>1697112.3193359368</v>
      </c>
      <c r="I62" s="141">
        <f t="shared" si="18"/>
        <v>1739540.1273193355</v>
      </c>
      <c r="J62" s="141">
        <f t="shared" si="18"/>
        <v>1783028.6305023187</v>
      </c>
      <c r="K62" s="141">
        <f t="shared" si="18"/>
        <v>1827604.3462648764</v>
      </c>
      <c r="L62" s="141">
        <f t="shared" si="18"/>
        <v>1873294.4549214982</v>
      </c>
      <c r="M62" s="141">
        <f t="shared" si="18"/>
        <v>1920126.8162945358</v>
      </c>
      <c r="N62" s="141">
        <f t="shared" si="18"/>
        <v>1968129.986701899</v>
      </c>
      <c r="O62" s="141">
        <f t="shared" si="18"/>
        <v>2017333.2363694464</v>
      </c>
      <c r="P62" s="141">
        <f t="shared" si="18"/>
        <v>2067766.5672786823</v>
      </c>
      <c r="Q62" s="141">
        <f t="shared" si="18"/>
        <v>2119460.7314606495</v>
      </c>
      <c r="R62" s="141">
        <f t="shared" si="18"/>
        <v>2172447.2497471659</v>
      </c>
      <c r="S62" s="141">
        <f t="shared" si="18"/>
        <v>2226758.4309908445</v>
      </c>
      <c r="T62" s="141">
        <f t="shared" si="18"/>
        <v>2282427.3917656154</v>
      </c>
      <c r="U62" s="141">
        <f t="shared" si="18"/>
        <v>2339488.076559756</v>
      </c>
      <c r="V62" s="141">
        <f t="shared" si="18"/>
        <v>2397975.2784737498</v>
      </c>
      <c r="W62" s="141">
        <f t="shared" si="18"/>
        <v>2457924.6604355932</v>
      </c>
      <c r="X62" s="141">
        <f t="shared" si="18"/>
        <v>2519372.7769464827</v>
      </c>
      <c r="Y62" s="141">
        <f t="shared" si="18"/>
        <v>2582357.0963701447</v>
      </c>
      <c r="Z62" s="141">
        <f t="shared" si="18"/>
        <v>2646916.0237793988</v>
      </c>
      <c r="AA62" s="141">
        <f t="shared" si="18"/>
        <v>2713088.9243738833</v>
      </c>
      <c r="AB62" s="141">
        <f t="shared" si="18"/>
        <v>0</v>
      </c>
      <c r="AC62" s="141">
        <f t="shared" si="18"/>
        <v>0</v>
      </c>
      <c r="AD62" s="141">
        <f t="shared" si="18"/>
        <v>0</v>
      </c>
      <c r="AE62" s="141">
        <f t="shared" si="18"/>
        <v>0</v>
      </c>
      <c r="AF62" s="141">
        <f t="shared" si="18"/>
        <v>0</v>
      </c>
      <c r="AG62" s="141">
        <f t="shared" si="18"/>
        <v>0</v>
      </c>
      <c r="AH62" s="141">
        <f t="shared" si="18"/>
        <v>0</v>
      </c>
      <c r="AI62" s="141">
        <f t="shared" si="18"/>
        <v>0</v>
      </c>
      <c r="AJ62" s="141">
        <f t="shared" si="18"/>
        <v>0</v>
      </c>
      <c r="AK62" s="141">
        <f t="shared" si="18"/>
        <v>0</v>
      </c>
      <c r="AL62" s="141">
        <f t="shared" si="18"/>
        <v>0</v>
      </c>
      <c r="AM62" s="141">
        <f t="shared" si="18"/>
        <v>0</v>
      </c>
      <c r="AN62" s="141">
        <f t="shared" si="18"/>
        <v>0</v>
      </c>
      <c r="AO62" s="141">
        <f t="shared" si="18"/>
        <v>0</v>
      </c>
      <c r="AP62" s="141">
        <f t="shared" si="18"/>
        <v>0</v>
      </c>
    </row>
    <row r="64" spans="1:42" x14ac:dyDescent="0.2">
      <c r="A64" s="212" t="s">
        <v>30</v>
      </c>
      <c r="B64" s="30"/>
      <c r="C64" s="141">
        <f t="shared" ref="C64:AP64" si="19">C28-C62</f>
        <v>6976300</v>
      </c>
      <c r="D64" s="141">
        <f t="shared" si="19"/>
        <v>6980760</v>
      </c>
      <c r="E64" s="141">
        <f t="shared" si="19"/>
        <v>6984482.5</v>
      </c>
      <c r="F64" s="141">
        <f t="shared" si="19"/>
        <v>6987464.0625</v>
      </c>
      <c r="G64" s="141">
        <f t="shared" si="19"/>
        <v>6989660.6640625</v>
      </c>
      <c r="H64" s="141">
        <f t="shared" si="19"/>
        <v>6991057.6806640634</v>
      </c>
      <c r="I64" s="141">
        <f t="shared" si="19"/>
        <v>6991639.8726806641</v>
      </c>
      <c r="J64" s="141">
        <f t="shared" si="19"/>
        <v>6991371.369497681</v>
      </c>
      <c r="K64" s="141">
        <f t="shared" si="19"/>
        <v>6990225.6537351236</v>
      </c>
      <c r="L64" s="141">
        <f t="shared" si="19"/>
        <v>6988185.545078502</v>
      </c>
      <c r="M64" s="141">
        <f t="shared" si="19"/>
        <v>6985223.183705464</v>
      </c>
      <c r="N64" s="141">
        <f t="shared" si="19"/>
        <v>6981300.0132981008</v>
      </c>
      <c r="O64" s="141">
        <f t="shared" si="19"/>
        <v>6976396.7636305541</v>
      </c>
      <c r="P64" s="141">
        <f t="shared" si="19"/>
        <v>6970483.4327213177</v>
      </c>
      <c r="Q64" s="141">
        <f t="shared" si="19"/>
        <v>6963519.2685393505</v>
      </c>
      <c r="R64" s="141">
        <f t="shared" si="19"/>
        <v>6955502.7502528336</v>
      </c>
      <c r="S64" s="141">
        <f t="shared" si="19"/>
        <v>6946371.569009155</v>
      </c>
      <c r="T64" s="141">
        <f t="shared" si="19"/>
        <v>6936112.608234385</v>
      </c>
      <c r="U64" s="141">
        <f t="shared" si="19"/>
        <v>6924681.923440244</v>
      </c>
      <c r="V64" s="141">
        <f t="shared" si="19"/>
        <v>6912054.7215262502</v>
      </c>
      <c r="W64" s="141">
        <f t="shared" si="19"/>
        <v>6898185.3395644072</v>
      </c>
      <c r="X64" s="141">
        <f t="shared" si="19"/>
        <v>6883047.2230535168</v>
      </c>
      <c r="Y64" s="141">
        <f t="shared" si="19"/>
        <v>6866602.9036298553</v>
      </c>
      <c r="Z64" s="141">
        <f t="shared" si="19"/>
        <v>6848823.9762206012</v>
      </c>
      <c r="AA64" s="141">
        <f t="shared" si="19"/>
        <v>6829651.0756261162</v>
      </c>
      <c r="AB64" s="141">
        <f t="shared" si="19"/>
        <v>0</v>
      </c>
      <c r="AC64" s="141">
        <f t="shared" si="19"/>
        <v>0</v>
      </c>
      <c r="AD64" s="141">
        <f t="shared" si="19"/>
        <v>0</v>
      </c>
      <c r="AE64" s="141">
        <f t="shared" si="19"/>
        <v>0</v>
      </c>
      <c r="AF64" s="141">
        <f t="shared" si="19"/>
        <v>0</v>
      </c>
      <c r="AG64" s="141">
        <f t="shared" si="19"/>
        <v>0</v>
      </c>
      <c r="AH64" s="141">
        <f t="shared" si="19"/>
        <v>0</v>
      </c>
      <c r="AI64" s="141">
        <f t="shared" si="19"/>
        <v>0</v>
      </c>
      <c r="AJ64" s="141">
        <f t="shared" si="19"/>
        <v>0</v>
      </c>
      <c r="AK64" s="141">
        <f t="shared" si="19"/>
        <v>0</v>
      </c>
      <c r="AL64" s="141">
        <f t="shared" si="19"/>
        <v>0</v>
      </c>
      <c r="AM64" s="141">
        <f t="shared" si="19"/>
        <v>0</v>
      </c>
      <c r="AN64" s="141">
        <f t="shared" si="19"/>
        <v>0</v>
      </c>
      <c r="AO64" s="141">
        <f t="shared" si="19"/>
        <v>0</v>
      </c>
      <c r="AP64" s="141">
        <f t="shared" si="19"/>
        <v>0</v>
      </c>
    </row>
    <row r="65" spans="1:42" x14ac:dyDescent="0.2">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row>
    <row r="66" spans="1:42" x14ac:dyDescent="0.2">
      <c r="A66" s="84" t="s">
        <v>85</v>
      </c>
      <c r="B66" s="7"/>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row>
    <row r="67" spans="1:42" x14ac:dyDescent="0.2">
      <c r="A67" s="20" t="s">
        <v>255</v>
      </c>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row>
    <row r="68" spans="1:42" x14ac:dyDescent="0.2">
      <c r="A68" s="18" t="s">
        <v>30</v>
      </c>
      <c r="B68" s="123"/>
      <c r="C68" s="123">
        <f>C64</f>
        <v>6976300</v>
      </c>
      <c r="D68" s="123">
        <f t="shared" ref="D68:AP68" si="20">D64</f>
        <v>6980760</v>
      </c>
      <c r="E68" s="123">
        <f t="shared" si="20"/>
        <v>6984482.5</v>
      </c>
      <c r="F68" s="123">
        <f t="shared" si="20"/>
        <v>6987464.0625</v>
      </c>
      <c r="G68" s="123">
        <f t="shared" si="20"/>
        <v>6989660.6640625</v>
      </c>
      <c r="H68" s="123">
        <f t="shared" si="20"/>
        <v>6991057.6806640634</v>
      </c>
      <c r="I68" s="123">
        <f t="shared" si="20"/>
        <v>6991639.8726806641</v>
      </c>
      <c r="J68" s="123">
        <f t="shared" si="20"/>
        <v>6991371.369497681</v>
      </c>
      <c r="K68" s="123">
        <f t="shared" si="20"/>
        <v>6990225.6537351236</v>
      </c>
      <c r="L68" s="123">
        <f t="shared" si="20"/>
        <v>6988185.545078502</v>
      </c>
      <c r="M68" s="123">
        <f t="shared" si="20"/>
        <v>6985223.183705464</v>
      </c>
      <c r="N68" s="123">
        <f t="shared" si="20"/>
        <v>6981300.0132981008</v>
      </c>
      <c r="O68" s="123">
        <f t="shared" si="20"/>
        <v>6976396.7636305541</v>
      </c>
      <c r="P68" s="123">
        <f t="shared" si="20"/>
        <v>6970483.4327213177</v>
      </c>
      <c r="Q68" s="123">
        <f t="shared" si="20"/>
        <v>6963519.2685393505</v>
      </c>
      <c r="R68" s="123">
        <f t="shared" si="20"/>
        <v>6955502.7502528336</v>
      </c>
      <c r="S68" s="123">
        <f t="shared" si="20"/>
        <v>6946371.569009155</v>
      </c>
      <c r="T68" s="123">
        <f t="shared" si="20"/>
        <v>6936112.608234385</v>
      </c>
      <c r="U68" s="123">
        <f t="shared" si="20"/>
        <v>6924681.923440244</v>
      </c>
      <c r="V68" s="123">
        <f t="shared" si="20"/>
        <v>6912054.7215262502</v>
      </c>
      <c r="W68" s="123">
        <f t="shared" si="20"/>
        <v>6898185.3395644072</v>
      </c>
      <c r="X68" s="123">
        <f t="shared" si="20"/>
        <v>6883047.2230535168</v>
      </c>
      <c r="Y68" s="123">
        <f t="shared" si="20"/>
        <v>6866602.9036298553</v>
      </c>
      <c r="Z68" s="123">
        <f t="shared" si="20"/>
        <v>6848823.9762206012</v>
      </c>
      <c r="AA68" s="123">
        <f t="shared" si="20"/>
        <v>6829651.0756261162</v>
      </c>
      <c r="AB68" s="123">
        <f t="shared" si="20"/>
        <v>0</v>
      </c>
      <c r="AC68" s="123">
        <f t="shared" si="20"/>
        <v>0</v>
      </c>
      <c r="AD68" s="123">
        <f t="shared" si="20"/>
        <v>0</v>
      </c>
      <c r="AE68" s="123">
        <f t="shared" si="20"/>
        <v>0</v>
      </c>
      <c r="AF68" s="123">
        <f t="shared" si="20"/>
        <v>0</v>
      </c>
      <c r="AG68" s="123">
        <f t="shared" si="20"/>
        <v>0</v>
      </c>
      <c r="AH68" s="123">
        <f t="shared" si="20"/>
        <v>0</v>
      </c>
      <c r="AI68" s="123">
        <f t="shared" si="20"/>
        <v>0</v>
      </c>
      <c r="AJ68" s="123">
        <f t="shared" si="20"/>
        <v>0</v>
      </c>
      <c r="AK68" s="123">
        <f t="shared" si="20"/>
        <v>0</v>
      </c>
      <c r="AL68" s="123">
        <f t="shared" si="20"/>
        <v>0</v>
      </c>
      <c r="AM68" s="123">
        <f t="shared" si="20"/>
        <v>0</v>
      </c>
      <c r="AN68" s="123">
        <f t="shared" si="20"/>
        <v>0</v>
      </c>
      <c r="AO68" s="123">
        <f t="shared" si="20"/>
        <v>0</v>
      </c>
      <c r="AP68" s="123">
        <f t="shared" si="20"/>
        <v>0</v>
      </c>
    </row>
    <row r="69" spans="1:42" x14ac:dyDescent="0.2">
      <c r="A69" s="18" t="s">
        <v>191</v>
      </c>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row>
    <row r="70" spans="1:42" x14ac:dyDescent="0.2">
      <c r="A70" s="22" t="str">
        <f>A22</f>
        <v>Federal</v>
      </c>
      <c r="B70" s="101"/>
      <c r="C70" s="123">
        <f t="shared" ref="C70:AP70" si="21">IF(pbi_fed_for_ds="Yes",0,C569)</f>
        <v>0</v>
      </c>
      <c r="D70" s="123">
        <f t="shared" si="21"/>
        <v>0</v>
      </c>
      <c r="E70" s="123">
        <f t="shared" si="21"/>
        <v>0</v>
      </c>
      <c r="F70" s="123">
        <f t="shared" si="21"/>
        <v>0</v>
      </c>
      <c r="G70" s="123">
        <f t="shared" si="21"/>
        <v>0</v>
      </c>
      <c r="H70" s="123">
        <f t="shared" si="21"/>
        <v>0</v>
      </c>
      <c r="I70" s="123">
        <f t="shared" si="21"/>
        <v>0</v>
      </c>
      <c r="J70" s="123">
        <f t="shared" si="21"/>
        <v>0</v>
      </c>
      <c r="K70" s="123">
        <f t="shared" si="21"/>
        <v>0</v>
      </c>
      <c r="L70" s="123">
        <f t="shared" si="21"/>
        <v>0</v>
      </c>
      <c r="M70" s="123">
        <f t="shared" si="21"/>
        <v>0</v>
      </c>
      <c r="N70" s="123">
        <f t="shared" si="21"/>
        <v>0</v>
      </c>
      <c r="O70" s="123">
        <f t="shared" si="21"/>
        <v>0</v>
      </c>
      <c r="P70" s="123">
        <f t="shared" si="21"/>
        <v>0</v>
      </c>
      <c r="Q70" s="123">
        <f t="shared" si="21"/>
        <v>0</v>
      </c>
      <c r="R70" s="123">
        <f t="shared" si="21"/>
        <v>0</v>
      </c>
      <c r="S70" s="123">
        <f t="shared" si="21"/>
        <v>0</v>
      </c>
      <c r="T70" s="123">
        <f t="shared" si="21"/>
        <v>0</v>
      </c>
      <c r="U70" s="123">
        <f t="shared" si="21"/>
        <v>0</v>
      </c>
      <c r="V70" s="123">
        <f t="shared" si="21"/>
        <v>0</v>
      </c>
      <c r="W70" s="123">
        <f t="shared" si="21"/>
        <v>0</v>
      </c>
      <c r="X70" s="123">
        <f t="shared" si="21"/>
        <v>0</v>
      </c>
      <c r="Y70" s="123">
        <f t="shared" si="21"/>
        <v>0</v>
      </c>
      <c r="Z70" s="123">
        <f t="shared" si="21"/>
        <v>0</v>
      </c>
      <c r="AA70" s="123">
        <f t="shared" si="21"/>
        <v>0</v>
      </c>
      <c r="AB70" s="123">
        <f t="shared" si="21"/>
        <v>0</v>
      </c>
      <c r="AC70" s="123">
        <f t="shared" si="21"/>
        <v>0</v>
      </c>
      <c r="AD70" s="123">
        <f t="shared" si="21"/>
        <v>0</v>
      </c>
      <c r="AE70" s="123">
        <f t="shared" si="21"/>
        <v>0</v>
      </c>
      <c r="AF70" s="123">
        <f t="shared" si="21"/>
        <v>0</v>
      </c>
      <c r="AG70" s="123">
        <f t="shared" si="21"/>
        <v>0</v>
      </c>
      <c r="AH70" s="123">
        <f t="shared" si="21"/>
        <v>0</v>
      </c>
      <c r="AI70" s="123">
        <f t="shared" si="21"/>
        <v>0</v>
      </c>
      <c r="AJ70" s="123">
        <f t="shared" si="21"/>
        <v>0</v>
      </c>
      <c r="AK70" s="123">
        <f t="shared" si="21"/>
        <v>0</v>
      </c>
      <c r="AL70" s="123">
        <f t="shared" si="21"/>
        <v>0</v>
      </c>
      <c r="AM70" s="123">
        <f t="shared" si="21"/>
        <v>0</v>
      </c>
      <c r="AN70" s="123">
        <f t="shared" si="21"/>
        <v>0</v>
      </c>
      <c r="AO70" s="123">
        <f t="shared" si="21"/>
        <v>0</v>
      </c>
      <c r="AP70" s="123">
        <f t="shared" si="21"/>
        <v>0</v>
      </c>
    </row>
    <row r="71" spans="1:42" x14ac:dyDescent="0.2">
      <c r="A71" s="22" t="str">
        <f>A23</f>
        <v>State</v>
      </c>
      <c r="B71" s="101"/>
      <c r="C71" s="123">
        <f t="shared" ref="C71:AP71" si="22">IF(pbi_sta_for_ds="Yes",0,C573)</f>
        <v>0</v>
      </c>
      <c r="D71" s="123">
        <f t="shared" si="22"/>
        <v>0</v>
      </c>
      <c r="E71" s="123">
        <f t="shared" si="22"/>
        <v>0</v>
      </c>
      <c r="F71" s="123">
        <f t="shared" si="22"/>
        <v>0</v>
      </c>
      <c r="G71" s="123">
        <f t="shared" si="22"/>
        <v>0</v>
      </c>
      <c r="H71" s="123">
        <f t="shared" si="22"/>
        <v>0</v>
      </c>
      <c r="I71" s="123">
        <f t="shared" si="22"/>
        <v>0</v>
      </c>
      <c r="J71" s="123">
        <f t="shared" si="22"/>
        <v>0</v>
      </c>
      <c r="K71" s="123">
        <f t="shared" si="22"/>
        <v>0</v>
      </c>
      <c r="L71" s="123">
        <f t="shared" si="22"/>
        <v>0</v>
      </c>
      <c r="M71" s="123">
        <f t="shared" si="22"/>
        <v>0</v>
      </c>
      <c r="N71" s="123">
        <f t="shared" si="22"/>
        <v>0</v>
      </c>
      <c r="O71" s="123">
        <f t="shared" si="22"/>
        <v>0</v>
      </c>
      <c r="P71" s="123">
        <f t="shared" si="22"/>
        <v>0</v>
      </c>
      <c r="Q71" s="123">
        <f t="shared" si="22"/>
        <v>0</v>
      </c>
      <c r="R71" s="123">
        <f t="shared" si="22"/>
        <v>0</v>
      </c>
      <c r="S71" s="123">
        <f t="shared" si="22"/>
        <v>0</v>
      </c>
      <c r="T71" s="123">
        <f t="shared" si="22"/>
        <v>0</v>
      </c>
      <c r="U71" s="123">
        <f t="shared" si="22"/>
        <v>0</v>
      </c>
      <c r="V71" s="123">
        <f t="shared" si="22"/>
        <v>0</v>
      </c>
      <c r="W71" s="123">
        <f t="shared" si="22"/>
        <v>0</v>
      </c>
      <c r="X71" s="123">
        <f t="shared" si="22"/>
        <v>0</v>
      </c>
      <c r="Y71" s="123">
        <f t="shared" si="22"/>
        <v>0</v>
      </c>
      <c r="Z71" s="123">
        <f t="shared" si="22"/>
        <v>0</v>
      </c>
      <c r="AA71" s="123">
        <f t="shared" si="22"/>
        <v>0</v>
      </c>
      <c r="AB71" s="123">
        <f t="shared" si="22"/>
        <v>0</v>
      </c>
      <c r="AC71" s="123">
        <f t="shared" si="22"/>
        <v>0</v>
      </c>
      <c r="AD71" s="123">
        <f t="shared" si="22"/>
        <v>0</v>
      </c>
      <c r="AE71" s="123">
        <f t="shared" si="22"/>
        <v>0</v>
      </c>
      <c r="AF71" s="123">
        <f t="shared" si="22"/>
        <v>0</v>
      </c>
      <c r="AG71" s="123">
        <f t="shared" si="22"/>
        <v>0</v>
      </c>
      <c r="AH71" s="123">
        <f t="shared" si="22"/>
        <v>0</v>
      </c>
      <c r="AI71" s="123">
        <f t="shared" si="22"/>
        <v>0</v>
      </c>
      <c r="AJ71" s="123">
        <f t="shared" si="22"/>
        <v>0</v>
      </c>
      <c r="AK71" s="123">
        <f t="shared" si="22"/>
        <v>0</v>
      </c>
      <c r="AL71" s="123">
        <f t="shared" si="22"/>
        <v>0</v>
      </c>
      <c r="AM71" s="123">
        <f t="shared" si="22"/>
        <v>0</v>
      </c>
      <c r="AN71" s="123">
        <f t="shared" si="22"/>
        <v>0</v>
      </c>
      <c r="AO71" s="123">
        <f t="shared" si="22"/>
        <v>0</v>
      </c>
      <c r="AP71" s="123">
        <f t="shared" si="22"/>
        <v>0</v>
      </c>
    </row>
    <row r="72" spans="1:42" x14ac:dyDescent="0.2">
      <c r="A72" s="22" t="str">
        <f>A24</f>
        <v>Utility</v>
      </c>
      <c r="B72" s="101"/>
      <c r="C72" s="123">
        <f t="shared" ref="C72:AP72" si="23">IF(pbi_uti_for_ds="Yes",0,C577)</f>
        <v>0</v>
      </c>
      <c r="D72" s="123">
        <f t="shared" si="23"/>
        <v>0</v>
      </c>
      <c r="E72" s="123">
        <f t="shared" si="23"/>
        <v>0</v>
      </c>
      <c r="F72" s="123">
        <f t="shared" si="23"/>
        <v>0</v>
      </c>
      <c r="G72" s="123">
        <f t="shared" si="23"/>
        <v>0</v>
      </c>
      <c r="H72" s="123">
        <f t="shared" si="23"/>
        <v>0</v>
      </c>
      <c r="I72" s="123">
        <f t="shared" si="23"/>
        <v>0</v>
      </c>
      <c r="J72" s="123">
        <f t="shared" si="23"/>
        <v>0</v>
      </c>
      <c r="K72" s="123">
        <f t="shared" si="23"/>
        <v>0</v>
      </c>
      <c r="L72" s="123">
        <f t="shared" si="23"/>
        <v>0</v>
      </c>
      <c r="M72" s="123">
        <f t="shared" si="23"/>
        <v>0</v>
      </c>
      <c r="N72" s="123">
        <f t="shared" si="23"/>
        <v>0</v>
      </c>
      <c r="O72" s="123">
        <f t="shared" si="23"/>
        <v>0</v>
      </c>
      <c r="P72" s="123">
        <f t="shared" si="23"/>
        <v>0</v>
      </c>
      <c r="Q72" s="123">
        <f t="shared" si="23"/>
        <v>0</v>
      </c>
      <c r="R72" s="123">
        <f t="shared" si="23"/>
        <v>0</v>
      </c>
      <c r="S72" s="123">
        <f t="shared" si="23"/>
        <v>0</v>
      </c>
      <c r="T72" s="123">
        <f t="shared" si="23"/>
        <v>0</v>
      </c>
      <c r="U72" s="123">
        <f t="shared" si="23"/>
        <v>0</v>
      </c>
      <c r="V72" s="123">
        <f t="shared" si="23"/>
        <v>0</v>
      </c>
      <c r="W72" s="123">
        <f t="shared" si="23"/>
        <v>0</v>
      </c>
      <c r="X72" s="123">
        <f t="shared" si="23"/>
        <v>0</v>
      </c>
      <c r="Y72" s="123">
        <f t="shared" si="23"/>
        <v>0</v>
      </c>
      <c r="Z72" s="123">
        <f t="shared" si="23"/>
        <v>0</v>
      </c>
      <c r="AA72" s="123">
        <f t="shared" si="23"/>
        <v>0</v>
      </c>
      <c r="AB72" s="123">
        <f t="shared" si="23"/>
        <v>0</v>
      </c>
      <c r="AC72" s="123">
        <f t="shared" si="23"/>
        <v>0</v>
      </c>
      <c r="AD72" s="123">
        <f t="shared" si="23"/>
        <v>0</v>
      </c>
      <c r="AE72" s="123">
        <f t="shared" si="23"/>
        <v>0</v>
      </c>
      <c r="AF72" s="123">
        <f t="shared" si="23"/>
        <v>0</v>
      </c>
      <c r="AG72" s="123">
        <f t="shared" si="23"/>
        <v>0</v>
      </c>
      <c r="AH72" s="123">
        <f t="shared" si="23"/>
        <v>0</v>
      </c>
      <c r="AI72" s="123">
        <f t="shared" si="23"/>
        <v>0</v>
      </c>
      <c r="AJ72" s="123">
        <f t="shared" si="23"/>
        <v>0</v>
      </c>
      <c r="AK72" s="123">
        <f t="shared" si="23"/>
        <v>0</v>
      </c>
      <c r="AL72" s="123">
        <f t="shared" si="23"/>
        <v>0</v>
      </c>
      <c r="AM72" s="123">
        <f t="shared" si="23"/>
        <v>0</v>
      </c>
      <c r="AN72" s="123">
        <f t="shared" si="23"/>
        <v>0</v>
      </c>
      <c r="AO72" s="123">
        <f t="shared" si="23"/>
        <v>0</v>
      </c>
      <c r="AP72" s="123">
        <f t="shared" si="23"/>
        <v>0</v>
      </c>
    </row>
    <row r="73" spans="1:42" x14ac:dyDescent="0.2">
      <c r="A73" s="22" t="str">
        <f>A25</f>
        <v>Other</v>
      </c>
      <c r="B73" s="101"/>
      <c r="C73" s="124">
        <f t="shared" ref="C73:AP73" si="24">IF(pbi_oth_for_ds="Yes",0,C581)</f>
        <v>0</v>
      </c>
      <c r="D73" s="124">
        <f t="shared" si="24"/>
        <v>0</v>
      </c>
      <c r="E73" s="124">
        <f t="shared" si="24"/>
        <v>0</v>
      </c>
      <c r="F73" s="124">
        <f t="shared" si="24"/>
        <v>0</v>
      </c>
      <c r="G73" s="124">
        <f t="shared" si="24"/>
        <v>0</v>
      </c>
      <c r="H73" s="124">
        <f t="shared" si="24"/>
        <v>0</v>
      </c>
      <c r="I73" s="124">
        <f t="shared" si="24"/>
        <v>0</v>
      </c>
      <c r="J73" s="124">
        <f t="shared" si="24"/>
        <v>0</v>
      </c>
      <c r="K73" s="124">
        <f t="shared" si="24"/>
        <v>0</v>
      </c>
      <c r="L73" s="124">
        <f t="shared" si="24"/>
        <v>0</v>
      </c>
      <c r="M73" s="124">
        <f t="shared" si="24"/>
        <v>0</v>
      </c>
      <c r="N73" s="124">
        <f t="shared" si="24"/>
        <v>0</v>
      </c>
      <c r="O73" s="124">
        <f t="shared" si="24"/>
        <v>0</v>
      </c>
      <c r="P73" s="124">
        <f t="shared" si="24"/>
        <v>0</v>
      </c>
      <c r="Q73" s="124">
        <f t="shared" si="24"/>
        <v>0</v>
      </c>
      <c r="R73" s="124">
        <f t="shared" si="24"/>
        <v>0</v>
      </c>
      <c r="S73" s="124">
        <f t="shared" si="24"/>
        <v>0</v>
      </c>
      <c r="T73" s="124">
        <f t="shared" si="24"/>
        <v>0</v>
      </c>
      <c r="U73" s="124">
        <f t="shared" si="24"/>
        <v>0</v>
      </c>
      <c r="V73" s="124">
        <f t="shared" si="24"/>
        <v>0</v>
      </c>
      <c r="W73" s="124">
        <f t="shared" si="24"/>
        <v>0</v>
      </c>
      <c r="X73" s="124">
        <f t="shared" si="24"/>
        <v>0</v>
      </c>
      <c r="Y73" s="124">
        <f t="shared" si="24"/>
        <v>0</v>
      </c>
      <c r="Z73" s="124">
        <f t="shared" si="24"/>
        <v>0</v>
      </c>
      <c r="AA73" s="124">
        <f t="shared" si="24"/>
        <v>0</v>
      </c>
      <c r="AB73" s="124">
        <f t="shared" si="24"/>
        <v>0</v>
      </c>
      <c r="AC73" s="124">
        <f t="shared" si="24"/>
        <v>0</v>
      </c>
      <c r="AD73" s="124">
        <f t="shared" si="24"/>
        <v>0</v>
      </c>
      <c r="AE73" s="124">
        <f t="shared" si="24"/>
        <v>0</v>
      </c>
      <c r="AF73" s="124">
        <f t="shared" si="24"/>
        <v>0</v>
      </c>
      <c r="AG73" s="124">
        <f t="shared" si="24"/>
        <v>0</v>
      </c>
      <c r="AH73" s="124">
        <f t="shared" si="24"/>
        <v>0</v>
      </c>
      <c r="AI73" s="124">
        <f t="shared" si="24"/>
        <v>0</v>
      </c>
      <c r="AJ73" s="124">
        <f t="shared" si="24"/>
        <v>0</v>
      </c>
      <c r="AK73" s="124">
        <f t="shared" si="24"/>
        <v>0</v>
      </c>
      <c r="AL73" s="124">
        <f t="shared" si="24"/>
        <v>0</v>
      </c>
      <c r="AM73" s="124">
        <f t="shared" si="24"/>
        <v>0</v>
      </c>
      <c r="AN73" s="124">
        <f t="shared" si="24"/>
        <v>0</v>
      </c>
      <c r="AO73" s="124">
        <f t="shared" si="24"/>
        <v>0</v>
      </c>
      <c r="AP73" s="124">
        <f t="shared" si="24"/>
        <v>0</v>
      </c>
    </row>
    <row r="74" spans="1:42" x14ac:dyDescent="0.2">
      <c r="A74" s="22" t="s">
        <v>13</v>
      </c>
      <c r="B74" s="101"/>
      <c r="C74" s="123">
        <f>SUM(C70:C73)</f>
        <v>0</v>
      </c>
      <c r="D74" s="123">
        <f t="shared" ref="D74:AP74" si="25">SUM(D70:D73)</f>
        <v>0</v>
      </c>
      <c r="E74" s="123">
        <f t="shared" si="25"/>
        <v>0</v>
      </c>
      <c r="F74" s="123">
        <f t="shared" si="25"/>
        <v>0</v>
      </c>
      <c r="G74" s="123">
        <f t="shared" si="25"/>
        <v>0</v>
      </c>
      <c r="H74" s="123">
        <f t="shared" si="25"/>
        <v>0</v>
      </c>
      <c r="I74" s="123">
        <f t="shared" si="25"/>
        <v>0</v>
      </c>
      <c r="J74" s="123">
        <f t="shared" si="25"/>
        <v>0</v>
      </c>
      <c r="K74" s="123">
        <f t="shared" si="25"/>
        <v>0</v>
      </c>
      <c r="L74" s="123">
        <f t="shared" si="25"/>
        <v>0</v>
      </c>
      <c r="M74" s="123">
        <f t="shared" si="25"/>
        <v>0</v>
      </c>
      <c r="N74" s="123">
        <f t="shared" si="25"/>
        <v>0</v>
      </c>
      <c r="O74" s="123">
        <f t="shared" si="25"/>
        <v>0</v>
      </c>
      <c r="P74" s="123">
        <f t="shared" si="25"/>
        <v>0</v>
      </c>
      <c r="Q74" s="123">
        <f t="shared" si="25"/>
        <v>0</v>
      </c>
      <c r="R74" s="123">
        <f t="shared" si="25"/>
        <v>0</v>
      </c>
      <c r="S74" s="123">
        <f t="shared" si="25"/>
        <v>0</v>
      </c>
      <c r="T74" s="123">
        <f t="shared" si="25"/>
        <v>0</v>
      </c>
      <c r="U74" s="123">
        <f t="shared" si="25"/>
        <v>0</v>
      </c>
      <c r="V74" s="123">
        <f t="shared" si="25"/>
        <v>0</v>
      </c>
      <c r="W74" s="123">
        <f t="shared" si="25"/>
        <v>0</v>
      </c>
      <c r="X74" s="123">
        <f t="shared" si="25"/>
        <v>0</v>
      </c>
      <c r="Y74" s="123">
        <f t="shared" si="25"/>
        <v>0</v>
      </c>
      <c r="Z74" s="123">
        <f t="shared" si="25"/>
        <v>0</v>
      </c>
      <c r="AA74" s="123">
        <f t="shared" si="25"/>
        <v>0</v>
      </c>
      <c r="AB74" s="123">
        <f t="shared" si="25"/>
        <v>0</v>
      </c>
      <c r="AC74" s="123">
        <f t="shared" si="25"/>
        <v>0</v>
      </c>
      <c r="AD74" s="123">
        <f t="shared" si="25"/>
        <v>0</v>
      </c>
      <c r="AE74" s="123">
        <f t="shared" si="25"/>
        <v>0</v>
      </c>
      <c r="AF74" s="123">
        <f t="shared" si="25"/>
        <v>0</v>
      </c>
      <c r="AG74" s="123">
        <f t="shared" si="25"/>
        <v>0</v>
      </c>
      <c r="AH74" s="123">
        <f t="shared" si="25"/>
        <v>0</v>
      </c>
      <c r="AI74" s="123">
        <f t="shared" si="25"/>
        <v>0</v>
      </c>
      <c r="AJ74" s="123">
        <f t="shared" si="25"/>
        <v>0</v>
      </c>
      <c r="AK74" s="123">
        <f t="shared" si="25"/>
        <v>0</v>
      </c>
      <c r="AL74" s="123">
        <f t="shared" si="25"/>
        <v>0</v>
      </c>
      <c r="AM74" s="123">
        <f t="shared" si="25"/>
        <v>0</v>
      </c>
      <c r="AN74" s="123">
        <f t="shared" si="25"/>
        <v>0</v>
      </c>
      <c r="AO74" s="123">
        <f t="shared" si="25"/>
        <v>0</v>
      </c>
      <c r="AP74" s="123">
        <f t="shared" si="25"/>
        <v>0</v>
      </c>
    </row>
    <row r="75" spans="1:42" x14ac:dyDescent="0.2">
      <c r="A75" s="18" t="s">
        <v>274</v>
      </c>
      <c r="B75" s="123">
        <v>0</v>
      </c>
      <c r="C75" s="123">
        <f t="shared" ref="C75:AP75" si="26">C729</f>
        <v>38386.125</v>
      </c>
      <c r="D75" s="123">
        <f t="shared" si="26"/>
        <v>50416.78184144805</v>
      </c>
      <c r="E75" s="123">
        <f t="shared" si="26"/>
        <v>62449.673057896092</v>
      </c>
      <c r="F75" s="123">
        <f t="shared" si="26"/>
        <v>74484.945133719142</v>
      </c>
      <c r="G75" s="123">
        <f t="shared" si="26"/>
        <v>86522.74821540156</v>
      </c>
      <c r="H75" s="123">
        <f t="shared" si="26"/>
        <v>98562.986203089837</v>
      </c>
      <c r="I75" s="123">
        <f t="shared" si="26"/>
        <v>110605.69184443414</v>
      </c>
      <c r="J75" s="123">
        <f t="shared" si="26"/>
        <v>122651.02683077585</v>
      </c>
      <c r="K75" s="123">
        <f t="shared" si="26"/>
        <v>134698.90689573987</v>
      </c>
      <c r="L75" s="123">
        <f t="shared" si="26"/>
        <v>146749.37691629183</v>
      </c>
      <c r="M75" s="123">
        <f t="shared" si="26"/>
        <v>158802.61101632135</v>
      </c>
      <c r="N75" s="123">
        <f t="shared" si="26"/>
        <v>170858.53767281541</v>
      </c>
      <c r="O75" s="123">
        <f t="shared" si="26"/>
        <v>182917.33982468559</v>
      </c>
      <c r="P75" s="123">
        <f t="shared" si="26"/>
        <v>194978.82998431637</v>
      </c>
      <c r="Q75" s="123">
        <f t="shared" si="26"/>
        <v>207043.32535190173</v>
      </c>
      <c r="R75" s="123">
        <f t="shared" si="26"/>
        <v>47017.670310919784</v>
      </c>
      <c r="S75" s="123">
        <f t="shared" si="26"/>
        <v>47313.240193692778</v>
      </c>
      <c r="T75" s="123">
        <f t="shared" si="26"/>
        <v>47611.796198535099</v>
      </c>
      <c r="U75" s="123">
        <f t="shared" si="26"/>
        <v>14621.800478498475</v>
      </c>
      <c r="V75" s="123">
        <f t="shared" si="26"/>
        <v>14987.345490460935</v>
      </c>
      <c r="W75" s="123">
        <f t="shared" si="26"/>
        <v>15362.029127722457</v>
      </c>
      <c r="X75" s="123">
        <f t="shared" si="26"/>
        <v>15746.079855915517</v>
      </c>
      <c r="Y75" s="123">
        <f t="shared" si="26"/>
        <v>16139.731852313405</v>
      </c>
      <c r="Z75" s="123">
        <f t="shared" si="26"/>
        <v>16543.225148621244</v>
      </c>
      <c r="AA75" s="123">
        <f t="shared" si="26"/>
        <v>16956.805777336773</v>
      </c>
      <c r="AB75" s="123">
        <f t="shared" si="26"/>
        <v>0</v>
      </c>
      <c r="AC75" s="123">
        <f t="shared" si="26"/>
        <v>0</v>
      </c>
      <c r="AD75" s="123">
        <f t="shared" si="26"/>
        <v>0</v>
      </c>
      <c r="AE75" s="123">
        <f t="shared" si="26"/>
        <v>0</v>
      </c>
      <c r="AF75" s="123">
        <f t="shared" si="26"/>
        <v>0</v>
      </c>
      <c r="AG75" s="123">
        <f t="shared" si="26"/>
        <v>0</v>
      </c>
      <c r="AH75" s="123">
        <f t="shared" si="26"/>
        <v>0</v>
      </c>
      <c r="AI75" s="123">
        <f t="shared" si="26"/>
        <v>0</v>
      </c>
      <c r="AJ75" s="123">
        <f t="shared" si="26"/>
        <v>0</v>
      </c>
      <c r="AK75" s="123">
        <f t="shared" si="26"/>
        <v>0</v>
      </c>
      <c r="AL75" s="123">
        <f t="shared" si="26"/>
        <v>0</v>
      </c>
      <c r="AM75" s="123">
        <f t="shared" si="26"/>
        <v>0</v>
      </c>
      <c r="AN75" s="123">
        <f t="shared" si="26"/>
        <v>0</v>
      </c>
      <c r="AO75" s="123">
        <f t="shared" si="26"/>
        <v>0</v>
      </c>
      <c r="AP75" s="123">
        <f t="shared" si="26"/>
        <v>0</v>
      </c>
    </row>
    <row r="76" spans="1:42" x14ac:dyDescent="0.2">
      <c r="A76" s="18" t="s">
        <v>275</v>
      </c>
      <c r="B76" s="124">
        <v>0</v>
      </c>
      <c r="C76" s="124">
        <f t="shared" ref="C76:AP76" si="27">-C588</f>
        <v>-2396246.491939404</v>
      </c>
      <c r="D76" s="124">
        <f t="shared" si="27"/>
        <v>-2306425.0453805448</v>
      </c>
      <c r="E76" s="124">
        <f t="shared" si="27"/>
        <v>-2212873.5101900999</v>
      </c>
      <c r="F76" s="124">
        <f t="shared" si="27"/>
        <v>-2115465.3751304992</v>
      </c>
      <c r="G76" s="124">
        <f t="shared" si="27"/>
        <v>-2014069.1742838991</v>
      </c>
      <c r="H76" s="124">
        <f t="shared" si="27"/>
        <v>-1908549.5376630502</v>
      </c>
      <c r="I76" s="124">
        <f t="shared" si="27"/>
        <v>-1798766.1304511654</v>
      </c>
      <c r="J76" s="124">
        <f t="shared" si="27"/>
        <v>-1684573.4733502946</v>
      </c>
      <c r="K76" s="124">
        <f t="shared" si="27"/>
        <v>-1565821.3716017883</v>
      </c>
      <c r="L76" s="124">
        <f t="shared" si="27"/>
        <v>-1442354.4385760361</v>
      </c>
      <c r="M76" s="124">
        <f t="shared" si="27"/>
        <v>-1314011.6008033035</v>
      </c>
      <c r="N76" s="124">
        <f t="shared" si="27"/>
        <v>-1180626.1991003705</v>
      </c>
      <c r="O76" s="124">
        <f t="shared" si="27"/>
        <v>-1042026.0942649313</v>
      </c>
      <c r="P76" s="124">
        <f t="shared" si="27"/>
        <v>-898032.85445661424</v>
      </c>
      <c r="Q76" s="124">
        <f t="shared" si="27"/>
        <v>-748461.8336993258</v>
      </c>
      <c r="R76" s="124">
        <f t="shared" si="27"/>
        <v>-593122.25408657547</v>
      </c>
      <c r="S76" s="124">
        <f t="shared" si="27"/>
        <v>-402831.67501148983</v>
      </c>
      <c r="T76" s="124">
        <f t="shared" si="27"/>
        <v>-205210.43219628313</v>
      </c>
      <c r="U76" s="124">
        <f t="shared" si="27"/>
        <v>0</v>
      </c>
      <c r="V76" s="124">
        <f t="shared" si="27"/>
        <v>0</v>
      </c>
      <c r="W76" s="124">
        <f t="shared" si="27"/>
        <v>0</v>
      </c>
      <c r="X76" s="124">
        <f t="shared" si="27"/>
        <v>0</v>
      </c>
      <c r="Y76" s="124">
        <f t="shared" si="27"/>
        <v>0</v>
      </c>
      <c r="Z76" s="124">
        <f t="shared" si="27"/>
        <v>0</v>
      </c>
      <c r="AA76" s="124">
        <f t="shared" si="27"/>
        <v>0</v>
      </c>
      <c r="AB76" s="124">
        <f t="shared" si="27"/>
        <v>0</v>
      </c>
      <c r="AC76" s="124">
        <f t="shared" si="27"/>
        <v>0</v>
      </c>
      <c r="AD76" s="124">
        <f t="shared" si="27"/>
        <v>0</v>
      </c>
      <c r="AE76" s="124">
        <f t="shared" si="27"/>
        <v>0</v>
      </c>
      <c r="AF76" s="124">
        <f t="shared" si="27"/>
        <v>0</v>
      </c>
      <c r="AG76" s="124">
        <f t="shared" si="27"/>
        <v>0</v>
      </c>
      <c r="AH76" s="124">
        <f t="shared" si="27"/>
        <v>0</v>
      </c>
      <c r="AI76" s="124">
        <f t="shared" si="27"/>
        <v>0</v>
      </c>
      <c r="AJ76" s="124">
        <f t="shared" si="27"/>
        <v>0</v>
      </c>
      <c r="AK76" s="124">
        <f t="shared" si="27"/>
        <v>0</v>
      </c>
      <c r="AL76" s="124">
        <f t="shared" si="27"/>
        <v>0</v>
      </c>
      <c r="AM76" s="124">
        <f t="shared" si="27"/>
        <v>0</v>
      </c>
      <c r="AN76" s="124">
        <f t="shared" si="27"/>
        <v>0</v>
      </c>
      <c r="AO76" s="124">
        <f t="shared" si="27"/>
        <v>0</v>
      </c>
      <c r="AP76" s="124">
        <f t="shared" si="27"/>
        <v>0</v>
      </c>
    </row>
    <row r="77" spans="1:42" x14ac:dyDescent="0.2">
      <c r="A77" s="209" t="s">
        <v>13</v>
      </c>
      <c r="B77" s="141">
        <f>B68+B74+B75+B76</f>
        <v>0</v>
      </c>
      <c r="C77" s="141">
        <f>C68+C74+C75+C76</f>
        <v>4618439.633060596</v>
      </c>
      <c r="D77" s="141">
        <f t="shared" ref="D77:AP77" si="28">D68+D74+D75+D76</f>
        <v>4724751.7364609037</v>
      </c>
      <c r="E77" s="141">
        <f t="shared" si="28"/>
        <v>4834058.6628677957</v>
      </c>
      <c r="F77" s="141">
        <f t="shared" si="28"/>
        <v>4946483.6325032208</v>
      </c>
      <c r="G77" s="141">
        <f t="shared" si="28"/>
        <v>5062114.2379940022</v>
      </c>
      <c r="H77" s="141">
        <f t="shared" si="28"/>
        <v>5181071.1292041037</v>
      </c>
      <c r="I77" s="141">
        <f t="shared" si="28"/>
        <v>5303479.4340739334</v>
      </c>
      <c r="J77" s="141">
        <f t="shared" si="28"/>
        <v>5429448.9229781618</v>
      </c>
      <c r="K77" s="141">
        <f t="shared" si="28"/>
        <v>5559103.1890290752</v>
      </c>
      <c r="L77" s="141">
        <f t="shared" si="28"/>
        <v>5692580.483418758</v>
      </c>
      <c r="M77" s="141">
        <f t="shared" si="28"/>
        <v>5830014.1939184815</v>
      </c>
      <c r="N77" s="141">
        <f t="shared" si="28"/>
        <v>5971532.3518705461</v>
      </c>
      <c r="O77" s="141">
        <f t="shared" si="28"/>
        <v>6117288.0091903089</v>
      </c>
      <c r="P77" s="141">
        <f t="shared" si="28"/>
        <v>6267429.4082490206</v>
      </c>
      <c r="Q77" s="141">
        <f t="shared" si="28"/>
        <v>6422100.7601919258</v>
      </c>
      <c r="R77" s="141">
        <f t="shared" si="28"/>
        <v>6409398.1664771782</v>
      </c>
      <c r="S77" s="141">
        <f t="shared" si="28"/>
        <v>6590853.1341913585</v>
      </c>
      <c r="T77" s="141">
        <f t="shared" si="28"/>
        <v>6778513.972236637</v>
      </c>
      <c r="U77" s="141">
        <f t="shared" si="28"/>
        <v>6939303.7239187425</v>
      </c>
      <c r="V77" s="141">
        <f t="shared" si="28"/>
        <v>6927042.0670167115</v>
      </c>
      <c r="W77" s="141">
        <f t="shared" si="28"/>
        <v>6913547.3686921299</v>
      </c>
      <c r="X77" s="141">
        <f t="shared" si="28"/>
        <v>6898793.302909432</v>
      </c>
      <c r="Y77" s="141">
        <f t="shared" si="28"/>
        <v>6882742.6354821688</v>
      </c>
      <c r="Z77" s="141">
        <f t="shared" si="28"/>
        <v>6865367.2013692223</v>
      </c>
      <c r="AA77" s="141">
        <f t="shared" si="28"/>
        <v>6846607.8814034527</v>
      </c>
      <c r="AB77" s="141">
        <f t="shared" si="28"/>
        <v>0</v>
      </c>
      <c r="AC77" s="141">
        <f t="shared" si="28"/>
        <v>0</v>
      </c>
      <c r="AD77" s="141">
        <f t="shared" si="28"/>
        <v>0</v>
      </c>
      <c r="AE77" s="141">
        <f t="shared" si="28"/>
        <v>0</v>
      </c>
      <c r="AF77" s="141">
        <f t="shared" si="28"/>
        <v>0</v>
      </c>
      <c r="AG77" s="141">
        <f t="shared" si="28"/>
        <v>0</v>
      </c>
      <c r="AH77" s="141">
        <f t="shared" si="28"/>
        <v>0</v>
      </c>
      <c r="AI77" s="141">
        <f t="shared" si="28"/>
        <v>0</v>
      </c>
      <c r="AJ77" s="141">
        <f t="shared" si="28"/>
        <v>0</v>
      </c>
      <c r="AK77" s="141">
        <f t="shared" si="28"/>
        <v>0</v>
      </c>
      <c r="AL77" s="141">
        <f t="shared" si="28"/>
        <v>0</v>
      </c>
      <c r="AM77" s="141">
        <f t="shared" si="28"/>
        <v>0</v>
      </c>
      <c r="AN77" s="141">
        <f t="shared" si="28"/>
        <v>0</v>
      </c>
      <c r="AO77" s="141">
        <f t="shared" si="28"/>
        <v>0</v>
      </c>
      <c r="AP77" s="141">
        <f t="shared" si="28"/>
        <v>0</v>
      </c>
    </row>
    <row r="78" spans="1:42" x14ac:dyDescent="0.2">
      <c r="A78" s="18"/>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row>
    <row r="79" spans="1:42" x14ac:dyDescent="0.2">
      <c r="A79" s="20" t="s">
        <v>70</v>
      </c>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row>
    <row r="80" spans="1:42" x14ac:dyDescent="0.2">
      <c r="A80" s="4" t="s">
        <v>197</v>
      </c>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row>
    <row r="81" spans="1:42" x14ac:dyDescent="0.2">
      <c r="A81" s="22" t="s">
        <v>198</v>
      </c>
      <c r="B81" s="123">
        <f>-total_installed_cost</f>
        <v>-106498000</v>
      </c>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row>
    <row r="82" spans="1:42" x14ac:dyDescent="0.2">
      <c r="A82" s="22" t="s">
        <v>265</v>
      </c>
      <c r="B82" s="123">
        <f>-(cost_debt_closing)</f>
        <v>-450000</v>
      </c>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row>
    <row r="83" spans="1:42" x14ac:dyDescent="0.2">
      <c r="A83" s="22" t="s">
        <v>266</v>
      </c>
      <c r="B83" s="123">
        <f>-CostDebtUpfront</f>
        <v>-1647420</v>
      </c>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row>
    <row r="84" spans="1:42" x14ac:dyDescent="0.2">
      <c r="A84" s="22" t="s">
        <v>267</v>
      </c>
      <c r="B84" s="123">
        <f>-cost_other_financing</f>
        <v>0</v>
      </c>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row>
    <row r="85" spans="1:42" x14ac:dyDescent="0.2">
      <c r="A85" s="22" t="s">
        <v>199</v>
      </c>
      <c r="B85" s="123">
        <f>-Inputs!I85</f>
        <v>-1996837.5</v>
      </c>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row>
    <row r="86" spans="1:42" x14ac:dyDescent="0.2">
      <c r="A86" s="22" t="s">
        <v>272</v>
      </c>
      <c r="B86" s="123">
        <f>C550+C556</f>
        <v>0</v>
      </c>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row>
    <row r="87" spans="1:42" x14ac:dyDescent="0.2">
      <c r="A87" s="22" t="s">
        <v>273</v>
      </c>
      <c r="B87" s="124">
        <f>C563</f>
        <v>0</v>
      </c>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row>
    <row r="88" spans="1:42" x14ac:dyDescent="0.2">
      <c r="A88" s="22" t="s">
        <v>210</v>
      </c>
      <c r="B88" s="123">
        <f>SUM(B81:B87)</f>
        <v>-110592257.5</v>
      </c>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row>
    <row r="89" spans="1:42" x14ac:dyDescent="0.2">
      <c r="A89" s="18" t="s">
        <v>200</v>
      </c>
      <c r="B89" s="123"/>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row>
    <row r="90" spans="1:42" x14ac:dyDescent="0.2">
      <c r="A90" s="22" t="s">
        <v>298</v>
      </c>
      <c r="B90" s="123">
        <f>-B615-B616</f>
        <v>-2320890</v>
      </c>
      <c r="C90" s="123">
        <f t="shared" ref="C90:AP90" si="29">-C615-C616</f>
        <v>-1714.49</v>
      </c>
      <c r="D90" s="123">
        <f t="shared" si="29"/>
        <v>-1433.79</v>
      </c>
      <c r="E90" s="123">
        <f t="shared" si="29"/>
        <v>-1144.48</v>
      </c>
      <c r="F90" s="123">
        <f t="shared" si="29"/>
        <v>-846.32299999999998</v>
      </c>
      <c r="G90" s="123">
        <f t="shared" si="29"/>
        <v>-539.09400000000005</v>
      </c>
      <c r="H90" s="123">
        <f t="shared" si="29"/>
        <v>-222.559</v>
      </c>
      <c r="I90" s="123">
        <f t="shared" si="29"/>
        <v>103.523</v>
      </c>
      <c r="J90" s="123">
        <f t="shared" si="29"/>
        <v>439.399</v>
      </c>
      <c r="K90" s="123">
        <f t="shared" si="29"/>
        <v>785.32100000000003</v>
      </c>
      <c r="L90" s="123">
        <f t="shared" si="29"/>
        <v>1141.55</v>
      </c>
      <c r="M90" s="123">
        <f t="shared" si="29"/>
        <v>1508.35</v>
      </c>
      <c r="N90" s="123">
        <f t="shared" si="29"/>
        <v>1885.99</v>
      </c>
      <c r="O90" s="123">
        <f t="shared" si="29"/>
        <v>2274.7600000000002</v>
      </c>
      <c r="P90" s="123">
        <f t="shared" si="29"/>
        <v>2674.94</v>
      </c>
      <c r="Q90" s="123">
        <f t="shared" si="29"/>
        <v>-359214</v>
      </c>
      <c r="R90" s="123">
        <f t="shared" si="29"/>
        <v>3510.71</v>
      </c>
      <c r="S90" s="123">
        <f t="shared" si="29"/>
        <v>3946.91</v>
      </c>
      <c r="T90" s="123">
        <f t="shared" si="29"/>
        <v>2667730</v>
      </c>
      <c r="U90" s="123">
        <f t="shared" si="29"/>
        <v>0</v>
      </c>
      <c r="V90" s="123">
        <f t="shared" si="29"/>
        <v>0</v>
      </c>
      <c r="W90" s="123">
        <f t="shared" si="29"/>
        <v>0</v>
      </c>
      <c r="X90" s="123">
        <f t="shared" si="29"/>
        <v>0</v>
      </c>
      <c r="Y90" s="123">
        <f t="shared" si="29"/>
        <v>0</v>
      </c>
      <c r="Z90" s="123">
        <f t="shared" si="29"/>
        <v>0</v>
      </c>
      <c r="AA90" s="123">
        <f t="shared" si="29"/>
        <v>0</v>
      </c>
      <c r="AB90" s="123">
        <f t="shared" si="29"/>
        <v>0</v>
      </c>
      <c r="AC90" s="123">
        <f t="shared" si="29"/>
        <v>0</v>
      </c>
      <c r="AD90" s="123">
        <f t="shared" si="29"/>
        <v>0</v>
      </c>
      <c r="AE90" s="123">
        <f t="shared" si="29"/>
        <v>0</v>
      </c>
      <c r="AF90" s="123">
        <f t="shared" si="29"/>
        <v>0</v>
      </c>
      <c r="AG90" s="123">
        <f t="shared" si="29"/>
        <v>0</v>
      </c>
      <c r="AH90" s="123">
        <f t="shared" si="29"/>
        <v>0</v>
      </c>
      <c r="AI90" s="123">
        <f t="shared" si="29"/>
        <v>0</v>
      </c>
      <c r="AJ90" s="123">
        <f t="shared" si="29"/>
        <v>0</v>
      </c>
      <c r="AK90" s="123">
        <f t="shared" si="29"/>
        <v>0</v>
      </c>
      <c r="AL90" s="123">
        <f t="shared" si="29"/>
        <v>0</v>
      </c>
      <c r="AM90" s="123">
        <f t="shared" si="29"/>
        <v>0</v>
      </c>
      <c r="AN90" s="123">
        <f t="shared" si="29"/>
        <v>0</v>
      </c>
      <c r="AO90" s="123">
        <f t="shared" si="29"/>
        <v>0</v>
      </c>
      <c r="AP90" s="123">
        <f t="shared" si="29"/>
        <v>0</v>
      </c>
    </row>
    <row r="91" spans="1:42" x14ac:dyDescent="0.2">
      <c r="A91" s="22" t="s">
        <v>297</v>
      </c>
      <c r="B91" s="123">
        <f t="shared" ref="B91:AP91" si="30">-B621-B622</f>
        <v>-750000</v>
      </c>
      <c r="C91" s="123">
        <f t="shared" si="30"/>
        <v>-18749.999999999884</v>
      </c>
      <c r="D91" s="123">
        <f t="shared" si="30"/>
        <v>-19218.75</v>
      </c>
      <c r="E91" s="123">
        <f t="shared" si="30"/>
        <v>-19699.21875</v>
      </c>
      <c r="F91" s="123">
        <f t="shared" si="30"/>
        <v>-20191.699218749884</v>
      </c>
      <c r="G91" s="123">
        <f t="shared" si="30"/>
        <v>-20696.491699218634</v>
      </c>
      <c r="H91" s="123">
        <f t="shared" si="30"/>
        <v>-21213.903991699335</v>
      </c>
      <c r="I91" s="123">
        <f t="shared" si="30"/>
        <v>-21744.251591491629</v>
      </c>
      <c r="J91" s="123">
        <f t="shared" si="30"/>
        <v>-22287.857881278847</v>
      </c>
      <c r="K91" s="123">
        <f t="shared" si="30"/>
        <v>-22845.054328310885</v>
      </c>
      <c r="L91" s="123">
        <f t="shared" si="30"/>
        <v>-23416.180686518783</v>
      </c>
      <c r="M91" s="123">
        <f t="shared" si="30"/>
        <v>-24001.585203681607</v>
      </c>
      <c r="N91" s="123">
        <f t="shared" si="30"/>
        <v>-24601.624833773705</v>
      </c>
      <c r="O91" s="123">
        <f t="shared" si="30"/>
        <v>-25216.665454617934</v>
      </c>
      <c r="P91" s="123">
        <f t="shared" si="30"/>
        <v>-25847.082090983633</v>
      </c>
      <c r="Q91" s="123">
        <f t="shared" si="30"/>
        <v>-26493.259143258212</v>
      </c>
      <c r="R91" s="123">
        <f t="shared" si="30"/>
        <v>-27155.590621839277</v>
      </c>
      <c r="S91" s="123">
        <f t="shared" si="30"/>
        <v>-27834.480387385469</v>
      </c>
      <c r="T91" s="123">
        <f t="shared" si="30"/>
        <v>-28530.342397070257</v>
      </c>
      <c r="U91" s="123">
        <f t="shared" si="30"/>
        <v>-29243.600956996903</v>
      </c>
      <c r="V91" s="123">
        <f t="shared" si="30"/>
        <v>-29974.690980921732</v>
      </c>
      <c r="W91" s="123">
        <f t="shared" si="30"/>
        <v>-30724.058255444746</v>
      </c>
      <c r="X91" s="123">
        <f t="shared" si="30"/>
        <v>-31492.159711831016</v>
      </c>
      <c r="Y91" s="123">
        <f t="shared" si="30"/>
        <v>-32279.463704627007</v>
      </c>
      <c r="Z91" s="123">
        <f t="shared" si="30"/>
        <v>-33086.450297242263</v>
      </c>
      <c r="AA91" s="123">
        <f t="shared" si="30"/>
        <v>1356544.4621869416</v>
      </c>
      <c r="AB91" s="123">
        <f t="shared" si="30"/>
        <v>0</v>
      </c>
      <c r="AC91" s="123">
        <f t="shared" si="30"/>
        <v>0</v>
      </c>
      <c r="AD91" s="123">
        <f t="shared" si="30"/>
        <v>0</v>
      </c>
      <c r="AE91" s="123">
        <f t="shared" si="30"/>
        <v>0</v>
      </c>
      <c r="AF91" s="123">
        <f t="shared" si="30"/>
        <v>0</v>
      </c>
      <c r="AG91" s="123">
        <f t="shared" si="30"/>
        <v>0</v>
      </c>
      <c r="AH91" s="123">
        <f t="shared" si="30"/>
        <v>0</v>
      </c>
      <c r="AI91" s="123">
        <f t="shared" si="30"/>
        <v>0</v>
      </c>
      <c r="AJ91" s="123">
        <f t="shared" si="30"/>
        <v>0</v>
      </c>
      <c r="AK91" s="123">
        <f t="shared" si="30"/>
        <v>0</v>
      </c>
      <c r="AL91" s="123">
        <f t="shared" si="30"/>
        <v>0</v>
      </c>
      <c r="AM91" s="123">
        <f t="shared" si="30"/>
        <v>0</v>
      </c>
      <c r="AN91" s="123">
        <f t="shared" si="30"/>
        <v>0</v>
      </c>
      <c r="AO91" s="123">
        <f t="shared" si="30"/>
        <v>0</v>
      </c>
      <c r="AP91" s="123">
        <f t="shared" si="30"/>
        <v>0</v>
      </c>
    </row>
    <row r="92" spans="1:42" x14ac:dyDescent="0.2">
      <c r="A92" s="22" t="s">
        <v>309</v>
      </c>
      <c r="B92" s="123">
        <f>-B627-B628</f>
        <v>0</v>
      </c>
      <c r="C92" s="123">
        <f t="shared" ref="C92:AP92" si="31">-C627-C628</f>
        <v>0</v>
      </c>
      <c r="D92" s="123">
        <f t="shared" si="31"/>
        <v>0</v>
      </c>
      <c r="E92" s="123">
        <f t="shared" si="31"/>
        <v>0</v>
      </c>
      <c r="F92" s="123">
        <f t="shared" si="31"/>
        <v>0</v>
      </c>
      <c r="G92" s="123">
        <f t="shared" si="31"/>
        <v>0</v>
      </c>
      <c r="H92" s="123">
        <f t="shared" si="31"/>
        <v>0</v>
      </c>
      <c r="I92" s="123">
        <f t="shared" si="31"/>
        <v>0</v>
      </c>
      <c r="J92" s="123">
        <f t="shared" si="31"/>
        <v>0</v>
      </c>
      <c r="K92" s="123">
        <f t="shared" si="31"/>
        <v>0</v>
      </c>
      <c r="L92" s="123">
        <f t="shared" si="31"/>
        <v>0</v>
      </c>
      <c r="M92" s="123">
        <f t="shared" si="31"/>
        <v>0</v>
      </c>
      <c r="N92" s="123">
        <f t="shared" si="31"/>
        <v>0</v>
      </c>
      <c r="O92" s="123">
        <f t="shared" si="31"/>
        <v>0</v>
      </c>
      <c r="P92" s="123">
        <f t="shared" si="31"/>
        <v>0</v>
      </c>
      <c r="Q92" s="123">
        <f t="shared" si="31"/>
        <v>0</v>
      </c>
      <c r="R92" s="123">
        <f t="shared" si="31"/>
        <v>0</v>
      </c>
      <c r="S92" s="123">
        <f t="shared" si="31"/>
        <v>0</v>
      </c>
      <c r="T92" s="123">
        <f t="shared" si="31"/>
        <v>0</v>
      </c>
      <c r="U92" s="123">
        <f t="shared" si="31"/>
        <v>0</v>
      </c>
      <c r="V92" s="123">
        <f t="shared" si="31"/>
        <v>0</v>
      </c>
      <c r="W92" s="123">
        <f t="shared" si="31"/>
        <v>0</v>
      </c>
      <c r="X92" s="123">
        <f t="shared" si="31"/>
        <v>0</v>
      </c>
      <c r="Y92" s="123">
        <f t="shared" si="31"/>
        <v>0</v>
      </c>
      <c r="Z92" s="123">
        <f t="shared" si="31"/>
        <v>0</v>
      </c>
      <c r="AA92" s="123">
        <f t="shared" si="31"/>
        <v>0</v>
      </c>
      <c r="AB92" s="123">
        <f t="shared" si="31"/>
        <v>0</v>
      </c>
      <c r="AC92" s="123">
        <f t="shared" si="31"/>
        <v>0</v>
      </c>
      <c r="AD92" s="123">
        <f t="shared" si="31"/>
        <v>0</v>
      </c>
      <c r="AE92" s="123">
        <f t="shared" si="31"/>
        <v>0</v>
      </c>
      <c r="AF92" s="123">
        <f t="shared" si="31"/>
        <v>0</v>
      </c>
      <c r="AG92" s="123">
        <f t="shared" si="31"/>
        <v>0</v>
      </c>
      <c r="AH92" s="123">
        <f t="shared" si="31"/>
        <v>0</v>
      </c>
      <c r="AI92" s="123">
        <f t="shared" si="31"/>
        <v>0</v>
      </c>
      <c r="AJ92" s="123">
        <f t="shared" si="31"/>
        <v>0</v>
      </c>
      <c r="AK92" s="123">
        <f t="shared" si="31"/>
        <v>0</v>
      </c>
      <c r="AL92" s="123">
        <f t="shared" si="31"/>
        <v>0</v>
      </c>
      <c r="AM92" s="123">
        <f t="shared" si="31"/>
        <v>0</v>
      </c>
      <c r="AN92" s="123">
        <f t="shared" si="31"/>
        <v>0</v>
      </c>
      <c r="AO92" s="123">
        <f t="shared" si="31"/>
        <v>0</v>
      </c>
      <c r="AP92" s="123">
        <f t="shared" si="31"/>
        <v>0</v>
      </c>
    </row>
    <row r="93" spans="1:42" x14ac:dyDescent="0.2">
      <c r="A93" s="22" t="s">
        <v>310</v>
      </c>
      <c r="B93" s="123">
        <f>-B633-B634</f>
        <v>0</v>
      </c>
      <c r="C93" s="123">
        <f t="shared" ref="C93:AP93" si="32">-C633-C634</f>
        <v>-941982.54731584399</v>
      </c>
      <c r="D93" s="123">
        <f t="shared" si="32"/>
        <v>-941982.54731584399</v>
      </c>
      <c r="E93" s="123">
        <f t="shared" si="32"/>
        <v>-941982.54731584399</v>
      </c>
      <c r="F93" s="123">
        <f t="shared" si="32"/>
        <v>-941982.54731584399</v>
      </c>
      <c r="G93" s="123">
        <f t="shared" si="32"/>
        <v>-941982.54731584399</v>
      </c>
      <c r="H93" s="123">
        <f t="shared" si="32"/>
        <v>-941982.54731584399</v>
      </c>
      <c r="I93" s="123">
        <f t="shared" si="32"/>
        <v>-941982.54731584399</v>
      </c>
      <c r="J93" s="123">
        <f t="shared" si="32"/>
        <v>-941982.54731584399</v>
      </c>
      <c r="K93" s="123">
        <f t="shared" si="32"/>
        <v>-941982.54731584399</v>
      </c>
      <c r="L93" s="123">
        <f t="shared" si="32"/>
        <v>-941982.54731584399</v>
      </c>
      <c r="M93" s="123">
        <f t="shared" si="32"/>
        <v>-941982.54731584399</v>
      </c>
      <c r="N93" s="123">
        <f t="shared" si="32"/>
        <v>-941982.54731584399</v>
      </c>
      <c r="O93" s="123">
        <f t="shared" si="32"/>
        <v>-941982.54731584399</v>
      </c>
      <c r="P93" s="123">
        <f t="shared" si="32"/>
        <v>-941982.54731584399</v>
      </c>
      <c r="Q93" s="123">
        <f t="shared" si="32"/>
        <v>13187755.662421817</v>
      </c>
      <c r="R93" s="123">
        <f t="shared" si="32"/>
        <v>0</v>
      </c>
      <c r="S93" s="123">
        <f t="shared" si="32"/>
        <v>0</v>
      </c>
      <c r="T93" s="123">
        <f t="shared" si="32"/>
        <v>0</v>
      </c>
      <c r="U93" s="123">
        <f t="shared" si="32"/>
        <v>0</v>
      </c>
      <c r="V93" s="123">
        <f t="shared" si="32"/>
        <v>0</v>
      </c>
      <c r="W93" s="123">
        <f t="shared" si="32"/>
        <v>0</v>
      </c>
      <c r="X93" s="123">
        <f t="shared" si="32"/>
        <v>0</v>
      </c>
      <c r="Y93" s="123">
        <f t="shared" si="32"/>
        <v>0</v>
      </c>
      <c r="Z93" s="123">
        <f t="shared" si="32"/>
        <v>0</v>
      </c>
      <c r="AA93" s="123">
        <f t="shared" si="32"/>
        <v>0</v>
      </c>
      <c r="AB93" s="123">
        <f t="shared" si="32"/>
        <v>0</v>
      </c>
      <c r="AC93" s="123">
        <f t="shared" si="32"/>
        <v>0</v>
      </c>
      <c r="AD93" s="123">
        <f t="shared" si="32"/>
        <v>0</v>
      </c>
      <c r="AE93" s="123">
        <f t="shared" si="32"/>
        <v>0</v>
      </c>
      <c r="AF93" s="123">
        <f t="shared" si="32"/>
        <v>0</v>
      </c>
      <c r="AG93" s="123">
        <f t="shared" si="32"/>
        <v>0</v>
      </c>
      <c r="AH93" s="123">
        <f t="shared" si="32"/>
        <v>0</v>
      </c>
      <c r="AI93" s="123">
        <f t="shared" si="32"/>
        <v>0</v>
      </c>
      <c r="AJ93" s="123">
        <f t="shared" si="32"/>
        <v>0</v>
      </c>
      <c r="AK93" s="123">
        <f t="shared" si="32"/>
        <v>0</v>
      </c>
      <c r="AL93" s="123">
        <f t="shared" si="32"/>
        <v>0</v>
      </c>
      <c r="AM93" s="123">
        <f t="shared" si="32"/>
        <v>0</v>
      </c>
      <c r="AN93" s="123">
        <f t="shared" si="32"/>
        <v>0</v>
      </c>
      <c r="AO93" s="123">
        <f t="shared" si="32"/>
        <v>0</v>
      </c>
      <c r="AP93" s="123">
        <f t="shared" si="32"/>
        <v>0</v>
      </c>
    </row>
    <row r="94" spans="1:42" x14ac:dyDescent="0.2">
      <c r="A94" s="22" t="s">
        <v>311</v>
      </c>
      <c r="B94" s="123">
        <f>-B665-B666</f>
        <v>0</v>
      </c>
      <c r="C94" s="123">
        <f t="shared" ref="C94:AP94" si="33">-C665-C666</f>
        <v>0</v>
      </c>
      <c r="D94" s="123">
        <f t="shared" si="33"/>
        <v>0</v>
      </c>
      <c r="E94" s="123">
        <f t="shared" si="33"/>
        <v>0</v>
      </c>
      <c r="F94" s="123">
        <f t="shared" si="33"/>
        <v>0</v>
      </c>
      <c r="G94" s="123">
        <f t="shared" si="33"/>
        <v>0</v>
      </c>
      <c r="H94" s="123">
        <f t="shared" si="33"/>
        <v>0</v>
      </c>
      <c r="I94" s="123">
        <f t="shared" si="33"/>
        <v>0</v>
      </c>
      <c r="J94" s="123">
        <f t="shared" si="33"/>
        <v>0</v>
      </c>
      <c r="K94" s="123">
        <f t="shared" si="33"/>
        <v>0</v>
      </c>
      <c r="L94" s="123">
        <f t="shared" si="33"/>
        <v>0</v>
      </c>
      <c r="M94" s="123">
        <f t="shared" si="33"/>
        <v>0</v>
      </c>
      <c r="N94" s="123">
        <f t="shared" si="33"/>
        <v>0</v>
      </c>
      <c r="O94" s="123">
        <f t="shared" si="33"/>
        <v>0</v>
      </c>
      <c r="P94" s="123">
        <f t="shared" si="33"/>
        <v>0</v>
      </c>
      <c r="Q94" s="123">
        <f t="shared" si="33"/>
        <v>0</v>
      </c>
      <c r="R94" s="123">
        <f t="shared" si="33"/>
        <v>0</v>
      </c>
      <c r="S94" s="123">
        <f t="shared" si="33"/>
        <v>0</v>
      </c>
      <c r="T94" s="123">
        <f t="shared" si="33"/>
        <v>0</v>
      </c>
      <c r="U94" s="123">
        <f t="shared" si="33"/>
        <v>0</v>
      </c>
      <c r="V94" s="123">
        <f t="shared" si="33"/>
        <v>0</v>
      </c>
      <c r="W94" s="123">
        <f t="shared" si="33"/>
        <v>0</v>
      </c>
      <c r="X94" s="123">
        <f t="shared" si="33"/>
        <v>0</v>
      </c>
      <c r="Y94" s="123">
        <f t="shared" si="33"/>
        <v>0</v>
      </c>
      <c r="Z94" s="123">
        <f t="shared" si="33"/>
        <v>0</v>
      </c>
      <c r="AA94" s="123">
        <f t="shared" si="33"/>
        <v>0</v>
      </c>
      <c r="AB94" s="123">
        <f t="shared" si="33"/>
        <v>0</v>
      </c>
      <c r="AC94" s="123">
        <f t="shared" si="33"/>
        <v>0</v>
      </c>
      <c r="AD94" s="123">
        <f t="shared" si="33"/>
        <v>0</v>
      </c>
      <c r="AE94" s="123">
        <f t="shared" si="33"/>
        <v>0</v>
      </c>
      <c r="AF94" s="123">
        <f t="shared" si="33"/>
        <v>0</v>
      </c>
      <c r="AG94" s="123">
        <f t="shared" si="33"/>
        <v>0</v>
      </c>
      <c r="AH94" s="123">
        <f t="shared" si="33"/>
        <v>0</v>
      </c>
      <c r="AI94" s="123">
        <f t="shared" si="33"/>
        <v>0</v>
      </c>
      <c r="AJ94" s="123">
        <f t="shared" si="33"/>
        <v>0</v>
      </c>
      <c r="AK94" s="123">
        <f t="shared" si="33"/>
        <v>0</v>
      </c>
      <c r="AL94" s="123">
        <f t="shared" si="33"/>
        <v>0</v>
      </c>
      <c r="AM94" s="123">
        <f t="shared" si="33"/>
        <v>0</v>
      </c>
      <c r="AN94" s="123">
        <f t="shared" si="33"/>
        <v>0</v>
      </c>
      <c r="AO94" s="123">
        <f t="shared" si="33"/>
        <v>0</v>
      </c>
      <c r="AP94" s="123">
        <f t="shared" si="33"/>
        <v>0</v>
      </c>
    </row>
    <row r="95" spans="1:42" x14ac:dyDescent="0.2">
      <c r="A95" s="22" t="s">
        <v>312</v>
      </c>
      <c r="B95" s="124">
        <f>-B697-B698</f>
        <v>0</v>
      </c>
      <c r="C95" s="124">
        <f t="shared" ref="C95:AP95" si="34">-C697-C698</f>
        <v>0</v>
      </c>
      <c r="D95" s="124">
        <f t="shared" si="34"/>
        <v>0</v>
      </c>
      <c r="E95" s="124">
        <f t="shared" si="34"/>
        <v>0</v>
      </c>
      <c r="F95" s="124">
        <f t="shared" si="34"/>
        <v>0</v>
      </c>
      <c r="G95" s="124">
        <f t="shared" si="34"/>
        <v>0</v>
      </c>
      <c r="H95" s="124">
        <f t="shared" si="34"/>
        <v>0</v>
      </c>
      <c r="I95" s="124">
        <f t="shared" si="34"/>
        <v>0</v>
      </c>
      <c r="J95" s="124">
        <f t="shared" si="34"/>
        <v>0</v>
      </c>
      <c r="K95" s="124">
        <f t="shared" si="34"/>
        <v>0</v>
      </c>
      <c r="L95" s="124">
        <f t="shared" si="34"/>
        <v>0</v>
      </c>
      <c r="M95" s="124">
        <f t="shared" si="34"/>
        <v>0</v>
      </c>
      <c r="N95" s="124">
        <f t="shared" si="34"/>
        <v>0</v>
      </c>
      <c r="O95" s="124">
        <f t="shared" si="34"/>
        <v>0</v>
      </c>
      <c r="P95" s="124">
        <f t="shared" si="34"/>
        <v>0</v>
      </c>
      <c r="Q95" s="124">
        <f t="shared" si="34"/>
        <v>0</v>
      </c>
      <c r="R95" s="124">
        <f t="shared" si="34"/>
        <v>0</v>
      </c>
      <c r="S95" s="124">
        <f t="shared" si="34"/>
        <v>0</v>
      </c>
      <c r="T95" s="124">
        <f t="shared" si="34"/>
        <v>0</v>
      </c>
      <c r="U95" s="124">
        <f t="shared" si="34"/>
        <v>0</v>
      </c>
      <c r="V95" s="124">
        <f t="shared" si="34"/>
        <v>0</v>
      </c>
      <c r="W95" s="124">
        <f t="shared" si="34"/>
        <v>0</v>
      </c>
      <c r="X95" s="124">
        <f t="shared" si="34"/>
        <v>0</v>
      </c>
      <c r="Y95" s="124">
        <f t="shared" si="34"/>
        <v>0</v>
      </c>
      <c r="Z95" s="124">
        <f t="shared" si="34"/>
        <v>0</v>
      </c>
      <c r="AA95" s="124">
        <f t="shared" si="34"/>
        <v>0</v>
      </c>
      <c r="AB95" s="124">
        <f t="shared" si="34"/>
        <v>0</v>
      </c>
      <c r="AC95" s="124">
        <f t="shared" si="34"/>
        <v>0</v>
      </c>
      <c r="AD95" s="124">
        <f t="shared" si="34"/>
        <v>0</v>
      </c>
      <c r="AE95" s="124">
        <f t="shared" si="34"/>
        <v>0</v>
      </c>
      <c r="AF95" s="124">
        <f t="shared" si="34"/>
        <v>0</v>
      </c>
      <c r="AG95" s="124">
        <f t="shared" si="34"/>
        <v>0</v>
      </c>
      <c r="AH95" s="124">
        <f t="shared" si="34"/>
        <v>0</v>
      </c>
      <c r="AI95" s="124">
        <f t="shared" si="34"/>
        <v>0</v>
      </c>
      <c r="AJ95" s="124">
        <f t="shared" si="34"/>
        <v>0</v>
      </c>
      <c r="AK95" s="124">
        <f t="shared" si="34"/>
        <v>0</v>
      </c>
      <c r="AL95" s="124">
        <f t="shared" si="34"/>
        <v>0</v>
      </c>
      <c r="AM95" s="124">
        <f t="shared" si="34"/>
        <v>0</v>
      </c>
      <c r="AN95" s="124">
        <f t="shared" si="34"/>
        <v>0</v>
      </c>
      <c r="AO95" s="124">
        <f t="shared" si="34"/>
        <v>0</v>
      </c>
      <c r="AP95" s="124">
        <f t="shared" si="34"/>
        <v>0</v>
      </c>
    </row>
    <row r="96" spans="1:42" x14ac:dyDescent="0.2">
      <c r="A96" s="22" t="s">
        <v>13</v>
      </c>
      <c r="B96" s="123">
        <f>SUM(B90:B95)</f>
        <v>-3070890</v>
      </c>
      <c r="C96" s="123">
        <f t="shared" ref="C96:AP96" si="35">SUM(C90:C95)</f>
        <v>-962447.03731584386</v>
      </c>
      <c r="D96" s="123">
        <f t="shared" si="35"/>
        <v>-962635.08731584402</v>
      </c>
      <c r="E96" s="123">
        <f t="shared" si="35"/>
        <v>-962826.24606584397</v>
      </c>
      <c r="F96" s="123">
        <f t="shared" si="35"/>
        <v>-963020.56953459384</v>
      </c>
      <c r="G96" s="123">
        <f t="shared" si="35"/>
        <v>-963218.13301506266</v>
      </c>
      <c r="H96" s="123">
        <f t="shared" si="35"/>
        <v>-963419.01030754333</v>
      </c>
      <c r="I96" s="123">
        <f t="shared" si="35"/>
        <v>-963623.27590733557</v>
      </c>
      <c r="J96" s="123">
        <f t="shared" si="35"/>
        <v>-963831.00619712286</v>
      </c>
      <c r="K96" s="123">
        <f t="shared" si="35"/>
        <v>-964042.28064415487</v>
      </c>
      <c r="L96" s="123">
        <f t="shared" si="35"/>
        <v>-964257.17800236272</v>
      </c>
      <c r="M96" s="123">
        <f t="shared" si="35"/>
        <v>-964475.78251952562</v>
      </c>
      <c r="N96" s="123">
        <f t="shared" si="35"/>
        <v>-964698.1821496177</v>
      </c>
      <c r="O96" s="123">
        <f t="shared" si="35"/>
        <v>-964924.45277046191</v>
      </c>
      <c r="P96" s="123">
        <f t="shared" si="35"/>
        <v>-965154.68940682767</v>
      </c>
      <c r="Q96" s="123">
        <f t="shared" si="35"/>
        <v>12802048.403278559</v>
      </c>
      <c r="R96" s="123">
        <f t="shared" si="35"/>
        <v>-23644.880621839278</v>
      </c>
      <c r="S96" s="123">
        <f t="shared" si="35"/>
        <v>-23887.570387385469</v>
      </c>
      <c r="T96" s="123">
        <f t="shared" si="35"/>
        <v>2639199.6576029295</v>
      </c>
      <c r="U96" s="123">
        <f t="shared" si="35"/>
        <v>-29243.600956996903</v>
      </c>
      <c r="V96" s="123">
        <f t="shared" si="35"/>
        <v>-29974.690980921732</v>
      </c>
      <c r="W96" s="123">
        <f t="shared" si="35"/>
        <v>-30724.058255444746</v>
      </c>
      <c r="X96" s="123">
        <f t="shared" si="35"/>
        <v>-31492.159711831016</v>
      </c>
      <c r="Y96" s="123">
        <f t="shared" si="35"/>
        <v>-32279.463704627007</v>
      </c>
      <c r="Z96" s="123">
        <f t="shared" si="35"/>
        <v>-33086.450297242263</v>
      </c>
      <c r="AA96" s="123">
        <f t="shared" si="35"/>
        <v>1356544.4621869416</v>
      </c>
      <c r="AB96" s="123">
        <f t="shared" si="35"/>
        <v>0</v>
      </c>
      <c r="AC96" s="123">
        <f t="shared" si="35"/>
        <v>0</v>
      </c>
      <c r="AD96" s="123">
        <f t="shared" si="35"/>
        <v>0</v>
      </c>
      <c r="AE96" s="123">
        <f t="shared" si="35"/>
        <v>0</v>
      </c>
      <c r="AF96" s="123">
        <f t="shared" si="35"/>
        <v>0</v>
      </c>
      <c r="AG96" s="123">
        <f t="shared" si="35"/>
        <v>0</v>
      </c>
      <c r="AH96" s="123">
        <f t="shared" si="35"/>
        <v>0</v>
      </c>
      <c r="AI96" s="123">
        <f t="shared" si="35"/>
        <v>0</v>
      </c>
      <c r="AJ96" s="123">
        <f t="shared" si="35"/>
        <v>0</v>
      </c>
      <c r="AK96" s="123">
        <f t="shared" si="35"/>
        <v>0</v>
      </c>
      <c r="AL96" s="123">
        <f t="shared" si="35"/>
        <v>0</v>
      </c>
      <c r="AM96" s="123">
        <f t="shared" si="35"/>
        <v>0</v>
      </c>
      <c r="AN96" s="123">
        <f t="shared" si="35"/>
        <v>0</v>
      </c>
      <c r="AO96" s="123">
        <f t="shared" si="35"/>
        <v>0</v>
      </c>
      <c r="AP96" s="123">
        <f t="shared" si="35"/>
        <v>0</v>
      </c>
    </row>
    <row r="97" spans="1:42" x14ac:dyDescent="0.2">
      <c r="A97" s="18" t="s">
        <v>256</v>
      </c>
    </row>
    <row r="98" spans="1:42" x14ac:dyDescent="0.2">
      <c r="A98" s="22" t="s">
        <v>313</v>
      </c>
      <c r="B98" s="123">
        <f>B634</f>
        <v>0</v>
      </c>
      <c r="C98" s="123">
        <f t="shared" ref="C98:AP98" si="36">C634</f>
        <v>0</v>
      </c>
      <c r="D98" s="123">
        <f t="shared" si="36"/>
        <v>0</v>
      </c>
      <c r="E98" s="123">
        <f t="shared" si="36"/>
        <v>0</v>
      </c>
      <c r="F98" s="123">
        <f t="shared" si="36"/>
        <v>0</v>
      </c>
      <c r="G98" s="123">
        <f t="shared" si="36"/>
        <v>0</v>
      </c>
      <c r="H98" s="123">
        <f t="shared" si="36"/>
        <v>0</v>
      </c>
      <c r="I98" s="123">
        <f t="shared" si="36"/>
        <v>0</v>
      </c>
      <c r="J98" s="123">
        <f t="shared" si="36"/>
        <v>0</v>
      </c>
      <c r="K98" s="123">
        <f t="shared" si="36"/>
        <v>0</v>
      </c>
      <c r="L98" s="123">
        <f t="shared" si="36"/>
        <v>0</v>
      </c>
      <c r="M98" s="123">
        <f t="shared" si="36"/>
        <v>0</v>
      </c>
      <c r="N98" s="123">
        <f t="shared" si="36"/>
        <v>0</v>
      </c>
      <c r="O98" s="123">
        <f t="shared" si="36"/>
        <v>0</v>
      </c>
      <c r="P98" s="123">
        <f t="shared" si="36"/>
        <v>0</v>
      </c>
      <c r="Q98" s="123">
        <f t="shared" si="36"/>
        <v>-14129738.20973766</v>
      </c>
      <c r="R98" s="123">
        <f t="shared" si="36"/>
        <v>0</v>
      </c>
      <c r="S98" s="123">
        <f t="shared" si="36"/>
        <v>0</v>
      </c>
      <c r="T98" s="123">
        <f t="shared" si="36"/>
        <v>0</v>
      </c>
      <c r="U98" s="123">
        <f t="shared" si="36"/>
        <v>0</v>
      </c>
      <c r="V98" s="123">
        <f t="shared" si="36"/>
        <v>0</v>
      </c>
      <c r="W98" s="123">
        <f t="shared" si="36"/>
        <v>0</v>
      </c>
      <c r="X98" s="123">
        <f t="shared" si="36"/>
        <v>0</v>
      </c>
      <c r="Y98" s="123">
        <f t="shared" si="36"/>
        <v>0</v>
      </c>
      <c r="Z98" s="123">
        <f t="shared" si="36"/>
        <v>0</v>
      </c>
      <c r="AA98" s="123">
        <f t="shared" si="36"/>
        <v>0</v>
      </c>
      <c r="AB98" s="123">
        <f t="shared" si="36"/>
        <v>0</v>
      </c>
      <c r="AC98" s="123">
        <f t="shared" si="36"/>
        <v>0</v>
      </c>
      <c r="AD98" s="123">
        <f t="shared" si="36"/>
        <v>0</v>
      </c>
      <c r="AE98" s="123">
        <f t="shared" si="36"/>
        <v>0</v>
      </c>
      <c r="AF98" s="123">
        <f t="shared" si="36"/>
        <v>0</v>
      </c>
      <c r="AG98" s="123">
        <f t="shared" si="36"/>
        <v>0</v>
      </c>
      <c r="AH98" s="123">
        <f t="shared" si="36"/>
        <v>0</v>
      </c>
      <c r="AI98" s="123">
        <f t="shared" si="36"/>
        <v>0</v>
      </c>
      <c r="AJ98" s="123">
        <f t="shared" si="36"/>
        <v>0</v>
      </c>
      <c r="AK98" s="123">
        <f t="shared" si="36"/>
        <v>0</v>
      </c>
      <c r="AL98" s="123">
        <f t="shared" si="36"/>
        <v>0</v>
      </c>
      <c r="AM98" s="123">
        <f t="shared" si="36"/>
        <v>0</v>
      </c>
      <c r="AN98" s="123">
        <f t="shared" si="36"/>
        <v>0</v>
      </c>
      <c r="AO98" s="123">
        <f t="shared" si="36"/>
        <v>0</v>
      </c>
      <c r="AP98" s="123">
        <f t="shared" si="36"/>
        <v>0</v>
      </c>
    </row>
    <row r="99" spans="1:42" x14ac:dyDescent="0.2">
      <c r="A99" s="22" t="s">
        <v>314</v>
      </c>
      <c r="B99" s="123">
        <f>B666</f>
        <v>0</v>
      </c>
      <c r="C99" s="123">
        <f t="shared" ref="C99:AP99" si="37">C666</f>
        <v>0</v>
      </c>
      <c r="D99" s="123">
        <f t="shared" si="37"/>
        <v>0</v>
      </c>
      <c r="E99" s="123">
        <f t="shared" si="37"/>
        <v>0</v>
      </c>
      <c r="F99" s="123">
        <f t="shared" si="37"/>
        <v>0</v>
      </c>
      <c r="G99" s="123">
        <f t="shared" si="37"/>
        <v>0</v>
      </c>
      <c r="H99" s="123">
        <f t="shared" si="37"/>
        <v>0</v>
      </c>
      <c r="I99" s="123">
        <f t="shared" si="37"/>
        <v>0</v>
      </c>
      <c r="J99" s="123">
        <f t="shared" si="37"/>
        <v>0</v>
      </c>
      <c r="K99" s="123">
        <f t="shared" si="37"/>
        <v>0</v>
      </c>
      <c r="L99" s="123">
        <f t="shared" si="37"/>
        <v>0</v>
      </c>
      <c r="M99" s="123">
        <f t="shared" si="37"/>
        <v>0</v>
      </c>
      <c r="N99" s="123">
        <f t="shared" si="37"/>
        <v>0</v>
      </c>
      <c r="O99" s="123">
        <f t="shared" si="37"/>
        <v>0</v>
      </c>
      <c r="P99" s="123">
        <f t="shared" si="37"/>
        <v>0</v>
      </c>
      <c r="Q99" s="123">
        <f t="shared" si="37"/>
        <v>0</v>
      </c>
      <c r="R99" s="123">
        <f t="shared" si="37"/>
        <v>0</v>
      </c>
      <c r="S99" s="123">
        <f t="shared" si="37"/>
        <v>0</v>
      </c>
      <c r="T99" s="123">
        <f t="shared" si="37"/>
        <v>0</v>
      </c>
      <c r="U99" s="123">
        <f t="shared" si="37"/>
        <v>0</v>
      </c>
      <c r="V99" s="123">
        <f t="shared" si="37"/>
        <v>0</v>
      </c>
      <c r="W99" s="123">
        <f t="shared" si="37"/>
        <v>0</v>
      </c>
      <c r="X99" s="123">
        <f t="shared" si="37"/>
        <v>0</v>
      </c>
      <c r="Y99" s="123">
        <f t="shared" si="37"/>
        <v>0</v>
      </c>
      <c r="Z99" s="123">
        <f t="shared" si="37"/>
        <v>0</v>
      </c>
      <c r="AA99" s="123">
        <f t="shared" si="37"/>
        <v>0</v>
      </c>
      <c r="AB99" s="123">
        <f t="shared" si="37"/>
        <v>0</v>
      </c>
      <c r="AC99" s="123">
        <f t="shared" si="37"/>
        <v>0</v>
      </c>
      <c r="AD99" s="123">
        <f t="shared" si="37"/>
        <v>0</v>
      </c>
      <c r="AE99" s="123">
        <f t="shared" si="37"/>
        <v>0</v>
      </c>
      <c r="AF99" s="123">
        <f t="shared" si="37"/>
        <v>0</v>
      </c>
      <c r="AG99" s="123">
        <f t="shared" si="37"/>
        <v>0</v>
      </c>
      <c r="AH99" s="123">
        <f t="shared" si="37"/>
        <v>0</v>
      </c>
      <c r="AI99" s="123">
        <f t="shared" si="37"/>
        <v>0</v>
      </c>
      <c r="AJ99" s="123">
        <f t="shared" si="37"/>
        <v>0</v>
      </c>
      <c r="AK99" s="123">
        <f t="shared" si="37"/>
        <v>0</v>
      </c>
      <c r="AL99" s="123">
        <f t="shared" si="37"/>
        <v>0</v>
      </c>
      <c r="AM99" s="123">
        <f t="shared" si="37"/>
        <v>0</v>
      </c>
      <c r="AN99" s="123">
        <f t="shared" si="37"/>
        <v>0</v>
      </c>
      <c r="AO99" s="123">
        <f t="shared" si="37"/>
        <v>0</v>
      </c>
      <c r="AP99" s="123">
        <f t="shared" si="37"/>
        <v>0</v>
      </c>
    </row>
    <row r="100" spans="1:42" x14ac:dyDescent="0.2">
      <c r="A100" s="22" t="s">
        <v>315</v>
      </c>
      <c r="B100" s="124">
        <f>B698</f>
        <v>0</v>
      </c>
      <c r="C100" s="124">
        <f t="shared" ref="C100:AP100" si="38">C698</f>
        <v>0</v>
      </c>
      <c r="D100" s="124">
        <f t="shared" si="38"/>
        <v>0</v>
      </c>
      <c r="E100" s="124">
        <f t="shared" si="38"/>
        <v>0</v>
      </c>
      <c r="F100" s="124">
        <f t="shared" si="38"/>
        <v>0</v>
      </c>
      <c r="G100" s="124">
        <f t="shared" si="38"/>
        <v>0</v>
      </c>
      <c r="H100" s="124">
        <f t="shared" si="38"/>
        <v>0</v>
      </c>
      <c r="I100" s="124">
        <f t="shared" si="38"/>
        <v>0</v>
      </c>
      <c r="J100" s="124">
        <f t="shared" si="38"/>
        <v>0</v>
      </c>
      <c r="K100" s="124">
        <f t="shared" si="38"/>
        <v>0</v>
      </c>
      <c r="L100" s="124">
        <f t="shared" si="38"/>
        <v>0</v>
      </c>
      <c r="M100" s="124">
        <f t="shared" si="38"/>
        <v>0</v>
      </c>
      <c r="N100" s="124">
        <f t="shared" si="38"/>
        <v>0</v>
      </c>
      <c r="O100" s="124">
        <f t="shared" si="38"/>
        <v>0</v>
      </c>
      <c r="P100" s="124">
        <f t="shared" si="38"/>
        <v>0</v>
      </c>
      <c r="Q100" s="124">
        <f t="shared" si="38"/>
        <v>0</v>
      </c>
      <c r="R100" s="124">
        <f t="shared" si="38"/>
        <v>0</v>
      </c>
      <c r="S100" s="124">
        <f t="shared" si="38"/>
        <v>0</v>
      </c>
      <c r="T100" s="124">
        <f t="shared" si="38"/>
        <v>0</v>
      </c>
      <c r="U100" s="124">
        <f t="shared" si="38"/>
        <v>0</v>
      </c>
      <c r="V100" s="124">
        <f t="shared" si="38"/>
        <v>0</v>
      </c>
      <c r="W100" s="124">
        <f t="shared" si="38"/>
        <v>0</v>
      </c>
      <c r="X100" s="124">
        <f t="shared" si="38"/>
        <v>0</v>
      </c>
      <c r="Y100" s="124">
        <f t="shared" si="38"/>
        <v>0</v>
      </c>
      <c r="Z100" s="124">
        <f t="shared" si="38"/>
        <v>0</v>
      </c>
      <c r="AA100" s="124">
        <f t="shared" si="38"/>
        <v>0</v>
      </c>
      <c r="AB100" s="124">
        <f t="shared" si="38"/>
        <v>0</v>
      </c>
      <c r="AC100" s="124">
        <f t="shared" si="38"/>
        <v>0</v>
      </c>
      <c r="AD100" s="124">
        <f t="shared" si="38"/>
        <v>0</v>
      </c>
      <c r="AE100" s="124">
        <f t="shared" si="38"/>
        <v>0</v>
      </c>
      <c r="AF100" s="124">
        <f t="shared" si="38"/>
        <v>0</v>
      </c>
      <c r="AG100" s="124">
        <f t="shared" si="38"/>
        <v>0</v>
      </c>
      <c r="AH100" s="124">
        <f t="shared" si="38"/>
        <v>0</v>
      </c>
      <c r="AI100" s="124">
        <f t="shared" si="38"/>
        <v>0</v>
      </c>
      <c r="AJ100" s="124">
        <f t="shared" si="38"/>
        <v>0</v>
      </c>
      <c r="AK100" s="124">
        <f t="shared" si="38"/>
        <v>0</v>
      </c>
      <c r="AL100" s="124">
        <f t="shared" si="38"/>
        <v>0</v>
      </c>
      <c r="AM100" s="124">
        <f t="shared" si="38"/>
        <v>0</v>
      </c>
      <c r="AN100" s="124">
        <f t="shared" si="38"/>
        <v>0</v>
      </c>
      <c r="AO100" s="124">
        <f t="shared" si="38"/>
        <v>0</v>
      </c>
      <c r="AP100" s="124">
        <f t="shared" si="38"/>
        <v>0</v>
      </c>
    </row>
    <row r="101" spans="1:42" x14ac:dyDescent="0.2">
      <c r="A101" s="22" t="s">
        <v>13</v>
      </c>
      <c r="B101" s="129">
        <f>SUM(B98:B100)</f>
        <v>0</v>
      </c>
      <c r="C101" s="129">
        <f t="shared" ref="C101:AP101" si="39">SUM(C98:C100)</f>
        <v>0</v>
      </c>
      <c r="D101" s="129">
        <f t="shared" si="39"/>
        <v>0</v>
      </c>
      <c r="E101" s="129">
        <f t="shared" si="39"/>
        <v>0</v>
      </c>
      <c r="F101" s="129">
        <f t="shared" si="39"/>
        <v>0</v>
      </c>
      <c r="G101" s="129">
        <f t="shared" si="39"/>
        <v>0</v>
      </c>
      <c r="H101" s="129">
        <f t="shared" si="39"/>
        <v>0</v>
      </c>
      <c r="I101" s="129">
        <f t="shared" si="39"/>
        <v>0</v>
      </c>
      <c r="J101" s="129">
        <f t="shared" si="39"/>
        <v>0</v>
      </c>
      <c r="K101" s="129">
        <f t="shared" si="39"/>
        <v>0</v>
      </c>
      <c r="L101" s="129">
        <f t="shared" si="39"/>
        <v>0</v>
      </c>
      <c r="M101" s="129">
        <f t="shared" si="39"/>
        <v>0</v>
      </c>
      <c r="N101" s="129">
        <f t="shared" si="39"/>
        <v>0</v>
      </c>
      <c r="O101" s="129">
        <f t="shared" si="39"/>
        <v>0</v>
      </c>
      <c r="P101" s="129">
        <f t="shared" si="39"/>
        <v>0</v>
      </c>
      <c r="Q101" s="129">
        <f t="shared" si="39"/>
        <v>-14129738.20973766</v>
      </c>
      <c r="R101" s="129">
        <f t="shared" si="39"/>
        <v>0</v>
      </c>
      <c r="S101" s="129">
        <f t="shared" si="39"/>
        <v>0</v>
      </c>
      <c r="T101" s="129">
        <f t="shared" si="39"/>
        <v>0</v>
      </c>
      <c r="U101" s="129">
        <f t="shared" si="39"/>
        <v>0</v>
      </c>
      <c r="V101" s="129">
        <f t="shared" si="39"/>
        <v>0</v>
      </c>
      <c r="W101" s="129">
        <f t="shared" si="39"/>
        <v>0</v>
      </c>
      <c r="X101" s="129">
        <f t="shared" si="39"/>
        <v>0</v>
      </c>
      <c r="Y101" s="129">
        <f t="shared" si="39"/>
        <v>0</v>
      </c>
      <c r="Z101" s="129">
        <f t="shared" si="39"/>
        <v>0</v>
      </c>
      <c r="AA101" s="129">
        <f t="shared" si="39"/>
        <v>0</v>
      </c>
      <c r="AB101" s="129">
        <f t="shared" si="39"/>
        <v>0</v>
      </c>
      <c r="AC101" s="129">
        <f t="shared" si="39"/>
        <v>0</v>
      </c>
      <c r="AD101" s="129">
        <f t="shared" si="39"/>
        <v>0</v>
      </c>
      <c r="AE101" s="129">
        <f t="shared" si="39"/>
        <v>0</v>
      </c>
      <c r="AF101" s="129">
        <f t="shared" si="39"/>
        <v>0</v>
      </c>
      <c r="AG101" s="129">
        <f t="shared" si="39"/>
        <v>0</v>
      </c>
      <c r="AH101" s="129">
        <f t="shared" si="39"/>
        <v>0</v>
      </c>
      <c r="AI101" s="129">
        <f t="shared" si="39"/>
        <v>0</v>
      </c>
      <c r="AJ101" s="129">
        <f t="shared" si="39"/>
        <v>0</v>
      </c>
      <c r="AK101" s="129">
        <f t="shared" si="39"/>
        <v>0</v>
      </c>
      <c r="AL101" s="129">
        <f t="shared" si="39"/>
        <v>0</v>
      </c>
      <c r="AM101" s="129">
        <f t="shared" si="39"/>
        <v>0</v>
      </c>
      <c r="AN101" s="129">
        <f t="shared" si="39"/>
        <v>0</v>
      </c>
      <c r="AO101" s="129">
        <f t="shared" si="39"/>
        <v>0</v>
      </c>
      <c r="AP101" s="129">
        <f t="shared" si="39"/>
        <v>0</v>
      </c>
    </row>
    <row r="102" spans="1:42" x14ac:dyDescent="0.2">
      <c r="A102" s="209" t="s">
        <v>13</v>
      </c>
      <c r="B102" s="141">
        <f>B88+B96+B101</f>
        <v>-113663147.5</v>
      </c>
      <c r="C102" s="141">
        <f>C96+C101</f>
        <v>-962447.03731584386</v>
      </c>
      <c r="D102" s="141">
        <f t="shared" ref="D102:AP102" si="40">D96+D101</f>
        <v>-962635.08731584402</v>
      </c>
      <c r="E102" s="141">
        <f t="shared" si="40"/>
        <v>-962826.24606584397</v>
      </c>
      <c r="F102" s="141">
        <f t="shared" si="40"/>
        <v>-963020.56953459384</v>
      </c>
      <c r="G102" s="141">
        <f t="shared" si="40"/>
        <v>-963218.13301506266</v>
      </c>
      <c r="H102" s="141">
        <f t="shared" si="40"/>
        <v>-963419.01030754333</v>
      </c>
      <c r="I102" s="141">
        <f t="shared" si="40"/>
        <v>-963623.27590733557</v>
      </c>
      <c r="J102" s="141">
        <f t="shared" si="40"/>
        <v>-963831.00619712286</v>
      </c>
      <c r="K102" s="141">
        <f t="shared" si="40"/>
        <v>-964042.28064415487</v>
      </c>
      <c r="L102" s="141">
        <f t="shared" si="40"/>
        <v>-964257.17800236272</v>
      </c>
      <c r="M102" s="141">
        <f t="shared" si="40"/>
        <v>-964475.78251952562</v>
      </c>
      <c r="N102" s="141">
        <f t="shared" si="40"/>
        <v>-964698.1821496177</v>
      </c>
      <c r="O102" s="141">
        <f t="shared" si="40"/>
        <v>-964924.45277046191</v>
      </c>
      <c r="P102" s="141">
        <f t="shared" si="40"/>
        <v>-965154.68940682767</v>
      </c>
      <c r="Q102" s="141">
        <f t="shared" si="40"/>
        <v>-1327689.8064591009</v>
      </c>
      <c r="R102" s="141">
        <f t="shared" si="40"/>
        <v>-23644.880621839278</v>
      </c>
      <c r="S102" s="141">
        <f t="shared" si="40"/>
        <v>-23887.570387385469</v>
      </c>
      <c r="T102" s="141">
        <f t="shared" si="40"/>
        <v>2639199.6576029295</v>
      </c>
      <c r="U102" s="141">
        <f t="shared" si="40"/>
        <v>-29243.600956996903</v>
      </c>
      <c r="V102" s="141">
        <f t="shared" si="40"/>
        <v>-29974.690980921732</v>
      </c>
      <c r="W102" s="141">
        <f t="shared" si="40"/>
        <v>-30724.058255444746</v>
      </c>
      <c r="X102" s="141">
        <f t="shared" si="40"/>
        <v>-31492.159711831016</v>
      </c>
      <c r="Y102" s="141">
        <f t="shared" si="40"/>
        <v>-32279.463704627007</v>
      </c>
      <c r="Z102" s="141">
        <f t="shared" si="40"/>
        <v>-33086.450297242263</v>
      </c>
      <c r="AA102" s="141">
        <f t="shared" si="40"/>
        <v>1356544.4621869416</v>
      </c>
      <c r="AB102" s="141">
        <f t="shared" si="40"/>
        <v>0</v>
      </c>
      <c r="AC102" s="141">
        <f t="shared" si="40"/>
        <v>0</v>
      </c>
      <c r="AD102" s="141">
        <f t="shared" si="40"/>
        <v>0</v>
      </c>
      <c r="AE102" s="141">
        <f t="shared" si="40"/>
        <v>0</v>
      </c>
      <c r="AF102" s="141">
        <f t="shared" si="40"/>
        <v>0</v>
      </c>
      <c r="AG102" s="141">
        <f t="shared" si="40"/>
        <v>0</v>
      </c>
      <c r="AH102" s="141">
        <f t="shared" si="40"/>
        <v>0</v>
      </c>
      <c r="AI102" s="141">
        <f t="shared" si="40"/>
        <v>0</v>
      </c>
      <c r="AJ102" s="141">
        <f t="shared" si="40"/>
        <v>0</v>
      </c>
      <c r="AK102" s="141">
        <f t="shared" si="40"/>
        <v>0</v>
      </c>
      <c r="AL102" s="141">
        <f t="shared" si="40"/>
        <v>0</v>
      </c>
      <c r="AM102" s="141">
        <f t="shared" si="40"/>
        <v>0</v>
      </c>
      <c r="AN102" s="141">
        <f t="shared" si="40"/>
        <v>0</v>
      </c>
      <c r="AO102" s="141">
        <f t="shared" si="40"/>
        <v>0</v>
      </c>
      <c r="AP102" s="141">
        <f t="shared" si="40"/>
        <v>0</v>
      </c>
    </row>
    <row r="103" spans="1:42" x14ac:dyDescent="0.2">
      <c r="A103" s="18"/>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row>
    <row r="104" spans="1:42" x14ac:dyDescent="0.2">
      <c r="A104" s="20" t="s">
        <v>71</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row>
    <row r="105" spans="1:42" x14ac:dyDescent="0.2">
      <c r="A105" s="18" t="s">
        <v>225</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row>
    <row r="106" spans="1:42" x14ac:dyDescent="0.2">
      <c r="A106" s="90" t="s">
        <v>272</v>
      </c>
      <c r="B106" s="123">
        <f>C550+C556</f>
        <v>0</v>
      </c>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row>
    <row r="107" spans="1:42" x14ac:dyDescent="0.2">
      <c r="A107" s="90" t="s">
        <v>273</v>
      </c>
      <c r="B107" s="123">
        <f>C563</f>
        <v>0</v>
      </c>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row>
    <row r="108" spans="1:42" x14ac:dyDescent="0.2">
      <c r="A108" s="90" t="s">
        <v>226</v>
      </c>
      <c r="B108" s="124">
        <f>$B$602</f>
        <v>59906162.2984851</v>
      </c>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row>
    <row r="109" spans="1:42" x14ac:dyDescent="0.2">
      <c r="A109" s="90" t="s">
        <v>13</v>
      </c>
      <c r="B109" s="123">
        <f>SUM(B106:B108)</f>
        <v>59906162.2984851</v>
      </c>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c r="AN109" s="123"/>
      <c r="AO109" s="123"/>
      <c r="AP109" s="123"/>
    </row>
    <row r="110" spans="1:42" x14ac:dyDescent="0.2">
      <c r="A110" s="18" t="s">
        <v>224</v>
      </c>
      <c r="B110" s="123">
        <f>-B102-B108</f>
        <v>53756985.2015149</v>
      </c>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row>
    <row r="111" spans="1:42" x14ac:dyDescent="0.2">
      <c r="A111" s="18" t="s">
        <v>223</v>
      </c>
      <c r="B111" s="124">
        <v>0</v>
      </c>
      <c r="C111" s="124">
        <f>-C589</f>
        <v>-2245536.1639714846</v>
      </c>
      <c r="D111" s="124">
        <f t="shared" ref="D111:AP111" si="41">-D589</f>
        <v>-2338788.3797611129</v>
      </c>
      <c r="E111" s="124">
        <f t="shared" si="41"/>
        <v>-2435203.3764900197</v>
      </c>
      <c r="F111" s="124">
        <f t="shared" si="41"/>
        <v>-2534905.0211650054</v>
      </c>
      <c r="G111" s="124">
        <f t="shared" si="41"/>
        <v>-2637990.9155212203</v>
      </c>
      <c r="H111" s="124">
        <f t="shared" si="41"/>
        <v>-2744585.1802971186</v>
      </c>
      <c r="I111" s="124">
        <f t="shared" si="41"/>
        <v>-2854816.4275217727</v>
      </c>
      <c r="J111" s="124">
        <f t="shared" si="41"/>
        <v>-2968802.543712656</v>
      </c>
      <c r="K111" s="124">
        <f t="shared" si="41"/>
        <v>-3086673.3256438114</v>
      </c>
      <c r="L111" s="124">
        <f t="shared" si="41"/>
        <v>-3208570.9443183159</v>
      </c>
      <c r="M111" s="124">
        <f t="shared" si="41"/>
        <v>-3334635.0425733272</v>
      </c>
      <c r="N111" s="124">
        <f t="shared" si="41"/>
        <v>-3465002.6208859803</v>
      </c>
      <c r="O111" s="124">
        <f t="shared" si="41"/>
        <v>-3599830.9952079225</v>
      </c>
      <c r="P111" s="124">
        <f t="shared" si="41"/>
        <v>-3739275.5189322117</v>
      </c>
      <c r="Q111" s="124">
        <f t="shared" si="41"/>
        <v>-3883489.4903187556</v>
      </c>
      <c r="R111" s="124">
        <f t="shared" si="41"/>
        <v>-4757264.4768771427</v>
      </c>
      <c r="S111" s="124">
        <f t="shared" si="41"/>
        <v>-4940531.070380168</v>
      </c>
      <c r="T111" s="124">
        <f t="shared" si="41"/>
        <v>-5130260.80490709</v>
      </c>
      <c r="U111" s="124">
        <f t="shared" si="41"/>
        <v>0</v>
      </c>
      <c r="V111" s="124">
        <f t="shared" si="41"/>
        <v>0</v>
      </c>
      <c r="W111" s="124">
        <f t="shared" si="41"/>
        <v>0</v>
      </c>
      <c r="X111" s="124">
        <f t="shared" si="41"/>
        <v>0</v>
      </c>
      <c r="Y111" s="124">
        <f t="shared" si="41"/>
        <v>0</v>
      </c>
      <c r="Z111" s="124">
        <f t="shared" si="41"/>
        <v>0</v>
      </c>
      <c r="AA111" s="124">
        <f t="shared" si="41"/>
        <v>0</v>
      </c>
      <c r="AB111" s="124">
        <f t="shared" si="41"/>
        <v>0</v>
      </c>
      <c r="AC111" s="124">
        <f t="shared" si="41"/>
        <v>0</v>
      </c>
      <c r="AD111" s="124">
        <f t="shared" si="41"/>
        <v>0</v>
      </c>
      <c r="AE111" s="124">
        <f t="shared" si="41"/>
        <v>0</v>
      </c>
      <c r="AF111" s="124">
        <f t="shared" si="41"/>
        <v>0</v>
      </c>
      <c r="AG111" s="124">
        <f t="shared" si="41"/>
        <v>0</v>
      </c>
      <c r="AH111" s="124">
        <f t="shared" si="41"/>
        <v>0</v>
      </c>
      <c r="AI111" s="124">
        <f t="shared" si="41"/>
        <v>0</v>
      </c>
      <c r="AJ111" s="124">
        <f t="shared" si="41"/>
        <v>0</v>
      </c>
      <c r="AK111" s="124">
        <f t="shared" si="41"/>
        <v>0</v>
      </c>
      <c r="AL111" s="124">
        <f t="shared" si="41"/>
        <v>0</v>
      </c>
      <c r="AM111" s="124">
        <f t="shared" si="41"/>
        <v>0</v>
      </c>
      <c r="AN111" s="124">
        <f t="shared" si="41"/>
        <v>0</v>
      </c>
      <c r="AO111" s="124">
        <f t="shared" si="41"/>
        <v>0</v>
      </c>
      <c r="AP111" s="124">
        <f t="shared" si="41"/>
        <v>0</v>
      </c>
    </row>
    <row r="112" spans="1:42" x14ac:dyDescent="0.2">
      <c r="A112" s="210" t="s">
        <v>13</v>
      </c>
      <c r="B112" s="123">
        <f>SUM(B109:B111)</f>
        <v>113663147.5</v>
      </c>
      <c r="C112" s="129">
        <f>SUM(C109:C111)</f>
        <v>-2245536.1639714846</v>
      </c>
      <c r="D112" s="129">
        <f t="shared" ref="D112:AP112" si="42">SUM(D109:D111)</f>
        <v>-2338788.3797611129</v>
      </c>
      <c r="E112" s="129">
        <f t="shared" si="42"/>
        <v>-2435203.3764900197</v>
      </c>
      <c r="F112" s="129">
        <f t="shared" si="42"/>
        <v>-2534905.0211650054</v>
      </c>
      <c r="G112" s="129">
        <f t="shared" si="42"/>
        <v>-2637990.9155212203</v>
      </c>
      <c r="H112" s="129">
        <f t="shared" si="42"/>
        <v>-2744585.1802971186</v>
      </c>
      <c r="I112" s="129">
        <f t="shared" si="42"/>
        <v>-2854816.4275217727</v>
      </c>
      <c r="J112" s="129">
        <f t="shared" si="42"/>
        <v>-2968802.543712656</v>
      </c>
      <c r="K112" s="129">
        <f t="shared" si="42"/>
        <v>-3086673.3256438114</v>
      </c>
      <c r="L112" s="129">
        <f t="shared" si="42"/>
        <v>-3208570.9443183159</v>
      </c>
      <c r="M112" s="129">
        <f t="shared" si="42"/>
        <v>-3334635.0425733272</v>
      </c>
      <c r="N112" s="129">
        <f t="shared" si="42"/>
        <v>-3465002.6208859803</v>
      </c>
      <c r="O112" s="129">
        <f t="shared" si="42"/>
        <v>-3599830.9952079225</v>
      </c>
      <c r="P112" s="129">
        <f t="shared" si="42"/>
        <v>-3739275.5189322117</v>
      </c>
      <c r="Q112" s="129">
        <f t="shared" si="42"/>
        <v>-3883489.4903187556</v>
      </c>
      <c r="R112" s="129">
        <f t="shared" si="42"/>
        <v>-4757264.4768771427</v>
      </c>
      <c r="S112" s="129">
        <f t="shared" si="42"/>
        <v>-4940531.070380168</v>
      </c>
      <c r="T112" s="129">
        <f t="shared" si="42"/>
        <v>-5130260.80490709</v>
      </c>
      <c r="U112" s="129">
        <f t="shared" si="42"/>
        <v>0</v>
      </c>
      <c r="V112" s="129">
        <f t="shared" si="42"/>
        <v>0</v>
      </c>
      <c r="W112" s="129">
        <f t="shared" si="42"/>
        <v>0</v>
      </c>
      <c r="X112" s="129">
        <f t="shared" si="42"/>
        <v>0</v>
      </c>
      <c r="Y112" s="129">
        <f t="shared" si="42"/>
        <v>0</v>
      </c>
      <c r="Z112" s="129">
        <f t="shared" si="42"/>
        <v>0</v>
      </c>
      <c r="AA112" s="129">
        <f t="shared" si="42"/>
        <v>0</v>
      </c>
      <c r="AB112" s="129">
        <f t="shared" si="42"/>
        <v>0</v>
      </c>
      <c r="AC112" s="129">
        <f t="shared" si="42"/>
        <v>0</v>
      </c>
      <c r="AD112" s="129">
        <f t="shared" si="42"/>
        <v>0</v>
      </c>
      <c r="AE112" s="129">
        <f t="shared" si="42"/>
        <v>0</v>
      </c>
      <c r="AF112" s="129">
        <f t="shared" si="42"/>
        <v>0</v>
      </c>
      <c r="AG112" s="129">
        <f t="shared" si="42"/>
        <v>0</v>
      </c>
      <c r="AH112" s="129">
        <f t="shared" si="42"/>
        <v>0</v>
      </c>
      <c r="AI112" s="129">
        <f t="shared" si="42"/>
        <v>0</v>
      </c>
      <c r="AJ112" s="129">
        <f t="shared" si="42"/>
        <v>0</v>
      </c>
      <c r="AK112" s="129">
        <f t="shared" si="42"/>
        <v>0</v>
      </c>
      <c r="AL112" s="129">
        <f t="shared" si="42"/>
        <v>0</v>
      </c>
      <c r="AM112" s="129">
        <f t="shared" si="42"/>
        <v>0</v>
      </c>
      <c r="AN112" s="129">
        <f t="shared" si="42"/>
        <v>0</v>
      </c>
      <c r="AO112" s="129">
        <f t="shared" si="42"/>
        <v>0</v>
      </c>
      <c r="AP112" s="129">
        <f t="shared" si="42"/>
        <v>0</v>
      </c>
    </row>
    <row r="113" spans="1:42" s="211" customFormat="1" ht="13.5" thickBot="1" x14ac:dyDescent="0.25">
      <c r="A113" s="210"/>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129"/>
      <c r="AJ113" s="129"/>
      <c r="AK113" s="129"/>
      <c r="AL113" s="129"/>
      <c r="AM113" s="129"/>
      <c r="AN113" s="129"/>
      <c r="AO113" s="129"/>
      <c r="AP113" s="129"/>
    </row>
    <row r="114" spans="1:42" ht="13.5" thickTop="1" x14ac:dyDescent="0.2">
      <c r="A114" s="84" t="s">
        <v>276</v>
      </c>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row>
    <row r="115" spans="1:42" x14ac:dyDescent="0.2">
      <c r="A115" s="20" t="s">
        <v>277</v>
      </c>
    </row>
    <row r="116" spans="1:42" x14ac:dyDescent="0.2">
      <c r="A116" s="90" t="s">
        <v>224</v>
      </c>
      <c r="B116" s="123">
        <f t="shared" ref="B116:AP116" si="43">-B110</f>
        <v>-53756985.2015149</v>
      </c>
      <c r="C116" s="123">
        <f t="shared" si="43"/>
        <v>0</v>
      </c>
      <c r="D116" s="123">
        <f t="shared" si="43"/>
        <v>0</v>
      </c>
      <c r="E116" s="123">
        <f t="shared" si="43"/>
        <v>0</v>
      </c>
      <c r="F116" s="123">
        <f t="shared" si="43"/>
        <v>0</v>
      </c>
      <c r="G116" s="123">
        <f t="shared" si="43"/>
        <v>0</v>
      </c>
      <c r="H116" s="123">
        <f t="shared" si="43"/>
        <v>0</v>
      </c>
      <c r="I116" s="123">
        <f t="shared" si="43"/>
        <v>0</v>
      </c>
      <c r="J116" s="123">
        <f t="shared" si="43"/>
        <v>0</v>
      </c>
      <c r="K116" s="123">
        <f t="shared" si="43"/>
        <v>0</v>
      </c>
      <c r="L116" s="123">
        <f t="shared" si="43"/>
        <v>0</v>
      </c>
      <c r="M116" s="123">
        <f t="shared" si="43"/>
        <v>0</v>
      </c>
      <c r="N116" s="123">
        <f t="shared" si="43"/>
        <v>0</v>
      </c>
      <c r="O116" s="123">
        <f t="shared" si="43"/>
        <v>0</v>
      </c>
      <c r="P116" s="123">
        <f t="shared" si="43"/>
        <v>0</v>
      </c>
      <c r="Q116" s="123">
        <f t="shared" si="43"/>
        <v>0</v>
      </c>
      <c r="R116" s="123">
        <f t="shared" si="43"/>
        <v>0</v>
      </c>
      <c r="S116" s="123">
        <f t="shared" si="43"/>
        <v>0</v>
      </c>
      <c r="T116" s="123">
        <f t="shared" si="43"/>
        <v>0</v>
      </c>
      <c r="U116" s="123">
        <f t="shared" si="43"/>
        <v>0</v>
      </c>
      <c r="V116" s="123">
        <f t="shared" si="43"/>
        <v>0</v>
      </c>
      <c r="W116" s="123">
        <f t="shared" si="43"/>
        <v>0</v>
      </c>
      <c r="X116" s="123">
        <f t="shared" si="43"/>
        <v>0</v>
      </c>
      <c r="Y116" s="123">
        <f t="shared" si="43"/>
        <v>0</v>
      </c>
      <c r="Z116" s="123">
        <f t="shared" si="43"/>
        <v>0</v>
      </c>
      <c r="AA116" s="123">
        <f t="shared" si="43"/>
        <v>0</v>
      </c>
      <c r="AB116" s="123">
        <f t="shared" si="43"/>
        <v>0</v>
      </c>
      <c r="AC116" s="123">
        <f t="shared" si="43"/>
        <v>0</v>
      </c>
      <c r="AD116" s="123">
        <f t="shared" si="43"/>
        <v>0</v>
      </c>
      <c r="AE116" s="123">
        <f t="shared" si="43"/>
        <v>0</v>
      </c>
      <c r="AF116" s="123">
        <f t="shared" si="43"/>
        <v>0</v>
      </c>
      <c r="AG116" s="123">
        <f t="shared" si="43"/>
        <v>0</v>
      </c>
      <c r="AH116" s="123">
        <f t="shared" si="43"/>
        <v>0</v>
      </c>
      <c r="AI116" s="123">
        <f t="shared" si="43"/>
        <v>0</v>
      </c>
      <c r="AJ116" s="123">
        <f t="shared" si="43"/>
        <v>0</v>
      </c>
      <c r="AK116" s="123">
        <f t="shared" si="43"/>
        <v>0</v>
      </c>
      <c r="AL116" s="123">
        <f t="shared" si="43"/>
        <v>0</v>
      </c>
      <c r="AM116" s="123">
        <f t="shared" si="43"/>
        <v>0</v>
      </c>
      <c r="AN116" s="123">
        <f t="shared" si="43"/>
        <v>0</v>
      </c>
      <c r="AO116" s="123">
        <f t="shared" si="43"/>
        <v>0</v>
      </c>
      <c r="AP116" s="123">
        <f t="shared" si="43"/>
        <v>0</v>
      </c>
    </row>
    <row r="117" spans="1:42" x14ac:dyDescent="0.2">
      <c r="A117" s="90" t="s">
        <v>334</v>
      </c>
      <c r="B117" s="124">
        <f>B77+B102+B112</f>
        <v>0</v>
      </c>
      <c r="C117" s="124">
        <f>C77+C102+C112</f>
        <v>1410456.4317732677</v>
      </c>
      <c r="D117" s="124">
        <f t="shared" ref="D117:AP117" si="44">D77+D102+D112</f>
        <v>1423328.2693839469</v>
      </c>
      <c r="E117" s="124">
        <f t="shared" si="44"/>
        <v>1436029.0403119321</v>
      </c>
      <c r="F117" s="124">
        <f t="shared" si="44"/>
        <v>1448558.0418036217</v>
      </c>
      <c r="G117" s="124">
        <f t="shared" si="44"/>
        <v>1460905.1894577192</v>
      </c>
      <c r="H117" s="124">
        <f t="shared" si="44"/>
        <v>1473066.9385994421</v>
      </c>
      <c r="I117" s="124">
        <f t="shared" si="44"/>
        <v>1485039.7306448249</v>
      </c>
      <c r="J117" s="124">
        <f t="shared" si="44"/>
        <v>1496815.373068383</v>
      </c>
      <c r="K117" s="124">
        <f t="shared" si="44"/>
        <v>1508387.5827411087</v>
      </c>
      <c r="L117" s="124">
        <f t="shared" si="44"/>
        <v>1519752.361098079</v>
      </c>
      <c r="M117" s="124">
        <f t="shared" si="44"/>
        <v>1530903.3688256284</v>
      </c>
      <c r="N117" s="124">
        <f t="shared" si="44"/>
        <v>1541831.5488349479</v>
      </c>
      <c r="O117" s="124">
        <f t="shared" si="44"/>
        <v>1552532.5612119241</v>
      </c>
      <c r="P117" s="124">
        <f t="shared" si="44"/>
        <v>1562999.1999099809</v>
      </c>
      <c r="Q117" s="124">
        <f t="shared" si="44"/>
        <v>1210921.4634140693</v>
      </c>
      <c r="R117" s="124">
        <f t="shared" si="44"/>
        <v>1628488.8089781962</v>
      </c>
      <c r="S117" s="124">
        <f t="shared" si="44"/>
        <v>1626434.4934238046</v>
      </c>
      <c r="T117" s="124">
        <f t="shared" si="44"/>
        <v>4287452.8249324756</v>
      </c>
      <c r="U117" s="124">
        <f t="shared" si="44"/>
        <v>6910060.1229617456</v>
      </c>
      <c r="V117" s="124">
        <f t="shared" si="44"/>
        <v>6897067.37603579</v>
      </c>
      <c r="W117" s="124">
        <f t="shared" si="44"/>
        <v>6882823.3104366846</v>
      </c>
      <c r="X117" s="124">
        <f t="shared" si="44"/>
        <v>6867301.1431976007</v>
      </c>
      <c r="Y117" s="124">
        <f t="shared" si="44"/>
        <v>6850463.1717775417</v>
      </c>
      <c r="Z117" s="124">
        <f t="shared" si="44"/>
        <v>6832280.7510719802</v>
      </c>
      <c r="AA117" s="124">
        <f t="shared" si="44"/>
        <v>8203152.3435903946</v>
      </c>
      <c r="AB117" s="124">
        <f t="shared" si="44"/>
        <v>0</v>
      </c>
      <c r="AC117" s="124">
        <f t="shared" si="44"/>
        <v>0</v>
      </c>
      <c r="AD117" s="124">
        <f t="shared" si="44"/>
        <v>0</v>
      </c>
      <c r="AE117" s="124">
        <f t="shared" si="44"/>
        <v>0</v>
      </c>
      <c r="AF117" s="124">
        <f t="shared" si="44"/>
        <v>0</v>
      </c>
      <c r="AG117" s="124">
        <f t="shared" si="44"/>
        <v>0</v>
      </c>
      <c r="AH117" s="124">
        <f t="shared" si="44"/>
        <v>0</v>
      </c>
      <c r="AI117" s="124">
        <f t="shared" si="44"/>
        <v>0</v>
      </c>
      <c r="AJ117" s="124">
        <f t="shared" si="44"/>
        <v>0</v>
      </c>
      <c r="AK117" s="124">
        <f t="shared" si="44"/>
        <v>0</v>
      </c>
      <c r="AL117" s="124">
        <f t="shared" si="44"/>
        <v>0</v>
      </c>
      <c r="AM117" s="124">
        <f t="shared" si="44"/>
        <v>0</v>
      </c>
      <c r="AN117" s="124">
        <f t="shared" si="44"/>
        <v>0</v>
      </c>
      <c r="AO117" s="124">
        <f t="shared" si="44"/>
        <v>0</v>
      </c>
      <c r="AP117" s="124">
        <f t="shared" si="44"/>
        <v>0</v>
      </c>
    </row>
    <row r="118" spans="1:42" x14ac:dyDescent="0.2">
      <c r="A118" s="213" t="s">
        <v>13</v>
      </c>
      <c r="B118" s="141">
        <f>SUM(B116:B117)</f>
        <v>-53756985.2015149</v>
      </c>
      <c r="C118" s="141">
        <f t="shared" ref="C118:AP118" si="45">SUM(C116:C117)</f>
        <v>1410456.4317732677</v>
      </c>
      <c r="D118" s="141">
        <f t="shared" si="45"/>
        <v>1423328.2693839469</v>
      </c>
      <c r="E118" s="141">
        <f t="shared" si="45"/>
        <v>1436029.0403119321</v>
      </c>
      <c r="F118" s="141">
        <f t="shared" si="45"/>
        <v>1448558.0418036217</v>
      </c>
      <c r="G118" s="141">
        <f t="shared" si="45"/>
        <v>1460905.1894577192</v>
      </c>
      <c r="H118" s="141">
        <f t="shared" si="45"/>
        <v>1473066.9385994421</v>
      </c>
      <c r="I118" s="141">
        <f t="shared" si="45"/>
        <v>1485039.7306448249</v>
      </c>
      <c r="J118" s="141">
        <f t="shared" si="45"/>
        <v>1496815.373068383</v>
      </c>
      <c r="K118" s="141">
        <f t="shared" si="45"/>
        <v>1508387.5827411087</v>
      </c>
      <c r="L118" s="141">
        <f t="shared" si="45"/>
        <v>1519752.361098079</v>
      </c>
      <c r="M118" s="141">
        <f t="shared" si="45"/>
        <v>1530903.3688256284</v>
      </c>
      <c r="N118" s="141">
        <f t="shared" si="45"/>
        <v>1541831.5488349479</v>
      </c>
      <c r="O118" s="141">
        <f t="shared" si="45"/>
        <v>1552532.5612119241</v>
      </c>
      <c r="P118" s="141">
        <f t="shared" si="45"/>
        <v>1562999.1999099809</v>
      </c>
      <c r="Q118" s="141">
        <f t="shared" si="45"/>
        <v>1210921.4634140693</v>
      </c>
      <c r="R118" s="141">
        <f t="shared" si="45"/>
        <v>1628488.8089781962</v>
      </c>
      <c r="S118" s="141">
        <f t="shared" si="45"/>
        <v>1626434.4934238046</v>
      </c>
      <c r="T118" s="141">
        <f t="shared" si="45"/>
        <v>4287452.8249324756</v>
      </c>
      <c r="U118" s="141">
        <f t="shared" si="45"/>
        <v>6910060.1229617456</v>
      </c>
      <c r="V118" s="141">
        <f t="shared" si="45"/>
        <v>6897067.37603579</v>
      </c>
      <c r="W118" s="141">
        <f t="shared" si="45"/>
        <v>6882823.3104366846</v>
      </c>
      <c r="X118" s="141">
        <f t="shared" si="45"/>
        <v>6867301.1431976007</v>
      </c>
      <c r="Y118" s="141">
        <f t="shared" si="45"/>
        <v>6850463.1717775417</v>
      </c>
      <c r="Z118" s="141">
        <f t="shared" si="45"/>
        <v>6832280.7510719802</v>
      </c>
      <c r="AA118" s="141">
        <f t="shared" si="45"/>
        <v>8203152.3435903946</v>
      </c>
      <c r="AB118" s="141">
        <f t="shared" si="45"/>
        <v>0</v>
      </c>
      <c r="AC118" s="141">
        <f t="shared" si="45"/>
        <v>0</v>
      </c>
      <c r="AD118" s="141">
        <f t="shared" si="45"/>
        <v>0</v>
      </c>
      <c r="AE118" s="141">
        <f t="shared" si="45"/>
        <v>0</v>
      </c>
      <c r="AF118" s="141">
        <f t="shared" si="45"/>
        <v>0</v>
      </c>
      <c r="AG118" s="141">
        <f t="shared" si="45"/>
        <v>0</v>
      </c>
      <c r="AH118" s="141">
        <f t="shared" si="45"/>
        <v>0</v>
      </c>
      <c r="AI118" s="141">
        <f t="shared" si="45"/>
        <v>0</v>
      </c>
      <c r="AJ118" s="141">
        <f t="shared" si="45"/>
        <v>0</v>
      </c>
      <c r="AK118" s="141">
        <f t="shared" si="45"/>
        <v>0</v>
      </c>
      <c r="AL118" s="141">
        <f t="shared" si="45"/>
        <v>0</v>
      </c>
      <c r="AM118" s="141">
        <f t="shared" si="45"/>
        <v>0</v>
      </c>
      <c r="AN118" s="141">
        <f t="shared" si="45"/>
        <v>0</v>
      </c>
      <c r="AO118" s="141">
        <f t="shared" si="45"/>
        <v>0</v>
      </c>
      <c r="AP118" s="141">
        <f t="shared" si="45"/>
        <v>0</v>
      </c>
    </row>
    <row r="119" spans="1:42" x14ac:dyDescent="0.2">
      <c r="A119" s="18"/>
    </row>
    <row r="120" spans="1:42" x14ac:dyDescent="0.2">
      <c r="A120" s="20" t="s">
        <v>278</v>
      </c>
    </row>
    <row r="121" spans="1:42" x14ac:dyDescent="0.2">
      <c r="A121" s="90" t="s">
        <v>426</v>
      </c>
    </row>
    <row r="122" spans="1:42" x14ac:dyDescent="0.2">
      <c r="A122" s="91" t="s">
        <v>5</v>
      </c>
      <c r="B122" s="123"/>
      <c r="C122" s="123">
        <f>C$523</f>
        <v>0</v>
      </c>
      <c r="D122" s="123">
        <f t="shared" ref="D122:AP122" si="46">D$523</f>
        <v>0</v>
      </c>
      <c r="E122" s="123">
        <f t="shared" si="46"/>
        <v>0</v>
      </c>
      <c r="F122" s="123">
        <f t="shared" si="46"/>
        <v>0</v>
      </c>
      <c r="G122" s="123">
        <f t="shared" si="46"/>
        <v>0</v>
      </c>
      <c r="H122" s="123">
        <f t="shared" si="46"/>
        <v>0</v>
      </c>
      <c r="I122" s="123">
        <f t="shared" si="46"/>
        <v>0</v>
      </c>
      <c r="J122" s="123">
        <f t="shared" si="46"/>
        <v>0</v>
      </c>
      <c r="K122" s="123">
        <f t="shared" si="46"/>
        <v>0</v>
      </c>
      <c r="L122" s="123">
        <f t="shared" si="46"/>
        <v>0</v>
      </c>
      <c r="M122" s="123">
        <f t="shared" si="46"/>
        <v>0</v>
      </c>
      <c r="N122" s="123">
        <f t="shared" si="46"/>
        <v>0</v>
      </c>
      <c r="O122" s="123">
        <f t="shared" si="46"/>
        <v>0</v>
      </c>
      <c r="P122" s="123">
        <f t="shared" si="46"/>
        <v>0</v>
      </c>
      <c r="Q122" s="123">
        <f t="shared" si="46"/>
        <v>0</v>
      </c>
      <c r="R122" s="123">
        <f t="shared" si="46"/>
        <v>0</v>
      </c>
      <c r="S122" s="123">
        <f t="shared" si="46"/>
        <v>0</v>
      </c>
      <c r="T122" s="123">
        <f t="shared" si="46"/>
        <v>0</v>
      </c>
      <c r="U122" s="123">
        <f t="shared" si="46"/>
        <v>0</v>
      </c>
      <c r="V122" s="123">
        <f t="shared" si="46"/>
        <v>0</v>
      </c>
      <c r="W122" s="123">
        <f t="shared" si="46"/>
        <v>0</v>
      </c>
      <c r="X122" s="123">
        <f t="shared" si="46"/>
        <v>0</v>
      </c>
      <c r="Y122" s="123">
        <f t="shared" si="46"/>
        <v>0</v>
      </c>
      <c r="Z122" s="123">
        <f t="shared" si="46"/>
        <v>0</v>
      </c>
      <c r="AA122" s="123">
        <f t="shared" si="46"/>
        <v>0</v>
      </c>
      <c r="AB122" s="123">
        <f t="shared" si="46"/>
        <v>0</v>
      </c>
      <c r="AC122" s="123">
        <f t="shared" si="46"/>
        <v>0</v>
      </c>
      <c r="AD122" s="123">
        <f t="shared" si="46"/>
        <v>0</v>
      </c>
      <c r="AE122" s="123">
        <f t="shared" si="46"/>
        <v>0</v>
      </c>
      <c r="AF122" s="123">
        <f t="shared" si="46"/>
        <v>0</v>
      </c>
      <c r="AG122" s="123">
        <f t="shared" si="46"/>
        <v>0</v>
      </c>
      <c r="AH122" s="123">
        <f t="shared" si="46"/>
        <v>0</v>
      </c>
      <c r="AI122" s="123">
        <f t="shared" si="46"/>
        <v>0</v>
      </c>
      <c r="AJ122" s="123">
        <f t="shared" si="46"/>
        <v>0</v>
      </c>
      <c r="AK122" s="123">
        <f t="shared" si="46"/>
        <v>0</v>
      </c>
      <c r="AL122" s="123">
        <f t="shared" si="46"/>
        <v>0</v>
      </c>
      <c r="AM122" s="123">
        <f t="shared" si="46"/>
        <v>0</v>
      </c>
      <c r="AN122" s="123">
        <f t="shared" si="46"/>
        <v>0</v>
      </c>
      <c r="AO122" s="123">
        <f t="shared" si="46"/>
        <v>0</v>
      </c>
      <c r="AP122" s="123">
        <f t="shared" si="46"/>
        <v>0</v>
      </c>
    </row>
    <row r="123" spans="1:42" x14ac:dyDescent="0.2">
      <c r="A123" s="91" t="s">
        <v>4</v>
      </c>
      <c r="B123" s="123"/>
      <c r="C123" s="123">
        <f>C$529</f>
        <v>30689049.824999999</v>
      </c>
      <c r="D123" s="123">
        <f t="shared" ref="D123:AP123" si="47">D$529</f>
        <v>0</v>
      </c>
      <c r="E123" s="123">
        <f t="shared" si="47"/>
        <v>0</v>
      </c>
      <c r="F123" s="123">
        <f t="shared" si="47"/>
        <v>0</v>
      </c>
      <c r="G123" s="123">
        <f t="shared" si="47"/>
        <v>0</v>
      </c>
      <c r="H123" s="123">
        <f t="shared" si="47"/>
        <v>0</v>
      </c>
      <c r="I123" s="123">
        <f t="shared" si="47"/>
        <v>0</v>
      </c>
      <c r="J123" s="123">
        <f t="shared" si="47"/>
        <v>0</v>
      </c>
      <c r="K123" s="123">
        <f t="shared" si="47"/>
        <v>0</v>
      </c>
      <c r="L123" s="123">
        <f t="shared" si="47"/>
        <v>0</v>
      </c>
      <c r="M123" s="123">
        <f t="shared" si="47"/>
        <v>0</v>
      </c>
      <c r="N123" s="123">
        <f t="shared" si="47"/>
        <v>0</v>
      </c>
      <c r="O123" s="123">
        <f t="shared" si="47"/>
        <v>0</v>
      </c>
      <c r="P123" s="123">
        <f t="shared" si="47"/>
        <v>0</v>
      </c>
      <c r="Q123" s="123">
        <f t="shared" si="47"/>
        <v>0</v>
      </c>
      <c r="R123" s="123">
        <f t="shared" si="47"/>
        <v>0</v>
      </c>
      <c r="S123" s="123">
        <f t="shared" si="47"/>
        <v>0</v>
      </c>
      <c r="T123" s="123">
        <f t="shared" si="47"/>
        <v>0</v>
      </c>
      <c r="U123" s="123">
        <f t="shared" si="47"/>
        <v>0</v>
      </c>
      <c r="V123" s="123">
        <f t="shared" si="47"/>
        <v>0</v>
      </c>
      <c r="W123" s="123">
        <f t="shared" si="47"/>
        <v>0</v>
      </c>
      <c r="X123" s="123">
        <f t="shared" si="47"/>
        <v>0</v>
      </c>
      <c r="Y123" s="123">
        <f t="shared" si="47"/>
        <v>0</v>
      </c>
      <c r="Z123" s="123">
        <f t="shared" si="47"/>
        <v>0</v>
      </c>
      <c r="AA123" s="123">
        <f t="shared" si="47"/>
        <v>0</v>
      </c>
      <c r="AB123" s="123">
        <f t="shared" si="47"/>
        <v>0</v>
      </c>
      <c r="AC123" s="123">
        <f t="shared" si="47"/>
        <v>0</v>
      </c>
      <c r="AD123" s="123">
        <f t="shared" si="47"/>
        <v>0</v>
      </c>
      <c r="AE123" s="123">
        <f t="shared" si="47"/>
        <v>0</v>
      </c>
      <c r="AF123" s="123">
        <f t="shared" si="47"/>
        <v>0</v>
      </c>
      <c r="AG123" s="123">
        <f t="shared" si="47"/>
        <v>0</v>
      </c>
      <c r="AH123" s="123">
        <f t="shared" si="47"/>
        <v>0</v>
      </c>
      <c r="AI123" s="123">
        <f t="shared" si="47"/>
        <v>0</v>
      </c>
      <c r="AJ123" s="123">
        <f t="shared" si="47"/>
        <v>0</v>
      </c>
      <c r="AK123" s="123">
        <f t="shared" si="47"/>
        <v>0</v>
      </c>
      <c r="AL123" s="123">
        <f t="shared" si="47"/>
        <v>0</v>
      </c>
      <c r="AM123" s="123">
        <f t="shared" si="47"/>
        <v>0</v>
      </c>
      <c r="AN123" s="123">
        <f t="shared" si="47"/>
        <v>0</v>
      </c>
      <c r="AO123" s="123">
        <f t="shared" si="47"/>
        <v>0</v>
      </c>
      <c r="AP123" s="123">
        <f t="shared" si="47"/>
        <v>0</v>
      </c>
    </row>
    <row r="124" spans="1:42" x14ac:dyDescent="0.2">
      <c r="A124" s="91" t="s">
        <v>13</v>
      </c>
      <c r="B124" s="129"/>
      <c r="C124" s="129">
        <f t="shared" ref="C124:AP124" si="48">C$122+C$123</f>
        <v>30689049.824999999</v>
      </c>
      <c r="D124" s="129">
        <f t="shared" si="48"/>
        <v>0</v>
      </c>
      <c r="E124" s="129">
        <f t="shared" si="48"/>
        <v>0</v>
      </c>
      <c r="F124" s="129">
        <f t="shared" si="48"/>
        <v>0</v>
      </c>
      <c r="G124" s="129">
        <f t="shared" si="48"/>
        <v>0</v>
      </c>
      <c r="H124" s="129">
        <f t="shared" si="48"/>
        <v>0</v>
      </c>
      <c r="I124" s="129">
        <f t="shared" si="48"/>
        <v>0</v>
      </c>
      <c r="J124" s="129">
        <f t="shared" si="48"/>
        <v>0</v>
      </c>
      <c r="K124" s="129">
        <f t="shared" si="48"/>
        <v>0</v>
      </c>
      <c r="L124" s="129">
        <f t="shared" si="48"/>
        <v>0</v>
      </c>
      <c r="M124" s="129">
        <f t="shared" si="48"/>
        <v>0</v>
      </c>
      <c r="N124" s="129">
        <f t="shared" si="48"/>
        <v>0</v>
      </c>
      <c r="O124" s="129">
        <f t="shared" si="48"/>
        <v>0</v>
      </c>
      <c r="P124" s="129">
        <f t="shared" si="48"/>
        <v>0</v>
      </c>
      <c r="Q124" s="129">
        <f t="shared" si="48"/>
        <v>0</v>
      </c>
      <c r="R124" s="129">
        <f t="shared" si="48"/>
        <v>0</v>
      </c>
      <c r="S124" s="129">
        <f t="shared" si="48"/>
        <v>0</v>
      </c>
      <c r="T124" s="129">
        <f t="shared" si="48"/>
        <v>0</v>
      </c>
      <c r="U124" s="129">
        <f t="shared" si="48"/>
        <v>0</v>
      </c>
      <c r="V124" s="129">
        <f t="shared" si="48"/>
        <v>0</v>
      </c>
      <c r="W124" s="129">
        <f t="shared" si="48"/>
        <v>0</v>
      </c>
      <c r="X124" s="129">
        <f t="shared" si="48"/>
        <v>0</v>
      </c>
      <c r="Y124" s="129">
        <f t="shared" si="48"/>
        <v>0</v>
      </c>
      <c r="Z124" s="129">
        <f t="shared" si="48"/>
        <v>0</v>
      </c>
      <c r="AA124" s="129">
        <f t="shared" si="48"/>
        <v>0</v>
      </c>
      <c r="AB124" s="129">
        <f t="shared" si="48"/>
        <v>0</v>
      </c>
      <c r="AC124" s="129">
        <f t="shared" si="48"/>
        <v>0</v>
      </c>
      <c r="AD124" s="129">
        <f t="shared" si="48"/>
        <v>0</v>
      </c>
      <c r="AE124" s="129">
        <f t="shared" si="48"/>
        <v>0</v>
      </c>
      <c r="AF124" s="129">
        <f t="shared" si="48"/>
        <v>0</v>
      </c>
      <c r="AG124" s="129">
        <f t="shared" si="48"/>
        <v>0</v>
      </c>
      <c r="AH124" s="129">
        <f t="shared" si="48"/>
        <v>0</v>
      </c>
      <c r="AI124" s="129">
        <f t="shared" si="48"/>
        <v>0</v>
      </c>
      <c r="AJ124" s="129">
        <f t="shared" si="48"/>
        <v>0</v>
      </c>
      <c r="AK124" s="129">
        <f t="shared" si="48"/>
        <v>0</v>
      </c>
      <c r="AL124" s="129">
        <f t="shared" si="48"/>
        <v>0</v>
      </c>
      <c r="AM124" s="129">
        <f t="shared" si="48"/>
        <v>0</v>
      </c>
      <c r="AN124" s="129">
        <f t="shared" si="48"/>
        <v>0</v>
      </c>
      <c r="AO124" s="129">
        <f t="shared" si="48"/>
        <v>0</v>
      </c>
      <c r="AP124" s="129">
        <f t="shared" si="48"/>
        <v>0</v>
      </c>
    </row>
    <row r="125" spans="1:42" x14ac:dyDescent="0.2">
      <c r="A125" s="90" t="s">
        <v>69</v>
      </c>
    </row>
    <row r="126" spans="1:42" x14ac:dyDescent="0.2">
      <c r="A126" s="91" t="s">
        <v>5</v>
      </c>
      <c r="B126" s="123">
        <f>B536</f>
        <v>0</v>
      </c>
      <c r="C126" s="123">
        <f t="shared" ref="C126:AO126" si="49">C536</f>
        <v>0</v>
      </c>
      <c r="D126" s="123">
        <f t="shared" si="49"/>
        <v>0</v>
      </c>
      <c r="E126" s="123">
        <f t="shared" si="49"/>
        <v>0</v>
      </c>
      <c r="F126" s="123">
        <f t="shared" si="49"/>
        <v>0</v>
      </c>
      <c r="G126" s="123">
        <f t="shared" si="49"/>
        <v>0</v>
      </c>
      <c r="H126" s="123">
        <f t="shared" si="49"/>
        <v>0</v>
      </c>
      <c r="I126" s="123">
        <f t="shared" si="49"/>
        <v>0</v>
      </c>
      <c r="J126" s="123">
        <f t="shared" si="49"/>
        <v>0</v>
      </c>
      <c r="K126" s="123">
        <f t="shared" si="49"/>
        <v>0</v>
      </c>
      <c r="L126" s="123">
        <f t="shared" si="49"/>
        <v>0</v>
      </c>
      <c r="M126" s="123">
        <f t="shared" si="49"/>
        <v>0</v>
      </c>
      <c r="N126" s="123">
        <f t="shared" si="49"/>
        <v>0</v>
      </c>
      <c r="O126" s="123">
        <f t="shared" si="49"/>
        <v>0</v>
      </c>
      <c r="P126" s="123">
        <f t="shared" si="49"/>
        <v>0</v>
      </c>
      <c r="Q126" s="123">
        <f t="shared" si="49"/>
        <v>0</v>
      </c>
      <c r="R126" s="123">
        <f t="shared" si="49"/>
        <v>0</v>
      </c>
      <c r="S126" s="123">
        <f t="shared" si="49"/>
        <v>0</v>
      </c>
      <c r="T126" s="123">
        <f t="shared" si="49"/>
        <v>0</v>
      </c>
      <c r="U126" s="123">
        <f t="shared" si="49"/>
        <v>0</v>
      </c>
      <c r="V126" s="123">
        <f t="shared" si="49"/>
        <v>0</v>
      </c>
      <c r="W126" s="123">
        <f t="shared" si="49"/>
        <v>0</v>
      </c>
      <c r="X126" s="123">
        <f t="shared" si="49"/>
        <v>0</v>
      </c>
      <c r="Y126" s="123">
        <f t="shared" si="49"/>
        <v>0</v>
      </c>
      <c r="Z126" s="123">
        <f t="shared" si="49"/>
        <v>0</v>
      </c>
      <c r="AA126" s="123">
        <f t="shared" si="49"/>
        <v>0</v>
      </c>
      <c r="AB126" s="123">
        <f t="shared" si="49"/>
        <v>0</v>
      </c>
      <c r="AC126" s="123">
        <f t="shared" si="49"/>
        <v>0</v>
      </c>
      <c r="AD126" s="123">
        <f t="shared" si="49"/>
        <v>0</v>
      </c>
      <c r="AE126" s="123">
        <f t="shared" si="49"/>
        <v>0</v>
      </c>
      <c r="AF126" s="123">
        <f t="shared" si="49"/>
        <v>0</v>
      </c>
      <c r="AG126" s="123">
        <f t="shared" si="49"/>
        <v>0</v>
      </c>
      <c r="AH126" s="123">
        <f t="shared" si="49"/>
        <v>0</v>
      </c>
      <c r="AI126" s="123">
        <f t="shared" si="49"/>
        <v>0</v>
      </c>
      <c r="AJ126" s="123">
        <f t="shared" si="49"/>
        <v>0</v>
      </c>
      <c r="AK126" s="123">
        <f t="shared" si="49"/>
        <v>0</v>
      </c>
      <c r="AL126" s="123">
        <f t="shared" si="49"/>
        <v>0</v>
      </c>
      <c r="AM126" s="123">
        <f t="shared" si="49"/>
        <v>0</v>
      </c>
      <c r="AN126" s="123">
        <f t="shared" si="49"/>
        <v>0</v>
      </c>
      <c r="AO126" s="123">
        <f t="shared" si="49"/>
        <v>0</v>
      </c>
      <c r="AP126" s="123">
        <f>AP536</f>
        <v>0</v>
      </c>
    </row>
    <row r="127" spans="1:42" x14ac:dyDescent="0.2">
      <c r="A127" s="91" t="s">
        <v>4</v>
      </c>
      <c r="B127" s="124">
        <f>B542</f>
        <v>0</v>
      </c>
      <c r="C127" s="124">
        <f t="shared" ref="C127:AO127" si="50">C542</f>
        <v>0</v>
      </c>
      <c r="D127" s="124">
        <f t="shared" si="50"/>
        <v>0</v>
      </c>
      <c r="E127" s="124">
        <f t="shared" si="50"/>
        <v>0</v>
      </c>
      <c r="F127" s="124">
        <f t="shared" si="50"/>
        <v>0</v>
      </c>
      <c r="G127" s="124">
        <f t="shared" si="50"/>
        <v>0</v>
      </c>
      <c r="H127" s="124">
        <f t="shared" si="50"/>
        <v>0</v>
      </c>
      <c r="I127" s="124">
        <f t="shared" si="50"/>
        <v>0</v>
      </c>
      <c r="J127" s="124">
        <f t="shared" si="50"/>
        <v>0</v>
      </c>
      <c r="K127" s="124">
        <f t="shared" si="50"/>
        <v>0</v>
      </c>
      <c r="L127" s="124">
        <f t="shared" si="50"/>
        <v>0</v>
      </c>
      <c r="M127" s="124">
        <f t="shared" si="50"/>
        <v>0</v>
      </c>
      <c r="N127" s="124">
        <f t="shared" si="50"/>
        <v>0</v>
      </c>
      <c r="O127" s="124">
        <f t="shared" si="50"/>
        <v>0</v>
      </c>
      <c r="P127" s="124">
        <f t="shared" si="50"/>
        <v>0</v>
      </c>
      <c r="Q127" s="124">
        <f t="shared" si="50"/>
        <v>0</v>
      </c>
      <c r="R127" s="124">
        <f t="shared" si="50"/>
        <v>0</v>
      </c>
      <c r="S127" s="124">
        <f t="shared" si="50"/>
        <v>0</v>
      </c>
      <c r="T127" s="124">
        <f t="shared" si="50"/>
        <v>0</v>
      </c>
      <c r="U127" s="124">
        <f t="shared" si="50"/>
        <v>0</v>
      </c>
      <c r="V127" s="124">
        <f t="shared" si="50"/>
        <v>0</v>
      </c>
      <c r="W127" s="124">
        <f t="shared" si="50"/>
        <v>0</v>
      </c>
      <c r="X127" s="124">
        <f t="shared" si="50"/>
        <v>0</v>
      </c>
      <c r="Y127" s="124">
        <f t="shared" si="50"/>
        <v>0</v>
      </c>
      <c r="Z127" s="124">
        <f t="shared" si="50"/>
        <v>0</v>
      </c>
      <c r="AA127" s="124">
        <f t="shared" si="50"/>
        <v>0</v>
      </c>
      <c r="AB127" s="124">
        <f t="shared" si="50"/>
        <v>0</v>
      </c>
      <c r="AC127" s="124">
        <f t="shared" si="50"/>
        <v>0</v>
      </c>
      <c r="AD127" s="124">
        <f t="shared" si="50"/>
        <v>0</v>
      </c>
      <c r="AE127" s="124">
        <f t="shared" si="50"/>
        <v>0</v>
      </c>
      <c r="AF127" s="124">
        <f t="shared" si="50"/>
        <v>0</v>
      </c>
      <c r="AG127" s="124">
        <f t="shared" si="50"/>
        <v>0</v>
      </c>
      <c r="AH127" s="124">
        <f t="shared" si="50"/>
        <v>0</v>
      </c>
      <c r="AI127" s="124">
        <f t="shared" si="50"/>
        <v>0</v>
      </c>
      <c r="AJ127" s="124">
        <f t="shared" si="50"/>
        <v>0</v>
      </c>
      <c r="AK127" s="124">
        <f t="shared" si="50"/>
        <v>0</v>
      </c>
      <c r="AL127" s="124">
        <f t="shared" si="50"/>
        <v>0</v>
      </c>
      <c r="AM127" s="124">
        <f t="shared" si="50"/>
        <v>0</v>
      </c>
      <c r="AN127" s="124">
        <f t="shared" si="50"/>
        <v>0</v>
      </c>
      <c r="AO127" s="124">
        <f t="shared" si="50"/>
        <v>0</v>
      </c>
      <c r="AP127" s="124">
        <f>AP542</f>
        <v>0</v>
      </c>
    </row>
    <row r="128" spans="1:42" x14ac:dyDescent="0.2">
      <c r="A128" s="91" t="s">
        <v>13</v>
      </c>
      <c r="B128" s="123">
        <f>SUM(B126:B127)</f>
        <v>0</v>
      </c>
      <c r="C128" s="123">
        <f>SUM(C126:C127)</f>
        <v>0</v>
      </c>
      <c r="D128" s="123">
        <f>SUM(D126:D127)</f>
        <v>0</v>
      </c>
      <c r="E128" s="123">
        <f t="shared" ref="E128:AP128" si="51">SUM(E126:E127)</f>
        <v>0</v>
      </c>
      <c r="F128" s="123">
        <f t="shared" si="51"/>
        <v>0</v>
      </c>
      <c r="G128" s="123">
        <f t="shared" si="51"/>
        <v>0</v>
      </c>
      <c r="H128" s="123">
        <f t="shared" si="51"/>
        <v>0</v>
      </c>
      <c r="I128" s="123">
        <f t="shared" si="51"/>
        <v>0</v>
      </c>
      <c r="J128" s="123">
        <f t="shared" si="51"/>
        <v>0</v>
      </c>
      <c r="K128" s="123">
        <f t="shared" si="51"/>
        <v>0</v>
      </c>
      <c r="L128" s="123">
        <f t="shared" si="51"/>
        <v>0</v>
      </c>
      <c r="M128" s="123">
        <f t="shared" si="51"/>
        <v>0</v>
      </c>
      <c r="N128" s="123">
        <f t="shared" si="51"/>
        <v>0</v>
      </c>
      <c r="O128" s="123">
        <f t="shared" si="51"/>
        <v>0</v>
      </c>
      <c r="P128" s="123">
        <f t="shared" si="51"/>
        <v>0</v>
      </c>
      <c r="Q128" s="123">
        <f t="shared" si="51"/>
        <v>0</v>
      </c>
      <c r="R128" s="123">
        <f t="shared" si="51"/>
        <v>0</v>
      </c>
      <c r="S128" s="123">
        <f t="shared" si="51"/>
        <v>0</v>
      </c>
      <c r="T128" s="123">
        <f t="shared" si="51"/>
        <v>0</v>
      </c>
      <c r="U128" s="123">
        <f t="shared" si="51"/>
        <v>0</v>
      </c>
      <c r="V128" s="123">
        <f t="shared" si="51"/>
        <v>0</v>
      </c>
      <c r="W128" s="123">
        <f t="shared" si="51"/>
        <v>0</v>
      </c>
      <c r="X128" s="123">
        <f t="shared" si="51"/>
        <v>0</v>
      </c>
      <c r="Y128" s="123">
        <f t="shared" si="51"/>
        <v>0</v>
      </c>
      <c r="Z128" s="123">
        <f t="shared" si="51"/>
        <v>0</v>
      </c>
      <c r="AA128" s="123">
        <f t="shared" si="51"/>
        <v>0</v>
      </c>
      <c r="AB128" s="123">
        <f t="shared" si="51"/>
        <v>0</v>
      </c>
      <c r="AC128" s="123">
        <f t="shared" si="51"/>
        <v>0</v>
      </c>
      <c r="AD128" s="123">
        <f t="shared" si="51"/>
        <v>0</v>
      </c>
      <c r="AE128" s="123">
        <f t="shared" si="51"/>
        <v>0</v>
      </c>
      <c r="AF128" s="123">
        <f t="shared" si="51"/>
        <v>0</v>
      </c>
      <c r="AG128" s="123">
        <f t="shared" si="51"/>
        <v>0</v>
      </c>
      <c r="AH128" s="123">
        <f t="shared" si="51"/>
        <v>0</v>
      </c>
      <c r="AI128" s="123">
        <f t="shared" si="51"/>
        <v>0</v>
      </c>
      <c r="AJ128" s="123">
        <f t="shared" si="51"/>
        <v>0</v>
      </c>
      <c r="AK128" s="123">
        <f t="shared" si="51"/>
        <v>0</v>
      </c>
      <c r="AL128" s="123">
        <f t="shared" si="51"/>
        <v>0</v>
      </c>
      <c r="AM128" s="123">
        <f t="shared" si="51"/>
        <v>0</v>
      </c>
      <c r="AN128" s="123">
        <f t="shared" si="51"/>
        <v>0</v>
      </c>
      <c r="AO128" s="123">
        <f t="shared" si="51"/>
        <v>0</v>
      </c>
      <c r="AP128" s="123">
        <f t="shared" si="51"/>
        <v>0</v>
      </c>
    </row>
    <row r="129" spans="1:42" x14ac:dyDescent="0.2">
      <c r="A129" s="90" t="s">
        <v>80</v>
      </c>
    </row>
    <row r="130" spans="1:42" x14ac:dyDescent="0.2">
      <c r="A130" s="91" t="s">
        <v>5</v>
      </c>
      <c r="B130" s="123">
        <f>B200</f>
        <v>0</v>
      </c>
      <c r="C130" s="123">
        <f>C200</f>
        <v>912599.8858188208</v>
      </c>
      <c r="D130" s="123">
        <f t="shared" ref="D130:AP130" si="52">D200</f>
        <v>1653538.9343502996</v>
      </c>
      <c r="E130" s="123">
        <f t="shared" si="52"/>
        <v>865660.98138150456</v>
      </c>
      <c r="F130" s="123">
        <f t="shared" si="52"/>
        <v>389321.18298118695</v>
      </c>
      <c r="G130" s="123">
        <f t="shared" si="52"/>
        <v>380308.07404929487</v>
      </c>
      <c r="H130" s="123">
        <f t="shared" si="52"/>
        <v>20553.962329662787</v>
      </c>
      <c r="I130" s="123">
        <f t="shared" si="52"/>
        <v>-339000.16701811284</v>
      </c>
      <c r="J130" s="123">
        <f t="shared" si="52"/>
        <v>-347818.0312414089</v>
      </c>
      <c r="K130" s="123">
        <f t="shared" si="52"/>
        <v>-356881.89523448527</v>
      </c>
      <c r="L130" s="123">
        <f t="shared" si="52"/>
        <v>-366237.24047225056</v>
      </c>
      <c r="M130" s="123">
        <f t="shared" si="52"/>
        <v>-375845.66557674372</v>
      </c>
      <c r="N130" s="123">
        <f t="shared" si="52"/>
        <v>-385783.76231468818</v>
      </c>
      <c r="O130" s="123">
        <f t="shared" si="52"/>
        <v>-395954.83264577156</v>
      </c>
      <c r="P130" s="123">
        <f t="shared" si="52"/>
        <v>-406496.55626118137</v>
      </c>
      <c r="Q130" s="123">
        <f t="shared" si="52"/>
        <v>-219487.32491004505</v>
      </c>
      <c r="R130" s="123">
        <f t="shared" si="52"/>
        <v>-110072.66935340389</v>
      </c>
      <c r="S130" s="123">
        <f t="shared" si="52"/>
        <v>-259521.40736702093</v>
      </c>
      <c r="T130" s="123">
        <f t="shared" si="52"/>
        <v>-348619.13864574005</v>
      </c>
      <c r="U130" s="123">
        <f t="shared" si="52"/>
        <v>-359874.42126348749</v>
      </c>
      <c r="V130" s="123">
        <f t="shared" si="52"/>
        <v>-415987.20974200754</v>
      </c>
      <c r="W130" s="123">
        <f t="shared" si="52"/>
        <v>-477981.00056469912</v>
      </c>
      <c r="X130" s="123">
        <f t="shared" si="52"/>
        <v>-482915.53120366024</v>
      </c>
      <c r="Y130" s="123">
        <f t="shared" si="52"/>
        <v>-481791.98448375182</v>
      </c>
      <c r="Z130" s="123">
        <f t="shared" si="52"/>
        <v>-480575.70409584552</v>
      </c>
      <c r="AA130" s="123">
        <f t="shared" si="52"/>
        <v>-479262.55169824167</v>
      </c>
      <c r="AB130" s="123">
        <f t="shared" si="52"/>
        <v>0</v>
      </c>
      <c r="AC130" s="123">
        <f t="shared" si="52"/>
        <v>0</v>
      </c>
      <c r="AD130" s="123">
        <f t="shared" si="52"/>
        <v>0</v>
      </c>
      <c r="AE130" s="123">
        <f t="shared" si="52"/>
        <v>0</v>
      </c>
      <c r="AF130" s="123">
        <f t="shared" si="52"/>
        <v>0</v>
      </c>
      <c r="AG130" s="123">
        <f t="shared" si="52"/>
        <v>0</v>
      </c>
      <c r="AH130" s="123">
        <f t="shared" si="52"/>
        <v>0</v>
      </c>
      <c r="AI130" s="123">
        <f t="shared" si="52"/>
        <v>0</v>
      </c>
      <c r="AJ130" s="123">
        <f t="shared" si="52"/>
        <v>0</v>
      </c>
      <c r="AK130" s="123">
        <f t="shared" si="52"/>
        <v>0</v>
      </c>
      <c r="AL130" s="123">
        <f t="shared" si="52"/>
        <v>0</v>
      </c>
      <c r="AM130" s="123">
        <f t="shared" si="52"/>
        <v>0</v>
      </c>
      <c r="AN130" s="123">
        <f t="shared" si="52"/>
        <v>0</v>
      </c>
      <c r="AO130" s="123">
        <f t="shared" si="52"/>
        <v>0</v>
      </c>
      <c r="AP130" s="123">
        <f t="shared" si="52"/>
        <v>0</v>
      </c>
    </row>
    <row r="131" spans="1:42" x14ac:dyDescent="0.2">
      <c r="A131" s="91" t="s">
        <v>4</v>
      </c>
      <c r="B131" s="123">
        <f>B240</f>
        <v>0</v>
      </c>
      <c r="C131" s="123">
        <f>C240</f>
        <v>2546153.6814345103</v>
      </c>
      <c r="D131" s="123">
        <f t="shared" ref="D131:AP131" si="53">D240</f>
        <v>4613373.6268373355</v>
      </c>
      <c r="E131" s="123">
        <f t="shared" si="53"/>
        <v>2415194.1380543979</v>
      </c>
      <c r="F131" s="123">
        <f t="shared" si="53"/>
        <v>1086206.1005175118</v>
      </c>
      <c r="G131" s="123">
        <f t="shared" si="53"/>
        <v>1061059.5265975327</v>
      </c>
      <c r="H131" s="123">
        <f t="shared" si="53"/>
        <v>57345.554899759169</v>
      </c>
      <c r="I131" s="123">
        <f t="shared" si="53"/>
        <v>-945810.46598053491</v>
      </c>
      <c r="J131" s="123">
        <f t="shared" si="53"/>
        <v>-970412.30716353073</v>
      </c>
      <c r="K131" s="123">
        <f t="shared" si="53"/>
        <v>-995700.48770421383</v>
      </c>
      <c r="L131" s="123">
        <f t="shared" si="53"/>
        <v>-1021801.9009175791</v>
      </c>
      <c r="M131" s="123">
        <f t="shared" si="53"/>
        <v>-1048609.4069591148</v>
      </c>
      <c r="N131" s="123">
        <f t="shared" si="53"/>
        <v>-1076336.69685798</v>
      </c>
      <c r="O131" s="123">
        <f t="shared" si="53"/>
        <v>-1104713.9830817026</v>
      </c>
      <c r="P131" s="123">
        <f t="shared" si="53"/>
        <v>-1134125.3919686961</v>
      </c>
      <c r="Q131" s="123">
        <f t="shared" si="53"/>
        <v>-612369.63649902563</v>
      </c>
      <c r="R131" s="123">
        <f t="shared" si="53"/>
        <v>-307102.74749599694</v>
      </c>
      <c r="S131" s="123">
        <f t="shared" si="53"/>
        <v>-724064.72655398841</v>
      </c>
      <c r="T131" s="123">
        <f t="shared" si="53"/>
        <v>-972647.39682161482</v>
      </c>
      <c r="U131" s="123">
        <f t="shared" si="53"/>
        <v>-1004049.6353251302</v>
      </c>
      <c r="V131" s="123">
        <f t="shared" si="53"/>
        <v>-1160604.3151802011</v>
      </c>
      <c r="W131" s="123">
        <f t="shared" si="53"/>
        <v>-1333566.9915755105</v>
      </c>
      <c r="X131" s="123">
        <f t="shared" si="53"/>
        <v>-1347334.3320582123</v>
      </c>
      <c r="Y131" s="123">
        <f t="shared" si="53"/>
        <v>-1344199.6367096677</v>
      </c>
      <c r="Z131" s="123">
        <f t="shared" si="53"/>
        <v>-1340806.2144274092</v>
      </c>
      <c r="AA131" s="123">
        <f t="shared" si="53"/>
        <v>-1337142.5192380943</v>
      </c>
      <c r="AB131" s="123">
        <f t="shared" si="53"/>
        <v>0</v>
      </c>
      <c r="AC131" s="123">
        <f t="shared" si="53"/>
        <v>0</v>
      </c>
      <c r="AD131" s="123">
        <f t="shared" si="53"/>
        <v>0</v>
      </c>
      <c r="AE131" s="123">
        <f t="shared" si="53"/>
        <v>0</v>
      </c>
      <c r="AF131" s="123">
        <f t="shared" si="53"/>
        <v>0</v>
      </c>
      <c r="AG131" s="123">
        <f t="shared" si="53"/>
        <v>0</v>
      </c>
      <c r="AH131" s="123">
        <f t="shared" si="53"/>
        <v>0</v>
      </c>
      <c r="AI131" s="123">
        <f t="shared" si="53"/>
        <v>0</v>
      </c>
      <c r="AJ131" s="123">
        <f t="shared" si="53"/>
        <v>0</v>
      </c>
      <c r="AK131" s="123">
        <f t="shared" si="53"/>
        <v>0</v>
      </c>
      <c r="AL131" s="123">
        <f t="shared" si="53"/>
        <v>0</v>
      </c>
      <c r="AM131" s="123">
        <f t="shared" si="53"/>
        <v>0</v>
      </c>
      <c r="AN131" s="123">
        <f t="shared" si="53"/>
        <v>0</v>
      </c>
      <c r="AO131" s="123">
        <f t="shared" si="53"/>
        <v>0</v>
      </c>
      <c r="AP131" s="123">
        <f t="shared" si="53"/>
        <v>0</v>
      </c>
    </row>
    <row r="132" spans="1:42" x14ac:dyDescent="0.2">
      <c r="A132" s="91" t="s">
        <v>13</v>
      </c>
      <c r="B132" s="123">
        <f>SUM(B130:B131)</f>
        <v>0</v>
      </c>
      <c r="C132" s="123">
        <f>SUM(C130:C131)</f>
        <v>3458753.5672533312</v>
      </c>
      <c r="D132" s="123">
        <f>SUM(D130:D131)</f>
        <v>6266912.5611876352</v>
      </c>
      <c r="E132" s="123">
        <f t="shared" ref="E132:AP132" si="54">SUM(E130:E131)</f>
        <v>3280855.1194359027</v>
      </c>
      <c r="F132" s="123">
        <f t="shared" si="54"/>
        <v>1475527.2834986988</v>
      </c>
      <c r="G132" s="123">
        <f t="shared" si="54"/>
        <v>1441367.6006468276</v>
      </c>
      <c r="H132" s="123">
        <f t="shared" si="54"/>
        <v>77899.517229421952</v>
      </c>
      <c r="I132" s="123">
        <f t="shared" si="54"/>
        <v>-1284810.6329986476</v>
      </c>
      <c r="J132" s="123">
        <f t="shared" si="54"/>
        <v>-1318230.3384049395</v>
      </c>
      <c r="K132" s="123">
        <f t="shared" si="54"/>
        <v>-1352582.3829386991</v>
      </c>
      <c r="L132" s="123">
        <f t="shared" si="54"/>
        <v>-1388039.1413898296</v>
      </c>
      <c r="M132" s="123">
        <f t="shared" si="54"/>
        <v>-1424455.0725358585</v>
      </c>
      <c r="N132" s="123">
        <f t="shared" si="54"/>
        <v>-1462120.4591726682</v>
      </c>
      <c r="O132" s="123">
        <f t="shared" si="54"/>
        <v>-1500668.8157274742</v>
      </c>
      <c r="P132" s="123">
        <f t="shared" si="54"/>
        <v>-1540621.9482298775</v>
      </c>
      <c r="Q132" s="123">
        <f t="shared" si="54"/>
        <v>-831856.96140907065</v>
      </c>
      <c r="R132" s="123">
        <f t="shared" si="54"/>
        <v>-417175.41684940085</v>
      </c>
      <c r="S132" s="123">
        <f t="shared" si="54"/>
        <v>-983586.13392100937</v>
      </c>
      <c r="T132" s="123">
        <f t="shared" si="54"/>
        <v>-1321266.5354673548</v>
      </c>
      <c r="U132" s="123">
        <f t="shared" si="54"/>
        <v>-1363924.0565886176</v>
      </c>
      <c r="V132" s="123">
        <f t="shared" si="54"/>
        <v>-1576591.5249222086</v>
      </c>
      <c r="W132" s="123">
        <f t="shared" si="54"/>
        <v>-1811547.9921402095</v>
      </c>
      <c r="X132" s="123">
        <f t="shared" si="54"/>
        <v>-1830249.8632618724</v>
      </c>
      <c r="Y132" s="123">
        <f t="shared" si="54"/>
        <v>-1825991.6211934197</v>
      </c>
      <c r="Z132" s="123">
        <f t="shared" si="54"/>
        <v>-1821381.9185232548</v>
      </c>
      <c r="AA132" s="123">
        <f t="shared" si="54"/>
        <v>-1816405.0709363359</v>
      </c>
      <c r="AB132" s="123">
        <f t="shared" si="54"/>
        <v>0</v>
      </c>
      <c r="AC132" s="123">
        <f t="shared" si="54"/>
        <v>0</v>
      </c>
      <c r="AD132" s="123">
        <f t="shared" si="54"/>
        <v>0</v>
      </c>
      <c r="AE132" s="123">
        <f t="shared" si="54"/>
        <v>0</v>
      </c>
      <c r="AF132" s="123">
        <f t="shared" si="54"/>
        <v>0</v>
      </c>
      <c r="AG132" s="123">
        <f t="shared" si="54"/>
        <v>0</v>
      </c>
      <c r="AH132" s="123">
        <f t="shared" si="54"/>
        <v>0</v>
      </c>
      <c r="AI132" s="123">
        <f t="shared" si="54"/>
        <v>0</v>
      </c>
      <c r="AJ132" s="123">
        <f t="shared" si="54"/>
        <v>0</v>
      </c>
      <c r="AK132" s="123">
        <f t="shared" si="54"/>
        <v>0</v>
      </c>
      <c r="AL132" s="123">
        <f t="shared" si="54"/>
        <v>0</v>
      </c>
      <c r="AM132" s="123">
        <f t="shared" si="54"/>
        <v>0</v>
      </c>
      <c r="AN132" s="123">
        <f t="shared" si="54"/>
        <v>0</v>
      </c>
      <c r="AO132" s="123">
        <f t="shared" si="54"/>
        <v>0</v>
      </c>
      <c r="AP132" s="123">
        <f t="shared" si="54"/>
        <v>0</v>
      </c>
    </row>
    <row r="133" spans="1:42" x14ac:dyDescent="0.2">
      <c r="A133" s="213" t="s">
        <v>13</v>
      </c>
      <c r="B133" s="141">
        <f t="shared" ref="B133:AP133" si="55">B118+B124+B128+B132</f>
        <v>-53756985.2015149</v>
      </c>
      <c r="C133" s="141">
        <f t="shared" si="55"/>
        <v>35558259.8240266</v>
      </c>
      <c r="D133" s="141">
        <f t="shared" si="55"/>
        <v>7690240.8305715825</v>
      </c>
      <c r="E133" s="141">
        <f t="shared" si="55"/>
        <v>4716884.1597478352</v>
      </c>
      <c r="F133" s="141">
        <f t="shared" si="55"/>
        <v>2924085.3253023205</v>
      </c>
      <c r="G133" s="141">
        <f t="shared" si="55"/>
        <v>2902272.7901045466</v>
      </c>
      <c r="H133" s="141">
        <f t="shared" si="55"/>
        <v>1550966.4558288641</v>
      </c>
      <c r="I133" s="141">
        <f t="shared" si="55"/>
        <v>200229.09764617728</v>
      </c>
      <c r="J133" s="141">
        <f t="shared" si="55"/>
        <v>178585.03466344345</v>
      </c>
      <c r="K133" s="141">
        <f t="shared" si="55"/>
        <v>155805.19980240962</v>
      </c>
      <c r="L133" s="141">
        <f t="shared" si="55"/>
        <v>131713.21970824944</v>
      </c>
      <c r="M133" s="141">
        <f t="shared" si="55"/>
        <v>106448.29628976993</v>
      </c>
      <c r="N133" s="141">
        <f t="shared" si="55"/>
        <v>79711.089662279701</v>
      </c>
      <c r="O133" s="141">
        <f t="shared" si="55"/>
        <v>51863.745484449901</v>
      </c>
      <c r="P133" s="141">
        <f t="shared" si="55"/>
        <v>22377.251680103363</v>
      </c>
      <c r="Q133" s="141">
        <f t="shared" si="55"/>
        <v>379064.50200499862</v>
      </c>
      <c r="R133" s="141">
        <f t="shared" si="55"/>
        <v>1211313.3921287954</v>
      </c>
      <c r="S133" s="141">
        <f t="shared" si="55"/>
        <v>642848.35950279527</v>
      </c>
      <c r="T133" s="141">
        <f t="shared" si="55"/>
        <v>2966186.289465121</v>
      </c>
      <c r="U133" s="141">
        <f t="shared" si="55"/>
        <v>5546136.0663731284</v>
      </c>
      <c r="V133" s="141">
        <f t="shared" si="55"/>
        <v>5320475.8511135811</v>
      </c>
      <c r="W133" s="141">
        <f t="shared" si="55"/>
        <v>5071275.3182964753</v>
      </c>
      <c r="X133" s="141">
        <f t="shared" si="55"/>
        <v>5037051.2799357288</v>
      </c>
      <c r="Y133" s="141">
        <f t="shared" si="55"/>
        <v>5024471.5505841225</v>
      </c>
      <c r="Z133" s="141">
        <f t="shared" si="55"/>
        <v>5010898.8325487254</v>
      </c>
      <c r="AA133" s="141">
        <f t="shared" si="55"/>
        <v>6386747.2726540584</v>
      </c>
      <c r="AB133" s="141">
        <f t="shared" si="55"/>
        <v>0</v>
      </c>
      <c r="AC133" s="141">
        <f t="shared" si="55"/>
        <v>0</v>
      </c>
      <c r="AD133" s="141">
        <f t="shared" si="55"/>
        <v>0</v>
      </c>
      <c r="AE133" s="141">
        <f t="shared" si="55"/>
        <v>0</v>
      </c>
      <c r="AF133" s="141">
        <f t="shared" si="55"/>
        <v>0</v>
      </c>
      <c r="AG133" s="141">
        <f t="shared" si="55"/>
        <v>0</v>
      </c>
      <c r="AH133" s="141">
        <f t="shared" si="55"/>
        <v>0</v>
      </c>
      <c r="AI133" s="141">
        <f t="shared" si="55"/>
        <v>0</v>
      </c>
      <c r="AJ133" s="141">
        <f t="shared" si="55"/>
        <v>0</v>
      </c>
      <c r="AK133" s="141">
        <f t="shared" si="55"/>
        <v>0</v>
      </c>
      <c r="AL133" s="141">
        <f t="shared" si="55"/>
        <v>0</v>
      </c>
      <c r="AM133" s="141">
        <f t="shared" si="55"/>
        <v>0</v>
      </c>
      <c r="AN133" s="141">
        <f t="shared" si="55"/>
        <v>0</v>
      </c>
      <c r="AO133" s="141">
        <f t="shared" si="55"/>
        <v>0</v>
      </c>
      <c r="AP133" s="141">
        <f t="shared" si="55"/>
        <v>0</v>
      </c>
    </row>
    <row r="134" spans="1:42" x14ac:dyDescent="0.2">
      <c r="A134" s="90"/>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row>
    <row r="135" spans="1:42" x14ac:dyDescent="0.2">
      <c r="A135" s="84" t="s">
        <v>227</v>
      </c>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row>
    <row r="136" spans="1:42" x14ac:dyDescent="0.2">
      <c r="A136" s="91"/>
    </row>
    <row r="137" spans="1:42" x14ac:dyDescent="0.2">
      <c r="A137" s="90" t="s">
        <v>211</v>
      </c>
      <c r="B137" s="101"/>
      <c r="C137" s="101">
        <f>IF(ISERROR(IRR($B133:C133)),"NaN",ROUND(IRR($B133:C133)*100,4))</f>
        <v>-33.853700000000003</v>
      </c>
      <c r="D137" s="101">
        <f>IF(ISERROR(IRR($B133:D133)),"NaN",ROUND(IRR($B133:D133)*100,4))</f>
        <v>-16.683499999999999</v>
      </c>
      <c r="E137" s="101">
        <f>IF(ISERROR(IRR($B133:E133)),"NaN",ROUND(IRR($B133:E133)*100,4))</f>
        <v>-7.9550999999999998</v>
      </c>
      <c r="F137" s="101">
        <f>IF(ISERROR(IRR($B133:F133)),"NaN",ROUND(IRR($B133:F133)*100,4))</f>
        <v>-3.5350000000000001</v>
      </c>
      <c r="G137" s="101">
        <f>IF(ISERROR(IRR($B133:G133)),"NaN",ROUND(IRR($B133:G133)*100,4))</f>
        <v>3.8100000000000002E-2</v>
      </c>
      <c r="H137" s="101">
        <f>IF(ISERROR(IRR($B133:H133)),"NaN",ROUND(IRR($B133:H133)*100,4))</f>
        <v>1.6252</v>
      </c>
      <c r="I137" s="101">
        <f>IF(ISERROR(IRR($B133:I133)),"NaN",ROUND(IRR($B133:I133)*100,4))</f>
        <v>1.8125</v>
      </c>
      <c r="J137" s="101">
        <f>IF(ISERROR(IRR($B133:J133)),"NaN",ROUND(IRR($B133:J133)*100,4))</f>
        <v>1.9734</v>
      </c>
      <c r="K137" s="101">
        <f>IF(ISERROR(IRR($B133:K133)),"NaN",ROUND(IRR($B133:K133)*100,4))</f>
        <v>2.1084999999999998</v>
      </c>
      <c r="L137" s="101">
        <f>IF(ISERROR(IRR($B133:L133)),"NaN",ROUND(IRR($B133:L133)*100,4))</f>
        <v>2.2183999999999999</v>
      </c>
      <c r="M137" s="101">
        <f>IF(ISERROR(IRR($B133:M133)),"NaN",ROUND(IRR($B133:M133)*100,4))</f>
        <v>2.3039000000000001</v>
      </c>
      <c r="N137" s="101">
        <f>IF(ISERROR(IRR($B133:N133)),"NaN",ROUND(IRR($B133:N133)*100,4))</f>
        <v>2.3656000000000001</v>
      </c>
      <c r="O137" s="101">
        <f>IF(ISERROR(IRR($B133:O133)),"NaN",ROUND(IRR($B133:O133)*100,4))</f>
        <v>2.4045000000000001</v>
      </c>
      <c r="P137" s="101">
        <f>IF(ISERROR(IRR($B133:P133)),"NaN",ROUND(IRR($B133:P133)*100,4))</f>
        <v>2.4207000000000001</v>
      </c>
      <c r="Q137" s="101">
        <f>IF(ISERROR(IRR($B133:Q133)),"NaN",ROUND(IRR($B133:Q133)*100,4))</f>
        <v>2.6806000000000001</v>
      </c>
      <c r="R137" s="101">
        <f>IF(ISERROR(IRR($B133:R133)),"NaN",ROUND(IRR($B133:R133)*100,4))</f>
        <v>3.3932000000000002</v>
      </c>
      <c r="S137" s="101">
        <f>IF(ISERROR(IRR($B133:S133)),"NaN",ROUND(IRR($B133:S133)*100,4))</f>
        <v>3.7130999999999998</v>
      </c>
      <c r="T137" s="101">
        <f>IF(ISERROR(IRR($B133:T133)),"NaN",ROUND(IRR($B133:T133)*100,4))</f>
        <v>4.8693999999999997</v>
      </c>
      <c r="U137" s="101">
        <f>IF(ISERROR(IRR($B133:U133)),"NaN",ROUND(IRR($B133:U133)*100,4))</f>
        <v>6.3116000000000003</v>
      </c>
      <c r="V137" s="101">
        <f>IF(ISERROR(IRR($B133:V133)),"NaN",ROUND(IRR($B133:V133)*100,4))</f>
        <v>7.2572999999999999</v>
      </c>
      <c r="W137" s="101">
        <f>IF(ISERROR(IRR($B133:W133)),"NaN",ROUND(IRR($B133:W133)*100,4))</f>
        <v>7.9311999999999996</v>
      </c>
      <c r="X137" s="101">
        <f>IF(ISERROR(IRR($B133:X133)),"NaN",ROUND(IRR($B133:X133)*100,4))</f>
        <v>8.4550000000000001</v>
      </c>
      <c r="Y137" s="101">
        <f>IF(ISERROR(IRR($B133:Y133)),"NaN",ROUND(IRR($B133:Y133)*100,4))</f>
        <v>8.8747000000000007</v>
      </c>
      <c r="Z137" s="101">
        <f>IF(ISERROR(IRR($B133:Z133)),"NaN",ROUND(IRR($B133:Z133)*100,4))</f>
        <v>9.2171000000000003</v>
      </c>
      <c r="AA137" s="101">
        <f>IF(ISERROR(IRR($B133:AA133)),"NaN",ROUND(IRR($B133:AA133)*100,4))</f>
        <v>9.5747</v>
      </c>
      <c r="AB137" s="101">
        <f>IF(ISERROR(IRR($B133:AB133)),"NaN",ROUND(IRR($B133:AB133)*100,4))</f>
        <v>9.5747</v>
      </c>
      <c r="AC137" s="101">
        <f>IF(ISERROR(IRR($B133:AC133)),"NaN",ROUND(IRR($B133:AC133)*100,4))</f>
        <v>9.5747</v>
      </c>
      <c r="AD137" s="101">
        <f>IF(ISERROR(IRR($B133:AD133)),"NaN",ROUND(IRR($B133:AD133)*100,4))</f>
        <v>9.5747</v>
      </c>
      <c r="AE137" s="101">
        <f>IF(ISERROR(IRR($B133:AE133)),"NaN",ROUND(IRR($B133:AE133)*100,4))</f>
        <v>9.5747</v>
      </c>
      <c r="AF137" s="101">
        <f>IF(ISERROR(IRR($B133:AF133)),"NaN",ROUND(IRR($B133:AF133)*100,4))</f>
        <v>9.5747</v>
      </c>
      <c r="AG137" s="101">
        <f>IF(ISERROR(IRR($B133:AG133)),"NaN",ROUND(IRR($B133:AG133)*100,4))</f>
        <v>9.5747</v>
      </c>
      <c r="AH137" s="101">
        <f>IF(ISERROR(IRR($B133:AH133)),"NaN",ROUND(IRR($B133:AH133)*100,4))</f>
        <v>9.5747</v>
      </c>
      <c r="AI137" s="101">
        <f>IF(ISERROR(IRR($B133:AI133)),"NaN",ROUND(IRR($B133:AI133)*100,4))</f>
        <v>9.5747</v>
      </c>
      <c r="AJ137" s="101">
        <f>IF(ISERROR(IRR($B133:AJ133)),"NaN",ROUND(IRR($B133:AJ133)*100,4))</f>
        <v>9.5747</v>
      </c>
      <c r="AK137" s="101">
        <f>IF(ISERROR(IRR($B133:AK133)),"NaN",ROUND(IRR($B133:AK133)*100,4))</f>
        <v>9.5747</v>
      </c>
      <c r="AL137" s="101">
        <f>IF(ISERROR(IRR($B133:AL133)),"NaN",ROUND(IRR($B133:AL133)*100,4))</f>
        <v>9.5747</v>
      </c>
      <c r="AM137" s="101">
        <f>IF(ISERROR(IRR($B133:AM133)),"NaN",ROUND(IRR($B133:AM133)*100,4))</f>
        <v>9.5747</v>
      </c>
      <c r="AN137" s="101">
        <f>IF(ISERROR(IRR($B133:AN133)),"NaN",ROUND(IRR($B133:AN133)*100,4))</f>
        <v>9.5747</v>
      </c>
      <c r="AO137" s="101">
        <f>IF(ISERROR(IRR($B133:AO133)),"NaN",ROUND(IRR($B133:AO133)*100,4))</f>
        <v>9.5747</v>
      </c>
      <c r="AP137" s="101">
        <f>IF(ISERROR(IRR($B133:AP133)),"NaN",ROUND(IRR($B133:AP133)*100,4))</f>
        <v>9.5747</v>
      </c>
    </row>
    <row r="138" spans="1:42" x14ac:dyDescent="0.2">
      <c r="A138" s="22" t="s">
        <v>8</v>
      </c>
      <c r="B138" s="101"/>
      <c r="C138" s="101">
        <f>MAX($B$137:C137)</f>
        <v>-33.853700000000003</v>
      </c>
      <c r="D138" s="101">
        <f>MAX($B$137:D137)</f>
        <v>-16.683499999999999</v>
      </c>
      <c r="E138" s="101">
        <f>MAX($B$137:E137)</f>
        <v>-7.9550999999999998</v>
      </c>
      <c r="F138" s="101">
        <f>MAX($B$137:F137)</f>
        <v>-3.5350000000000001</v>
      </c>
      <c r="G138" s="101">
        <f>MAX($B$137:G137)</f>
        <v>3.8100000000000002E-2</v>
      </c>
      <c r="H138" s="101">
        <f>MAX($B$137:H137)</f>
        <v>1.6252</v>
      </c>
      <c r="I138" s="101">
        <f>MAX($B$137:I137)</f>
        <v>1.8125</v>
      </c>
      <c r="J138" s="101">
        <f>MAX($B$137:J137)</f>
        <v>1.9734</v>
      </c>
      <c r="K138" s="101">
        <f>MAX($B$137:K137)</f>
        <v>2.1084999999999998</v>
      </c>
      <c r="L138" s="101">
        <f>MAX($B$137:L137)</f>
        <v>2.2183999999999999</v>
      </c>
      <c r="M138" s="101">
        <f>MAX($B$137:M137)</f>
        <v>2.3039000000000001</v>
      </c>
      <c r="N138" s="101">
        <f>MAX($B$137:N137)</f>
        <v>2.3656000000000001</v>
      </c>
      <c r="O138" s="101">
        <f>MAX($B$137:O137)</f>
        <v>2.4045000000000001</v>
      </c>
      <c r="P138" s="101">
        <f>MAX($B$137:P137)</f>
        <v>2.4207000000000001</v>
      </c>
      <c r="Q138" s="101">
        <f>MAX($B$137:Q137)</f>
        <v>2.6806000000000001</v>
      </c>
      <c r="R138" s="101">
        <f>MAX($B$137:R137)</f>
        <v>3.3932000000000002</v>
      </c>
      <c r="S138" s="101">
        <f>MAX($B$137:S137)</f>
        <v>3.7130999999999998</v>
      </c>
      <c r="T138" s="101">
        <f>MAX($B$137:T137)</f>
        <v>4.8693999999999997</v>
      </c>
      <c r="U138" s="101">
        <f>MAX($B$137:U137)</f>
        <v>6.3116000000000003</v>
      </c>
      <c r="V138" s="101">
        <f>MAX($B$137:V137)</f>
        <v>7.2572999999999999</v>
      </c>
      <c r="W138" s="101">
        <f>MAX($B$137:W137)</f>
        <v>7.9311999999999996</v>
      </c>
      <c r="X138" s="101">
        <f>MAX($B$137:X137)</f>
        <v>8.4550000000000001</v>
      </c>
      <c r="Y138" s="101">
        <f>MAX($B$137:Y137)</f>
        <v>8.8747000000000007</v>
      </c>
      <c r="Z138" s="101">
        <f>MAX($B$137:Z137)</f>
        <v>9.2171000000000003</v>
      </c>
      <c r="AA138" s="101">
        <f>MAX($B$137:AA137)</f>
        <v>9.5747</v>
      </c>
      <c r="AB138" s="101">
        <f>MAX($B$137:AB137)</f>
        <v>9.5747</v>
      </c>
      <c r="AC138" s="101">
        <f>MAX($B$137:AC137)</f>
        <v>9.5747</v>
      </c>
      <c r="AD138" s="101">
        <f>MAX($B$137:AD137)</f>
        <v>9.5747</v>
      </c>
      <c r="AE138" s="101">
        <f>MAX($B$137:AE137)</f>
        <v>9.5747</v>
      </c>
      <c r="AF138" s="101">
        <f>MAX($B$137:AF137)</f>
        <v>9.5747</v>
      </c>
      <c r="AG138" s="101">
        <f>MAX($B$137:AG137)</f>
        <v>9.5747</v>
      </c>
      <c r="AH138" s="101">
        <f>MAX($B$137:AH137)</f>
        <v>9.5747</v>
      </c>
      <c r="AI138" s="101">
        <f>MAX($B$137:AI137)</f>
        <v>9.5747</v>
      </c>
      <c r="AJ138" s="101">
        <f>MAX($B$137:AJ137)</f>
        <v>9.5747</v>
      </c>
      <c r="AK138" s="101">
        <f>MAX($B$137:AK137)</f>
        <v>9.5747</v>
      </c>
      <c r="AL138" s="101">
        <f>MAX($B$137:AL137)</f>
        <v>9.5747</v>
      </c>
      <c r="AM138" s="101">
        <f>MAX($B$137:AM137)</f>
        <v>9.5747</v>
      </c>
      <c r="AN138" s="101">
        <f>MAX($B$137:AN137)</f>
        <v>9.5747</v>
      </c>
      <c r="AO138" s="101">
        <f>MAX($B$137:AO137)</f>
        <v>9.5747</v>
      </c>
      <c r="AP138" s="101">
        <f>MAX($B$137:AP137)</f>
        <v>9.5747</v>
      </c>
    </row>
    <row r="139" spans="1:42" x14ac:dyDescent="0.2">
      <c r="A139" s="90" t="s">
        <v>212</v>
      </c>
      <c r="B139" s="159">
        <f>SUM(C139:AP139)</f>
        <v>20</v>
      </c>
      <c r="C139" s="156">
        <f t="shared" ref="C139:AP139" si="56">IF(IRRTarget="N/A",IF(C$2=flip_target_year,C$2,0),IF(AND(B138&lt;IRRTarget,C138&gt;=IRRTarget),C$2,0))</f>
        <v>0</v>
      </c>
      <c r="D139" s="156">
        <f t="shared" si="56"/>
        <v>0</v>
      </c>
      <c r="E139" s="156">
        <f t="shared" si="56"/>
        <v>0</v>
      </c>
      <c r="F139" s="156">
        <f t="shared" si="56"/>
        <v>0</v>
      </c>
      <c r="G139" s="156">
        <f t="shared" si="56"/>
        <v>0</v>
      </c>
      <c r="H139" s="156">
        <f t="shared" si="56"/>
        <v>0</v>
      </c>
      <c r="I139" s="156">
        <f t="shared" si="56"/>
        <v>0</v>
      </c>
      <c r="J139" s="156">
        <f t="shared" si="56"/>
        <v>0</v>
      </c>
      <c r="K139" s="156">
        <f t="shared" si="56"/>
        <v>0</v>
      </c>
      <c r="L139" s="156">
        <f t="shared" si="56"/>
        <v>0</v>
      </c>
      <c r="M139" s="156">
        <f t="shared" si="56"/>
        <v>0</v>
      </c>
      <c r="N139" s="156">
        <f t="shared" si="56"/>
        <v>0</v>
      </c>
      <c r="O139" s="156">
        <f t="shared" si="56"/>
        <v>0</v>
      </c>
      <c r="P139" s="156">
        <f t="shared" si="56"/>
        <v>0</v>
      </c>
      <c r="Q139" s="156">
        <f t="shared" si="56"/>
        <v>0</v>
      </c>
      <c r="R139" s="156">
        <f t="shared" si="56"/>
        <v>0</v>
      </c>
      <c r="S139" s="156">
        <f t="shared" si="56"/>
        <v>0</v>
      </c>
      <c r="T139" s="156">
        <f t="shared" si="56"/>
        <v>0</v>
      </c>
      <c r="U139" s="156">
        <f t="shared" si="56"/>
        <v>0</v>
      </c>
      <c r="V139" s="156">
        <f t="shared" si="56"/>
        <v>20</v>
      </c>
      <c r="W139" s="156">
        <f t="shared" si="56"/>
        <v>0</v>
      </c>
      <c r="X139" s="156">
        <f t="shared" si="56"/>
        <v>0</v>
      </c>
      <c r="Y139" s="156">
        <f t="shared" si="56"/>
        <v>0</v>
      </c>
      <c r="Z139" s="156">
        <f t="shared" si="56"/>
        <v>0</v>
      </c>
      <c r="AA139" s="156">
        <f t="shared" si="56"/>
        <v>0</v>
      </c>
      <c r="AB139" s="156">
        <f t="shared" si="56"/>
        <v>0</v>
      </c>
      <c r="AC139" s="156">
        <f t="shared" si="56"/>
        <v>0</v>
      </c>
      <c r="AD139" s="156">
        <f t="shared" si="56"/>
        <v>0</v>
      </c>
      <c r="AE139" s="156">
        <f t="shared" si="56"/>
        <v>0</v>
      </c>
      <c r="AF139" s="156">
        <f t="shared" si="56"/>
        <v>0</v>
      </c>
      <c r="AG139" s="156">
        <f t="shared" si="56"/>
        <v>0</v>
      </c>
      <c r="AH139" s="156">
        <f t="shared" si="56"/>
        <v>0</v>
      </c>
      <c r="AI139" s="156">
        <f t="shared" si="56"/>
        <v>0</v>
      </c>
      <c r="AJ139" s="156">
        <f t="shared" si="56"/>
        <v>0</v>
      </c>
      <c r="AK139" s="156">
        <f t="shared" si="56"/>
        <v>0</v>
      </c>
      <c r="AL139" s="156">
        <f t="shared" si="56"/>
        <v>0</v>
      </c>
      <c r="AM139" s="156">
        <f t="shared" si="56"/>
        <v>0</v>
      </c>
      <c r="AN139" s="156">
        <f t="shared" si="56"/>
        <v>0</v>
      </c>
      <c r="AO139" s="156">
        <f t="shared" si="56"/>
        <v>0</v>
      </c>
      <c r="AP139" s="156">
        <f t="shared" si="56"/>
        <v>0</v>
      </c>
    </row>
    <row r="140" spans="1:42" x14ac:dyDescent="0.2">
      <c r="A140" s="90"/>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row>
    <row r="141" spans="1:42" x14ac:dyDescent="0.2">
      <c r="A141" s="90" t="s">
        <v>214</v>
      </c>
      <c r="B141" s="182">
        <f>B133+NPV(NominalDiscountRate/100,C133:AP133)</f>
        <v>1025641.6707840934</v>
      </c>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row>
    <row r="143" spans="1:42" x14ac:dyDescent="0.2">
      <c r="A143" s="84" t="s">
        <v>392</v>
      </c>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row>
    <row r="144" spans="1:42" x14ac:dyDescent="0.2">
      <c r="A144" s="18" t="s">
        <v>209</v>
      </c>
      <c r="B144" s="127">
        <f>B116</f>
        <v>-53756985.2015149</v>
      </c>
      <c r="C144" s="123">
        <f t="shared" ref="C144:AP144" si="57">C583+C200+C240-C62-C588-C589+C124+C128-C621-C615-C616-C627-C633-C665-C697+C729-C622+C27</f>
        <v>27081959.8240266</v>
      </c>
      <c r="D144" s="123">
        <f t="shared" si="57"/>
        <v>-828019.16942841851</v>
      </c>
      <c r="E144" s="123">
        <f t="shared" si="57"/>
        <v>-3843535.8402521648</v>
      </c>
      <c r="F144" s="123">
        <f t="shared" si="57"/>
        <v>-5678714.6746976804</v>
      </c>
      <c r="G144" s="123">
        <f t="shared" si="57"/>
        <v>-5743107.2098954525</v>
      </c>
      <c r="H144" s="123">
        <f t="shared" si="57"/>
        <v>-7137203.5441711377</v>
      </c>
      <c r="I144" s="123">
        <f t="shared" si="57"/>
        <v>-8530950.9023538232</v>
      </c>
      <c r="J144" s="123">
        <f t="shared" si="57"/>
        <v>-8595814.9653365556</v>
      </c>
      <c r="K144" s="123">
        <f t="shared" si="57"/>
        <v>-8662024.8001975901</v>
      </c>
      <c r="L144" s="123">
        <f t="shared" si="57"/>
        <v>-8729766.780291751</v>
      </c>
      <c r="M144" s="123">
        <f t="shared" si="57"/>
        <v>-8798901.7037102282</v>
      </c>
      <c r="N144" s="123">
        <f t="shared" si="57"/>
        <v>-8869718.9103377201</v>
      </c>
      <c r="O144" s="123">
        <f t="shared" si="57"/>
        <v>-8941866.254515551</v>
      </c>
      <c r="P144" s="123">
        <f t="shared" si="57"/>
        <v>-9015872.7483198959</v>
      </c>
      <c r="Q144" s="123">
        <f t="shared" si="57"/>
        <v>-8703915.4979950022</v>
      </c>
      <c r="R144" s="123">
        <f t="shared" si="57"/>
        <v>-7916636.6078712046</v>
      </c>
      <c r="S144" s="123">
        <f t="shared" si="57"/>
        <v>-8530281.6404972058</v>
      </c>
      <c r="T144" s="123">
        <f t="shared" si="57"/>
        <v>-6252353.710534879</v>
      </c>
      <c r="U144" s="123">
        <f t="shared" si="57"/>
        <v>-3718033.933626872</v>
      </c>
      <c r="V144" s="123">
        <f t="shared" si="57"/>
        <v>-3989554.1488864194</v>
      </c>
      <c r="W144" s="123">
        <f t="shared" si="57"/>
        <v>-4284834.6817035247</v>
      </c>
      <c r="X144" s="123">
        <f t="shared" si="57"/>
        <v>-4365368.7200642712</v>
      </c>
      <c r="Y144" s="123">
        <f t="shared" si="57"/>
        <v>-4424488.4494158775</v>
      </c>
      <c r="Z144" s="123">
        <f t="shared" si="57"/>
        <v>-4484841.1674512746</v>
      </c>
      <c r="AA144" s="123">
        <f t="shared" si="57"/>
        <v>-3155992.7273459407</v>
      </c>
      <c r="AB144" s="123">
        <f t="shared" si="57"/>
        <v>0</v>
      </c>
      <c r="AC144" s="123">
        <f t="shared" si="57"/>
        <v>0</v>
      </c>
      <c r="AD144" s="123">
        <f t="shared" si="57"/>
        <v>0</v>
      </c>
      <c r="AE144" s="123">
        <f t="shared" si="57"/>
        <v>0</v>
      </c>
      <c r="AF144" s="123">
        <f t="shared" si="57"/>
        <v>0</v>
      </c>
      <c r="AG144" s="123">
        <f t="shared" si="57"/>
        <v>0</v>
      </c>
      <c r="AH144" s="123">
        <f t="shared" si="57"/>
        <v>0</v>
      </c>
      <c r="AI144" s="123">
        <f t="shared" si="57"/>
        <v>0</v>
      </c>
      <c r="AJ144" s="123">
        <f t="shared" si="57"/>
        <v>0</v>
      </c>
      <c r="AK144" s="123">
        <f t="shared" si="57"/>
        <v>0</v>
      </c>
      <c r="AL144" s="123">
        <f t="shared" si="57"/>
        <v>0</v>
      </c>
      <c r="AM144" s="123">
        <f t="shared" si="57"/>
        <v>0</v>
      </c>
      <c r="AN144" s="123">
        <f t="shared" si="57"/>
        <v>0</v>
      </c>
      <c r="AO144" s="123">
        <f t="shared" si="57"/>
        <v>0</v>
      </c>
      <c r="AP144" s="123">
        <f t="shared" si="57"/>
        <v>0</v>
      </c>
    </row>
    <row r="145" spans="1:42" x14ac:dyDescent="0.2">
      <c r="A145" s="18" t="s">
        <v>216</v>
      </c>
      <c r="B145" s="127"/>
      <c r="C145" s="123">
        <f t="shared" ref="C145:AP145" si="58">C16</f>
        <v>8476300</v>
      </c>
      <c r="D145" s="123">
        <f t="shared" si="58"/>
        <v>8518260</v>
      </c>
      <c r="E145" s="123">
        <f t="shared" si="58"/>
        <v>8560420</v>
      </c>
      <c r="F145" s="123">
        <f t="shared" si="58"/>
        <v>8602800</v>
      </c>
      <c r="G145" s="123">
        <f t="shared" si="58"/>
        <v>8645380</v>
      </c>
      <c r="H145" s="123">
        <f t="shared" si="58"/>
        <v>8688170</v>
      </c>
      <c r="I145" s="123">
        <f t="shared" si="58"/>
        <v>8731180</v>
      </c>
      <c r="J145" s="123">
        <f t="shared" si="58"/>
        <v>8774400</v>
      </c>
      <c r="K145" s="123">
        <f t="shared" si="58"/>
        <v>8817830</v>
      </c>
      <c r="L145" s="123">
        <f t="shared" si="58"/>
        <v>8861480</v>
      </c>
      <c r="M145" s="123">
        <f t="shared" si="58"/>
        <v>8905350</v>
      </c>
      <c r="N145" s="123">
        <f t="shared" si="58"/>
        <v>8949430</v>
      </c>
      <c r="O145" s="123">
        <f t="shared" si="58"/>
        <v>8993730</v>
      </c>
      <c r="P145" s="123">
        <f t="shared" si="58"/>
        <v>9038250</v>
      </c>
      <c r="Q145" s="123">
        <f t="shared" si="58"/>
        <v>9082980</v>
      </c>
      <c r="R145" s="123">
        <f t="shared" si="58"/>
        <v>9127950</v>
      </c>
      <c r="S145" s="123">
        <f t="shared" si="58"/>
        <v>9173130</v>
      </c>
      <c r="T145" s="123">
        <f t="shared" si="58"/>
        <v>9218540</v>
      </c>
      <c r="U145" s="123">
        <f t="shared" si="58"/>
        <v>9264170</v>
      </c>
      <c r="V145" s="123">
        <f t="shared" si="58"/>
        <v>9310030</v>
      </c>
      <c r="W145" s="123">
        <f t="shared" si="58"/>
        <v>9356110</v>
      </c>
      <c r="X145" s="123">
        <f t="shared" si="58"/>
        <v>9402420</v>
      </c>
      <c r="Y145" s="123">
        <f t="shared" si="58"/>
        <v>9448960</v>
      </c>
      <c r="Z145" s="123">
        <f t="shared" si="58"/>
        <v>9495740</v>
      </c>
      <c r="AA145" s="123">
        <f t="shared" si="58"/>
        <v>9542740</v>
      </c>
      <c r="AB145" s="123">
        <f t="shared" si="58"/>
        <v>0</v>
      </c>
      <c r="AC145" s="123">
        <f t="shared" si="58"/>
        <v>0</v>
      </c>
      <c r="AD145" s="123">
        <f t="shared" si="58"/>
        <v>0</v>
      </c>
      <c r="AE145" s="123">
        <f t="shared" si="58"/>
        <v>0</v>
      </c>
      <c r="AF145" s="123">
        <f t="shared" si="58"/>
        <v>0</v>
      </c>
      <c r="AG145" s="123">
        <f t="shared" si="58"/>
        <v>0</v>
      </c>
      <c r="AH145" s="123">
        <f t="shared" si="58"/>
        <v>0</v>
      </c>
      <c r="AI145" s="123">
        <f t="shared" si="58"/>
        <v>0</v>
      </c>
      <c r="AJ145" s="123">
        <f t="shared" si="58"/>
        <v>0</v>
      </c>
      <c r="AK145" s="123">
        <f t="shared" si="58"/>
        <v>0</v>
      </c>
      <c r="AL145" s="123">
        <f t="shared" si="58"/>
        <v>0</v>
      </c>
      <c r="AM145" s="123">
        <f t="shared" si="58"/>
        <v>0</v>
      </c>
      <c r="AN145" s="123">
        <f t="shared" si="58"/>
        <v>0</v>
      </c>
      <c r="AO145" s="123">
        <f t="shared" si="58"/>
        <v>0</v>
      </c>
      <c r="AP145" s="123">
        <f t="shared" si="58"/>
        <v>0</v>
      </c>
    </row>
    <row r="146" spans="1:42" x14ac:dyDescent="0.2">
      <c r="A146" s="18" t="s">
        <v>370</v>
      </c>
      <c r="B146" s="127"/>
      <c r="C146" s="123">
        <f t="shared" ref="C146:AP146" si="59">C5</f>
        <v>211907000</v>
      </c>
      <c r="D146" s="123">
        <f t="shared" si="59"/>
        <v>210848000</v>
      </c>
      <c r="E146" s="123">
        <f t="shared" si="59"/>
        <v>209794000</v>
      </c>
      <c r="F146" s="123">
        <f t="shared" si="59"/>
        <v>208745000</v>
      </c>
      <c r="G146" s="123">
        <f t="shared" si="59"/>
        <v>207701000</v>
      </c>
      <c r="H146" s="123">
        <f t="shared" si="59"/>
        <v>206662000</v>
      </c>
      <c r="I146" s="123">
        <f t="shared" si="59"/>
        <v>205629000</v>
      </c>
      <c r="J146" s="123">
        <f t="shared" si="59"/>
        <v>204601000</v>
      </c>
      <c r="K146" s="123">
        <f t="shared" si="59"/>
        <v>203578000</v>
      </c>
      <c r="L146" s="123">
        <f t="shared" si="59"/>
        <v>202560000</v>
      </c>
      <c r="M146" s="123">
        <f t="shared" si="59"/>
        <v>201547000</v>
      </c>
      <c r="N146" s="123">
        <f t="shared" si="59"/>
        <v>200540000</v>
      </c>
      <c r="O146" s="123">
        <f t="shared" si="59"/>
        <v>199537000</v>
      </c>
      <c r="P146" s="123">
        <f t="shared" si="59"/>
        <v>198539000</v>
      </c>
      <c r="Q146" s="123">
        <f t="shared" si="59"/>
        <v>197547000</v>
      </c>
      <c r="R146" s="123">
        <f t="shared" si="59"/>
        <v>196559000</v>
      </c>
      <c r="S146" s="123">
        <f t="shared" si="59"/>
        <v>195576000</v>
      </c>
      <c r="T146" s="123">
        <f t="shared" si="59"/>
        <v>194598000</v>
      </c>
      <c r="U146" s="123">
        <f t="shared" si="59"/>
        <v>193625000</v>
      </c>
      <c r="V146" s="123">
        <f t="shared" si="59"/>
        <v>192657000</v>
      </c>
      <c r="W146" s="123">
        <f t="shared" si="59"/>
        <v>191694000</v>
      </c>
      <c r="X146" s="123">
        <f t="shared" si="59"/>
        <v>190735000</v>
      </c>
      <c r="Y146" s="123">
        <f t="shared" si="59"/>
        <v>189782000</v>
      </c>
      <c r="Z146" s="123">
        <f t="shared" si="59"/>
        <v>188833000</v>
      </c>
      <c r="AA146" s="123">
        <f t="shared" si="59"/>
        <v>187888000</v>
      </c>
      <c r="AB146" s="123">
        <f t="shared" si="59"/>
        <v>0</v>
      </c>
      <c r="AC146" s="123">
        <f t="shared" si="59"/>
        <v>0</v>
      </c>
      <c r="AD146" s="123">
        <f t="shared" si="59"/>
        <v>0</v>
      </c>
      <c r="AE146" s="123">
        <f t="shared" si="59"/>
        <v>0</v>
      </c>
      <c r="AF146" s="123">
        <f t="shared" si="59"/>
        <v>0</v>
      </c>
      <c r="AG146" s="123">
        <f t="shared" si="59"/>
        <v>0</v>
      </c>
      <c r="AH146" s="123">
        <f t="shared" si="59"/>
        <v>0</v>
      </c>
      <c r="AI146" s="123">
        <f t="shared" si="59"/>
        <v>0</v>
      </c>
      <c r="AJ146" s="123">
        <f t="shared" si="59"/>
        <v>0</v>
      </c>
      <c r="AK146" s="123">
        <f t="shared" si="59"/>
        <v>0</v>
      </c>
      <c r="AL146" s="123">
        <f t="shared" si="59"/>
        <v>0</v>
      </c>
      <c r="AM146" s="123">
        <f t="shared" si="59"/>
        <v>0</v>
      </c>
      <c r="AN146" s="123">
        <f t="shared" si="59"/>
        <v>0</v>
      </c>
      <c r="AO146" s="123">
        <f t="shared" si="59"/>
        <v>0</v>
      </c>
      <c r="AP146" s="123">
        <f t="shared" si="59"/>
        <v>0</v>
      </c>
    </row>
    <row r="148" spans="1:42" x14ac:dyDescent="0.2">
      <c r="A148" s="4" t="s">
        <v>208</v>
      </c>
      <c r="B148" s="153">
        <f>-(B144+NPV(NominalDiscountRate/100,C144:AP144))</f>
        <v>85131576.280606225</v>
      </c>
      <c r="C148" s="123"/>
      <c r="D148" s="123"/>
    </row>
    <row r="149" spans="1:42" x14ac:dyDescent="0.2">
      <c r="A149" s="4" t="s">
        <v>207</v>
      </c>
      <c r="B149" s="153">
        <f>NPV(NominalDiscountRate/100,C146:AP146)</f>
        <v>1992924590.7323005</v>
      </c>
    </row>
    <row r="150" spans="1:42" x14ac:dyDescent="0.2">
      <c r="A150" s="4" t="s">
        <v>405</v>
      </c>
      <c r="B150" s="214">
        <f>IF(B149=0,0,B148/B149*100)</f>
        <v>4.2716907943478493</v>
      </c>
    </row>
    <row r="151" spans="1:42" x14ac:dyDescent="0.2">
      <c r="B151" s="205"/>
    </row>
    <row r="152" spans="1:42" x14ac:dyDescent="0.2">
      <c r="A152" s="4" t="s">
        <v>217</v>
      </c>
      <c r="B152" s="153">
        <f>NPV(NominalDiscountRate/100,C145:AP145)</f>
        <v>86157217.951390311</v>
      </c>
    </row>
    <row r="153" spans="1:42" x14ac:dyDescent="0.2">
      <c r="A153" s="4" t="s">
        <v>207</v>
      </c>
      <c r="B153" s="153">
        <f>B149</f>
        <v>1992924590.7323005</v>
      </c>
    </row>
    <row r="154" spans="1:42" x14ac:dyDescent="0.2">
      <c r="A154" s="4" t="s">
        <v>257</v>
      </c>
      <c r="B154" s="214">
        <f>IF(B153=0,0,B152/B153*100)</f>
        <v>4.3231549428436642</v>
      </c>
    </row>
    <row r="156" spans="1:42" x14ac:dyDescent="0.2">
      <c r="A156" s="84" t="s">
        <v>403</v>
      </c>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row>
    <row r="157" spans="1:42" x14ac:dyDescent="0.2">
      <c r="A157" s="4" t="s">
        <v>356</v>
      </c>
      <c r="B157" s="123">
        <f t="array" ref="B157:AP158">Inputs!C209:AQ210</f>
        <v>0</v>
      </c>
      <c r="C157" s="4">
        <v>0</v>
      </c>
      <c r="D157" s="4">
        <v>0</v>
      </c>
      <c r="E157" s="4">
        <v>0</v>
      </c>
      <c r="F157" s="4">
        <v>0</v>
      </c>
      <c r="G157" s="4">
        <v>0</v>
      </c>
      <c r="H157" s="4">
        <v>0</v>
      </c>
      <c r="I157" s="4">
        <v>0</v>
      </c>
      <c r="J157" s="4">
        <v>0</v>
      </c>
      <c r="K157" s="4">
        <v>0</v>
      </c>
      <c r="L157" s="4">
        <v>0</v>
      </c>
      <c r="M157" s="4">
        <v>0</v>
      </c>
      <c r="N157" s="4">
        <v>0</v>
      </c>
      <c r="O157" s="4">
        <v>0</v>
      </c>
      <c r="P157" s="4">
        <v>0</v>
      </c>
      <c r="Q157" s="4">
        <v>0</v>
      </c>
      <c r="R157" s="4">
        <v>0</v>
      </c>
      <c r="S157" s="4">
        <v>0</v>
      </c>
      <c r="T157" s="4">
        <v>0</v>
      </c>
      <c r="U157" s="4">
        <v>0</v>
      </c>
      <c r="V157" s="4">
        <v>0</v>
      </c>
      <c r="W157" s="4">
        <v>0</v>
      </c>
      <c r="X157" s="4">
        <v>0</v>
      </c>
      <c r="Y157" s="4">
        <v>0</v>
      </c>
      <c r="Z157" s="4">
        <v>0</v>
      </c>
      <c r="AA157" s="4">
        <v>0</v>
      </c>
      <c r="AB157" s="4">
        <v>0</v>
      </c>
      <c r="AC157" s="4">
        <v>0</v>
      </c>
      <c r="AD157" s="4">
        <v>0</v>
      </c>
      <c r="AE157" s="4">
        <v>0</v>
      </c>
      <c r="AF157" s="4">
        <v>0</v>
      </c>
      <c r="AG157" s="4">
        <v>0</v>
      </c>
      <c r="AH157" s="4">
        <v>0</v>
      </c>
      <c r="AI157" s="4">
        <v>0</v>
      </c>
      <c r="AJ157" s="4">
        <v>0</v>
      </c>
      <c r="AK157" s="4">
        <v>0</v>
      </c>
      <c r="AL157" s="4">
        <v>0</v>
      </c>
      <c r="AM157" s="4">
        <v>0</v>
      </c>
      <c r="AN157" s="4">
        <v>0</v>
      </c>
      <c r="AO157" s="4">
        <v>0</v>
      </c>
      <c r="AP157" s="4">
        <v>0</v>
      </c>
    </row>
    <row r="158" spans="1:42" x14ac:dyDescent="0.2">
      <c r="A158" s="4" t="s">
        <v>407</v>
      </c>
      <c r="B158" s="123">
        <v>0</v>
      </c>
      <c r="C158" s="4">
        <v>0</v>
      </c>
      <c r="D158" s="4">
        <v>0</v>
      </c>
      <c r="E158" s="4">
        <v>0</v>
      </c>
      <c r="F158" s="4">
        <v>0</v>
      </c>
      <c r="G158" s="4">
        <v>0</v>
      </c>
      <c r="H158" s="4">
        <v>0</v>
      </c>
      <c r="I158" s="4">
        <v>0</v>
      </c>
      <c r="J158" s="4">
        <v>0</v>
      </c>
      <c r="K158" s="4">
        <v>0</v>
      </c>
      <c r="L158" s="4">
        <v>0</v>
      </c>
      <c r="M158" s="4">
        <v>0</v>
      </c>
      <c r="N158" s="4">
        <v>0</v>
      </c>
      <c r="O158" s="4">
        <v>0</v>
      </c>
      <c r="P158" s="4">
        <v>0</v>
      </c>
      <c r="Q158" s="4">
        <v>0</v>
      </c>
      <c r="R158" s="4">
        <v>0</v>
      </c>
      <c r="S158" s="4">
        <v>0</v>
      </c>
      <c r="T158" s="4">
        <v>0</v>
      </c>
      <c r="U158" s="4">
        <v>0</v>
      </c>
      <c r="V158" s="4">
        <v>0</v>
      </c>
      <c r="W158" s="4">
        <v>0</v>
      </c>
      <c r="X158" s="4">
        <v>0</v>
      </c>
      <c r="Y158" s="4">
        <v>0</v>
      </c>
      <c r="Z158" s="4">
        <v>0</v>
      </c>
      <c r="AA158" s="4">
        <v>0</v>
      </c>
      <c r="AB158" s="4">
        <v>0</v>
      </c>
      <c r="AC158" s="4">
        <v>0</v>
      </c>
      <c r="AD158" s="4">
        <v>0</v>
      </c>
      <c r="AE158" s="4">
        <v>0</v>
      </c>
      <c r="AF158" s="4">
        <v>0</v>
      </c>
      <c r="AG158" s="4">
        <v>0</v>
      </c>
      <c r="AH158" s="4">
        <v>0</v>
      </c>
      <c r="AI158" s="4">
        <v>0</v>
      </c>
      <c r="AJ158" s="4">
        <v>0</v>
      </c>
      <c r="AK158" s="4">
        <v>0</v>
      </c>
      <c r="AL158" s="4">
        <v>0</v>
      </c>
      <c r="AM158" s="4">
        <v>0</v>
      </c>
      <c r="AN158" s="4">
        <v>0</v>
      </c>
      <c r="AO158" s="4">
        <v>0</v>
      </c>
      <c r="AP158" s="4">
        <v>0</v>
      </c>
    </row>
    <row r="160" spans="1:42" x14ac:dyDescent="0.2">
      <c r="A160" s="4" t="s">
        <v>354</v>
      </c>
      <c r="B160" s="182">
        <f>-(B157+NPV(NominalDiscountRate/100,C157:AP157))</f>
        <v>0</v>
      </c>
    </row>
    <row r="161" spans="1:42" x14ac:dyDescent="0.2">
      <c r="A161" s="4" t="s">
        <v>355</v>
      </c>
      <c r="B161" s="182">
        <f>NPV(NominalDiscountRate/100,C158:AP158)</f>
        <v>0</v>
      </c>
    </row>
    <row r="162" spans="1:42" x14ac:dyDescent="0.2">
      <c r="A162" s="4" t="s">
        <v>404</v>
      </c>
      <c r="B162" s="110">
        <f>IF(B161=0,0,B160/B161*100)</f>
        <v>0</v>
      </c>
    </row>
    <row r="164" spans="1:42" x14ac:dyDescent="0.2">
      <c r="A164" s="84" t="s">
        <v>29</v>
      </c>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row>
    <row r="165" spans="1:42" x14ac:dyDescent="0.2">
      <c r="A165" s="20" t="s">
        <v>42</v>
      </c>
    </row>
    <row r="166" spans="1:42" x14ac:dyDescent="0.2">
      <c r="A166" s="90" t="s">
        <v>30</v>
      </c>
      <c r="C166" s="123">
        <f t="shared" ref="C166:AP166" si="60">C64</f>
        <v>6976300</v>
      </c>
      <c r="D166" s="123">
        <f t="shared" si="60"/>
        <v>6980760</v>
      </c>
      <c r="E166" s="123">
        <f t="shared" si="60"/>
        <v>6984482.5</v>
      </c>
      <c r="F166" s="123">
        <f t="shared" si="60"/>
        <v>6987464.0625</v>
      </c>
      <c r="G166" s="123">
        <f t="shared" si="60"/>
        <v>6989660.6640625</v>
      </c>
      <c r="H166" s="123">
        <f t="shared" si="60"/>
        <v>6991057.6806640634</v>
      </c>
      <c r="I166" s="123">
        <f t="shared" si="60"/>
        <v>6991639.8726806641</v>
      </c>
      <c r="J166" s="123">
        <f t="shared" si="60"/>
        <v>6991371.369497681</v>
      </c>
      <c r="K166" s="123">
        <f t="shared" si="60"/>
        <v>6990225.6537351236</v>
      </c>
      <c r="L166" s="123">
        <f t="shared" si="60"/>
        <v>6988185.545078502</v>
      </c>
      <c r="M166" s="123">
        <f t="shared" si="60"/>
        <v>6985223.183705464</v>
      </c>
      <c r="N166" s="123">
        <f t="shared" si="60"/>
        <v>6981300.0132981008</v>
      </c>
      <c r="O166" s="123">
        <f t="shared" si="60"/>
        <v>6976396.7636305541</v>
      </c>
      <c r="P166" s="123">
        <f t="shared" si="60"/>
        <v>6970483.4327213177</v>
      </c>
      <c r="Q166" s="123">
        <f t="shared" si="60"/>
        <v>6963519.2685393505</v>
      </c>
      <c r="R166" s="123">
        <f t="shared" si="60"/>
        <v>6955502.7502528336</v>
      </c>
      <c r="S166" s="123">
        <f t="shared" si="60"/>
        <v>6946371.569009155</v>
      </c>
      <c r="T166" s="123">
        <f t="shared" si="60"/>
        <v>6936112.608234385</v>
      </c>
      <c r="U166" s="123">
        <f t="shared" si="60"/>
        <v>6924681.923440244</v>
      </c>
      <c r="V166" s="123">
        <f t="shared" si="60"/>
        <v>6912054.7215262502</v>
      </c>
      <c r="W166" s="123">
        <f t="shared" si="60"/>
        <v>6898185.3395644072</v>
      </c>
      <c r="X166" s="123">
        <f t="shared" si="60"/>
        <v>6883047.2230535168</v>
      </c>
      <c r="Y166" s="123">
        <f t="shared" si="60"/>
        <v>6866602.9036298553</v>
      </c>
      <c r="Z166" s="123">
        <f t="shared" si="60"/>
        <v>6848823.9762206012</v>
      </c>
      <c r="AA166" s="123">
        <f t="shared" si="60"/>
        <v>6829651.0756261162</v>
      </c>
      <c r="AB166" s="123">
        <f t="shared" si="60"/>
        <v>0</v>
      </c>
      <c r="AC166" s="123">
        <f t="shared" si="60"/>
        <v>0</v>
      </c>
      <c r="AD166" s="123">
        <f t="shared" si="60"/>
        <v>0</v>
      </c>
      <c r="AE166" s="123">
        <f t="shared" si="60"/>
        <v>0</v>
      </c>
      <c r="AF166" s="123">
        <f t="shared" si="60"/>
        <v>0</v>
      </c>
      <c r="AG166" s="123">
        <f t="shared" si="60"/>
        <v>0</v>
      </c>
      <c r="AH166" s="123">
        <f t="shared" si="60"/>
        <v>0</v>
      </c>
      <c r="AI166" s="123">
        <f t="shared" si="60"/>
        <v>0</v>
      </c>
      <c r="AJ166" s="123">
        <f t="shared" si="60"/>
        <v>0</v>
      </c>
      <c r="AK166" s="123">
        <f t="shared" si="60"/>
        <v>0</v>
      </c>
      <c r="AL166" s="123">
        <f t="shared" si="60"/>
        <v>0</v>
      </c>
      <c r="AM166" s="123">
        <f t="shared" si="60"/>
        <v>0</v>
      </c>
      <c r="AN166" s="123">
        <f t="shared" si="60"/>
        <v>0</v>
      </c>
      <c r="AO166" s="123">
        <f t="shared" si="60"/>
        <v>0</v>
      </c>
      <c r="AP166" s="123">
        <f t="shared" si="60"/>
        <v>0</v>
      </c>
    </row>
    <row r="167" spans="1:42" x14ac:dyDescent="0.2">
      <c r="A167" s="90" t="s">
        <v>38</v>
      </c>
      <c r="C167" s="123">
        <f t="shared" ref="C167:AP167" si="61">C729</f>
        <v>38386.125</v>
      </c>
      <c r="D167" s="123">
        <f t="shared" si="61"/>
        <v>50416.78184144805</v>
      </c>
      <c r="E167" s="123">
        <f t="shared" si="61"/>
        <v>62449.673057896092</v>
      </c>
      <c r="F167" s="123">
        <f t="shared" si="61"/>
        <v>74484.945133719142</v>
      </c>
      <c r="G167" s="123">
        <f t="shared" si="61"/>
        <v>86522.74821540156</v>
      </c>
      <c r="H167" s="123">
        <f t="shared" si="61"/>
        <v>98562.986203089837</v>
      </c>
      <c r="I167" s="123">
        <f t="shared" si="61"/>
        <v>110605.69184443414</v>
      </c>
      <c r="J167" s="123">
        <f t="shared" si="61"/>
        <v>122651.02683077585</v>
      </c>
      <c r="K167" s="123">
        <f t="shared" si="61"/>
        <v>134698.90689573987</v>
      </c>
      <c r="L167" s="123">
        <f t="shared" si="61"/>
        <v>146749.37691629183</v>
      </c>
      <c r="M167" s="123">
        <f t="shared" si="61"/>
        <v>158802.61101632135</v>
      </c>
      <c r="N167" s="123">
        <f t="shared" si="61"/>
        <v>170858.53767281541</v>
      </c>
      <c r="O167" s="123">
        <f t="shared" si="61"/>
        <v>182917.33982468559</v>
      </c>
      <c r="P167" s="123">
        <f t="shared" si="61"/>
        <v>194978.82998431637</v>
      </c>
      <c r="Q167" s="123">
        <f t="shared" si="61"/>
        <v>207043.32535190173</v>
      </c>
      <c r="R167" s="123">
        <f t="shared" si="61"/>
        <v>47017.670310919784</v>
      </c>
      <c r="S167" s="123">
        <f t="shared" si="61"/>
        <v>47313.240193692778</v>
      </c>
      <c r="T167" s="123">
        <f t="shared" si="61"/>
        <v>47611.796198535099</v>
      </c>
      <c r="U167" s="123">
        <f t="shared" si="61"/>
        <v>14621.800478498475</v>
      </c>
      <c r="V167" s="123">
        <f t="shared" si="61"/>
        <v>14987.345490460935</v>
      </c>
      <c r="W167" s="123">
        <f t="shared" si="61"/>
        <v>15362.029127722457</v>
      </c>
      <c r="X167" s="123">
        <f t="shared" si="61"/>
        <v>15746.079855915517</v>
      </c>
      <c r="Y167" s="123">
        <f t="shared" si="61"/>
        <v>16139.731852313405</v>
      </c>
      <c r="Z167" s="123">
        <f t="shared" si="61"/>
        <v>16543.225148621244</v>
      </c>
      <c r="AA167" s="123">
        <f t="shared" si="61"/>
        <v>16956.805777336773</v>
      </c>
      <c r="AB167" s="123">
        <f t="shared" si="61"/>
        <v>0</v>
      </c>
      <c r="AC167" s="123">
        <f t="shared" si="61"/>
        <v>0</v>
      </c>
      <c r="AD167" s="123">
        <f t="shared" si="61"/>
        <v>0</v>
      </c>
      <c r="AE167" s="123">
        <f t="shared" si="61"/>
        <v>0</v>
      </c>
      <c r="AF167" s="123">
        <f t="shared" si="61"/>
        <v>0</v>
      </c>
      <c r="AG167" s="123">
        <f t="shared" si="61"/>
        <v>0</v>
      </c>
      <c r="AH167" s="123">
        <f t="shared" si="61"/>
        <v>0</v>
      </c>
      <c r="AI167" s="123">
        <f t="shared" si="61"/>
        <v>0</v>
      </c>
      <c r="AJ167" s="123">
        <f t="shared" si="61"/>
        <v>0</v>
      </c>
      <c r="AK167" s="123">
        <f t="shared" si="61"/>
        <v>0</v>
      </c>
      <c r="AL167" s="123">
        <f t="shared" si="61"/>
        <v>0</v>
      </c>
      <c r="AM167" s="123">
        <f t="shared" si="61"/>
        <v>0</v>
      </c>
      <c r="AN167" s="123">
        <f t="shared" si="61"/>
        <v>0</v>
      </c>
      <c r="AO167" s="123">
        <f t="shared" si="61"/>
        <v>0</v>
      </c>
      <c r="AP167" s="123">
        <f t="shared" si="61"/>
        <v>0</v>
      </c>
    </row>
    <row r="168" spans="1:42" x14ac:dyDescent="0.2">
      <c r="A168" s="90" t="s">
        <v>31</v>
      </c>
      <c r="C168" s="123">
        <f t="shared" ref="C168:AP168" si="62">-C588</f>
        <v>-2396246.491939404</v>
      </c>
      <c r="D168" s="123">
        <f t="shared" si="62"/>
        <v>-2306425.0453805448</v>
      </c>
      <c r="E168" s="123">
        <f t="shared" si="62"/>
        <v>-2212873.5101900999</v>
      </c>
      <c r="F168" s="123">
        <f t="shared" si="62"/>
        <v>-2115465.3751304992</v>
      </c>
      <c r="G168" s="123">
        <f t="shared" si="62"/>
        <v>-2014069.1742838991</v>
      </c>
      <c r="H168" s="123">
        <f t="shared" si="62"/>
        <v>-1908549.5376630502</v>
      </c>
      <c r="I168" s="123">
        <f t="shared" si="62"/>
        <v>-1798766.1304511654</v>
      </c>
      <c r="J168" s="123">
        <f t="shared" si="62"/>
        <v>-1684573.4733502946</v>
      </c>
      <c r="K168" s="123">
        <f t="shared" si="62"/>
        <v>-1565821.3716017883</v>
      </c>
      <c r="L168" s="123">
        <f t="shared" si="62"/>
        <v>-1442354.4385760361</v>
      </c>
      <c r="M168" s="123">
        <f t="shared" si="62"/>
        <v>-1314011.6008033035</v>
      </c>
      <c r="N168" s="123">
        <f t="shared" si="62"/>
        <v>-1180626.1991003705</v>
      </c>
      <c r="O168" s="123">
        <f t="shared" si="62"/>
        <v>-1042026.0942649313</v>
      </c>
      <c r="P168" s="123">
        <f t="shared" si="62"/>
        <v>-898032.85445661424</v>
      </c>
      <c r="Q168" s="123">
        <f t="shared" si="62"/>
        <v>-748461.8336993258</v>
      </c>
      <c r="R168" s="123">
        <f t="shared" si="62"/>
        <v>-593122.25408657547</v>
      </c>
      <c r="S168" s="123">
        <f t="shared" si="62"/>
        <v>-402831.67501148983</v>
      </c>
      <c r="T168" s="123">
        <f t="shared" si="62"/>
        <v>-205210.43219628313</v>
      </c>
      <c r="U168" s="123">
        <f t="shared" si="62"/>
        <v>0</v>
      </c>
      <c r="V168" s="123">
        <f t="shared" si="62"/>
        <v>0</v>
      </c>
      <c r="W168" s="123">
        <f t="shared" si="62"/>
        <v>0</v>
      </c>
      <c r="X168" s="123">
        <f t="shared" si="62"/>
        <v>0</v>
      </c>
      <c r="Y168" s="123">
        <f t="shared" si="62"/>
        <v>0</v>
      </c>
      <c r="Z168" s="123">
        <f t="shared" si="62"/>
        <v>0</v>
      </c>
      <c r="AA168" s="123">
        <f t="shared" si="62"/>
        <v>0</v>
      </c>
      <c r="AB168" s="123">
        <f t="shared" si="62"/>
        <v>0</v>
      </c>
      <c r="AC168" s="123">
        <f t="shared" si="62"/>
        <v>0</v>
      </c>
      <c r="AD168" s="123">
        <f t="shared" si="62"/>
        <v>0</v>
      </c>
      <c r="AE168" s="123">
        <f t="shared" si="62"/>
        <v>0</v>
      </c>
      <c r="AF168" s="123">
        <f t="shared" si="62"/>
        <v>0</v>
      </c>
      <c r="AG168" s="123">
        <f t="shared" si="62"/>
        <v>0</v>
      </c>
      <c r="AH168" s="123">
        <f t="shared" si="62"/>
        <v>0</v>
      </c>
      <c r="AI168" s="123">
        <f t="shared" si="62"/>
        <v>0</v>
      </c>
      <c r="AJ168" s="123">
        <f t="shared" si="62"/>
        <v>0</v>
      </c>
      <c r="AK168" s="123">
        <f t="shared" si="62"/>
        <v>0</v>
      </c>
      <c r="AL168" s="123">
        <f t="shared" si="62"/>
        <v>0</v>
      </c>
      <c r="AM168" s="123">
        <f t="shared" si="62"/>
        <v>0</v>
      </c>
      <c r="AN168" s="123">
        <f t="shared" si="62"/>
        <v>0</v>
      </c>
      <c r="AO168" s="123">
        <f t="shared" si="62"/>
        <v>0</v>
      </c>
      <c r="AP168" s="123">
        <f t="shared" si="62"/>
        <v>0</v>
      </c>
    </row>
    <row r="169" spans="1:42" x14ac:dyDescent="0.2">
      <c r="A169" s="90" t="s">
        <v>34</v>
      </c>
      <c r="C169" s="124">
        <f t="shared" ref="C169:AP169" si="63">IF(C$2&lt;=analysis_period,-C295-C325-C351-C377,0)</f>
        <v>-17655580.859043751</v>
      </c>
      <c r="D169" s="124">
        <f t="shared" si="63"/>
        <v>-28346736.512893755</v>
      </c>
      <c r="E169" s="124">
        <f t="shared" si="63"/>
        <v>-17200644.111175004</v>
      </c>
      <c r="F169" s="124">
        <f t="shared" si="63"/>
        <v>-10508214.817948749</v>
      </c>
      <c r="G169" s="124">
        <f t="shared" si="63"/>
        <v>-10495086.724412501</v>
      </c>
      <c r="H169" s="124">
        <f t="shared" si="63"/>
        <v>-5474699.1624850007</v>
      </c>
      <c r="I169" s="124">
        <f t="shared" si="63"/>
        <v>-460619.90524375002</v>
      </c>
      <c r="J169" s="124">
        <f t="shared" si="63"/>
        <v>-460619.90524375002</v>
      </c>
      <c r="K169" s="124">
        <f t="shared" si="63"/>
        <v>-460790.39996499999</v>
      </c>
      <c r="L169" s="124">
        <f t="shared" si="63"/>
        <v>-460619.90524375002</v>
      </c>
      <c r="M169" s="124">
        <f t="shared" si="63"/>
        <v>-460790.39996499999</v>
      </c>
      <c r="N169" s="124">
        <f t="shared" si="63"/>
        <v>-460335.74737499998</v>
      </c>
      <c r="O169" s="124">
        <f t="shared" si="63"/>
        <v>-460790.39996499999</v>
      </c>
      <c r="P169" s="124">
        <f t="shared" si="63"/>
        <v>-460335.74737499998</v>
      </c>
      <c r="Q169" s="124">
        <f t="shared" si="63"/>
        <v>-3286567.5471912823</v>
      </c>
      <c r="R169" s="124">
        <f t="shared" si="63"/>
        <v>-4836931.461428551</v>
      </c>
      <c r="S169" s="124">
        <f t="shared" si="63"/>
        <v>-2883404.4575196309</v>
      </c>
      <c r="T169" s="124">
        <f t="shared" si="63"/>
        <v>-1798240.5630117783</v>
      </c>
      <c r="U169" s="124">
        <f t="shared" si="63"/>
        <v>-1798240.5630117783</v>
      </c>
      <c r="V169" s="124">
        <f t="shared" si="63"/>
        <v>-984367.64213088923</v>
      </c>
      <c r="W169" s="124">
        <f t="shared" si="63"/>
        <v>-85247.360625000001</v>
      </c>
      <c r="X169" s="124">
        <f t="shared" si="63"/>
        <v>0</v>
      </c>
      <c r="Y169" s="124">
        <f t="shared" si="63"/>
        <v>0</v>
      </c>
      <c r="Z169" s="124">
        <f t="shared" si="63"/>
        <v>0</v>
      </c>
      <c r="AA169" s="124">
        <f t="shared" si="63"/>
        <v>0</v>
      </c>
      <c r="AB169" s="124">
        <f t="shared" si="63"/>
        <v>0</v>
      </c>
      <c r="AC169" s="124">
        <f t="shared" si="63"/>
        <v>0</v>
      </c>
      <c r="AD169" s="124">
        <f t="shared" si="63"/>
        <v>0</v>
      </c>
      <c r="AE169" s="124">
        <f t="shared" si="63"/>
        <v>0</v>
      </c>
      <c r="AF169" s="124">
        <f t="shared" si="63"/>
        <v>0</v>
      </c>
      <c r="AG169" s="124">
        <f t="shared" si="63"/>
        <v>0</v>
      </c>
      <c r="AH169" s="124">
        <f t="shared" si="63"/>
        <v>0</v>
      </c>
      <c r="AI169" s="124">
        <f t="shared" si="63"/>
        <v>0</v>
      </c>
      <c r="AJ169" s="124">
        <f t="shared" si="63"/>
        <v>0</v>
      </c>
      <c r="AK169" s="124">
        <f t="shared" si="63"/>
        <v>0</v>
      </c>
      <c r="AL169" s="124">
        <f t="shared" si="63"/>
        <v>0</v>
      </c>
      <c r="AM169" s="124">
        <f t="shared" si="63"/>
        <v>0</v>
      </c>
      <c r="AN169" s="124">
        <f t="shared" si="63"/>
        <v>0</v>
      </c>
      <c r="AO169" s="124">
        <f t="shared" si="63"/>
        <v>0</v>
      </c>
      <c r="AP169" s="124">
        <f t="shared" si="63"/>
        <v>0</v>
      </c>
    </row>
    <row r="170" spans="1:42" x14ac:dyDescent="0.2">
      <c r="A170" s="90" t="s">
        <v>187</v>
      </c>
      <c r="C170" s="123">
        <f t="shared" ref="C170:AP170" si="64">SUM(C166:C169)</f>
        <v>-13037141.225983154</v>
      </c>
      <c r="D170" s="123">
        <f t="shared" si="64"/>
        <v>-23621984.776432849</v>
      </c>
      <c r="E170" s="123">
        <f t="shared" si="64"/>
        <v>-12366585.448307209</v>
      </c>
      <c r="F170" s="123">
        <f t="shared" si="64"/>
        <v>-5561731.1854455285</v>
      </c>
      <c r="G170" s="123">
        <f t="shared" si="64"/>
        <v>-5432972.4864184987</v>
      </c>
      <c r="H170" s="123">
        <f t="shared" si="64"/>
        <v>-293628.03328089695</v>
      </c>
      <c r="I170" s="123">
        <f t="shared" si="64"/>
        <v>4842859.5288301837</v>
      </c>
      <c r="J170" s="123">
        <f t="shared" si="64"/>
        <v>4968829.0177344121</v>
      </c>
      <c r="K170" s="123">
        <f t="shared" si="64"/>
        <v>5098312.7890640749</v>
      </c>
      <c r="L170" s="123">
        <f t="shared" si="64"/>
        <v>5231960.5781750083</v>
      </c>
      <c r="M170" s="123">
        <f t="shared" si="64"/>
        <v>5369223.7939534811</v>
      </c>
      <c r="N170" s="123">
        <f t="shared" si="64"/>
        <v>5511196.6044955458</v>
      </c>
      <c r="O170" s="123">
        <f t="shared" si="64"/>
        <v>5656497.6092253085</v>
      </c>
      <c r="P170" s="123">
        <f t="shared" si="64"/>
        <v>5807093.6608740203</v>
      </c>
      <c r="Q170" s="123">
        <f t="shared" si="64"/>
        <v>3135533.2130006435</v>
      </c>
      <c r="R170" s="123">
        <f t="shared" si="64"/>
        <v>1572466.7050486272</v>
      </c>
      <c r="S170" s="123">
        <f t="shared" si="64"/>
        <v>3707448.6766717276</v>
      </c>
      <c r="T170" s="123">
        <f t="shared" si="64"/>
        <v>4980273.4092248585</v>
      </c>
      <c r="U170" s="123">
        <f t="shared" si="64"/>
        <v>5141063.160906964</v>
      </c>
      <c r="V170" s="123">
        <f t="shared" si="64"/>
        <v>5942674.4248858225</v>
      </c>
      <c r="W170" s="123">
        <f t="shared" si="64"/>
        <v>6828300.0080671301</v>
      </c>
      <c r="X170" s="123">
        <f t="shared" si="64"/>
        <v>6898793.302909432</v>
      </c>
      <c r="Y170" s="123">
        <f t="shared" si="64"/>
        <v>6882742.6354821688</v>
      </c>
      <c r="Z170" s="123">
        <f t="shared" si="64"/>
        <v>6865367.2013692223</v>
      </c>
      <c r="AA170" s="123">
        <f t="shared" si="64"/>
        <v>6846607.8814034527</v>
      </c>
      <c r="AB170" s="123">
        <f t="shared" si="64"/>
        <v>0</v>
      </c>
      <c r="AC170" s="123">
        <f t="shared" si="64"/>
        <v>0</v>
      </c>
      <c r="AD170" s="123">
        <f t="shared" si="64"/>
        <v>0</v>
      </c>
      <c r="AE170" s="123">
        <f t="shared" si="64"/>
        <v>0</v>
      </c>
      <c r="AF170" s="123">
        <f t="shared" si="64"/>
        <v>0</v>
      </c>
      <c r="AG170" s="123">
        <f t="shared" si="64"/>
        <v>0</v>
      </c>
      <c r="AH170" s="123">
        <f t="shared" si="64"/>
        <v>0</v>
      </c>
      <c r="AI170" s="123">
        <f t="shared" si="64"/>
        <v>0</v>
      </c>
      <c r="AJ170" s="123">
        <f t="shared" si="64"/>
        <v>0</v>
      </c>
      <c r="AK170" s="123">
        <f t="shared" si="64"/>
        <v>0</v>
      </c>
      <c r="AL170" s="123">
        <f t="shared" si="64"/>
        <v>0</v>
      </c>
      <c r="AM170" s="123">
        <f t="shared" si="64"/>
        <v>0</v>
      </c>
      <c r="AN170" s="123">
        <f t="shared" si="64"/>
        <v>0</v>
      </c>
      <c r="AO170" s="123">
        <f t="shared" si="64"/>
        <v>0</v>
      </c>
      <c r="AP170" s="123">
        <f t="shared" si="64"/>
        <v>0</v>
      </c>
    </row>
    <row r="171" spans="1:42" x14ac:dyDescent="0.2">
      <c r="A171" s="90" t="str">
        <f>Inputs!B113</f>
        <v>Investment Based Incentive (IBI)</v>
      </c>
    </row>
    <row r="172" spans="1:42" x14ac:dyDescent="0.2">
      <c r="A172" s="91" t="str">
        <f>Inputs!B114</f>
        <v>As fixed amount</v>
      </c>
    </row>
    <row r="173" spans="1:42" x14ac:dyDescent="0.2">
      <c r="A173" s="82" t="s">
        <v>4</v>
      </c>
      <c r="C173" s="123">
        <f>IF(ibi_fed_amount_tax_sta="Yes",C546,0)</f>
        <v>0</v>
      </c>
    </row>
    <row r="174" spans="1:42" x14ac:dyDescent="0.2">
      <c r="A174" s="82" t="s">
        <v>5</v>
      </c>
      <c r="C174" s="123">
        <f>IF(ibi_sta_amount_tax_sta="Yes",C547,0)</f>
        <v>0</v>
      </c>
    </row>
    <row r="175" spans="1:42" x14ac:dyDescent="0.2">
      <c r="A175" s="82" t="s">
        <v>185</v>
      </c>
      <c r="C175" s="123">
        <f>IF(ibi_uti_amount_tax_sta="Yes",C548,0)</f>
        <v>0</v>
      </c>
    </row>
    <row r="176" spans="1:42" x14ac:dyDescent="0.2">
      <c r="A176" s="82" t="s">
        <v>186</v>
      </c>
      <c r="C176" s="124">
        <f>IF(ibi_oth_amount_tax_sta="Yes",C549,0)</f>
        <v>0</v>
      </c>
    </row>
    <row r="177" spans="1:42" x14ac:dyDescent="0.2">
      <c r="A177" s="82" t="s">
        <v>13</v>
      </c>
      <c r="C177" s="123">
        <f>SUM(C173:C176)</f>
        <v>0</v>
      </c>
    </row>
    <row r="178" spans="1:42" x14ac:dyDescent="0.2">
      <c r="A178" s="91" t="str">
        <f>Inputs!B119</f>
        <v>As percentage</v>
      </c>
      <c r="C178" s="15"/>
    </row>
    <row r="179" spans="1:42" x14ac:dyDescent="0.2">
      <c r="A179" s="82" t="s">
        <v>4</v>
      </c>
      <c r="C179" s="123">
        <f>IF(ibi_fed_percent_tax_sta="Yes",C552,0)</f>
        <v>0</v>
      </c>
    </row>
    <row r="180" spans="1:42" x14ac:dyDescent="0.2">
      <c r="A180" s="82" t="s">
        <v>5</v>
      </c>
      <c r="C180" s="123">
        <f>IF(ibi_sta_percent_tax_sta="Yes",C553,0)</f>
        <v>0</v>
      </c>
    </row>
    <row r="181" spans="1:42" x14ac:dyDescent="0.2">
      <c r="A181" s="82" t="s">
        <v>185</v>
      </c>
      <c r="C181" s="123">
        <f>IF(ibi_uti_percent_tax_sta="Yes",C554,0)</f>
        <v>0</v>
      </c>
    </row>
    <row r="182" spans="1:42" x14ac:dyDescent="0.2">
      <c r="A182" s="82" t="s">
        <v>186</v>
      </c>
      <c r="C182" s="124">
        <f>IF(ibi_oth_percent_tax_sta="Yes",C555,0)</f>
        <v>0</v>
      </c>
    </row>
    <row r="183" spans="1:42" x14ac:dyDescent="0.2">
      <c r="A183" s="82" t="s">
        <v>13</v>
      </c>
      <c r="C183" s="123">
        <f>SUM(C179:C182)</f>
        <v>0</v>
      </c>
    </row>
    <row r="184" spans="1:42" x14ac:dyDescent="0.2">
      <c r="A184" s="90" t="str">
        <f>Inputs!B124</f>
        <v>Capacity Based Incentive (CBI)</v>
      </c>
    </row>
    <row r="185" spans="1:42" x14ac:dyDescent="0.2">
      <c r="A185" s="91" t="s">
        <v>4</v>
      </c>
      <c r="C185" s="123">
        <f>IF(cbi_fed_tax_sta="Yes",C559,0)</f>
        <v>0</v>
      </c>
    </row>
    <row r="186" spans="1:42" x14ac:dyDescent="0.2">
      <c r="A186" s="91" t="s">
        <v>5</v>
      </c>
      <c r="C186" s="123">
        <f>IF(cbi_sta_tax_sta="Yes",C560,0)</f>
        <v>0</v>
      </c>
    </row>
    <row r="187" spans="1:42" x14ac:dyDescent="0.2">
      <c r="A187" s="91" t="s">
        <v>185</v>
      </c>
      <c r="C187" s="123">
        <f>IF(cbi_uti_tax_sta="Yes",C561,0)</f>
        <v>0</v>
      </c>
    </row>
    <row r="188" spans="1:42" x14ac:dyDescent="0.2">
      <c r="A188" s="91" t="s">
        <v>186</v>
      </c>
      <c r="C188" s="124">
        <f>IF(cbi_oth_tax_sta="Yes",C562,0)</f>
        <v>0</v>
      </c>
    </row>
    <row r="189" spans="1:42" x14ac:dyDescent="0.2">
      <c r="A189" s="91" t="s">
        <v>13</v>
      </c>
      <c r="C189" s="123">
        <f>SUM(C185:C188)</f>
        <v>0</v>
      </c>
    </row>
    <row r="190" spans="1:42" x14ac:dyDescent="0.2">
      <c r="A190" s="90" t="str">
        <f>Inputs!B129</f>
        <v>Production Based Incentive (PBI)</v>
      </c>
      <c r="C190" s="15"/>
    </row>
    <row r="191" spans="1:42" x14ac:dyDescent="0.2">
      <c r="A191" s="91" t="s">
        <v>4</v>
      </c>
      <c r="C191" s="123">
        <f t="shared" ref="C191:AP191" si="65">IF(AND(pbi_fed_tax_sta="Yes",pbi_fed_for_ds="No"),C569,0)</f>
        <v>0</v>
      </c>
      <c r="D191" s="123">
        <f t="shared" si="65"/>
        <v>0</v>
      </c>
      <c r="E191" s="123">
        <f t="shared" si="65"/>
        <v>0</v>
      </c>
      <c r="F191" s="123">
        <f t="shared" si="65"/>
        <v>0</v>
      </c>
      <c r="G191" s="123">
        <f t="shared" si="65"/>
        <v>0</v>
      </c>
      <c r="H191" s="123">
        <f t="shared" si="65"/>
        <v>0</v>
      </c>
      <c r="I191" s="123">
        <f t="shared" si="65"/>
        <v>0</v>
      </c>
      <c r="J191" s="123">
        <f t="shared" si="65"/>
        <v>0</v>
      </c>
      <c r="K191" s="123">
        <f t="shared" si="65"/>
        <v>0</v>
      </c>
      <c r="L191" s="123">
        <f t="shared" si="65"/>
        <v>0</v>
      </c>
      <c r="M191" s="123">
        <f t="shared" si="65"/>
        <v>0</v>
      </c>
      <c r="N191" s="123">
        <f t="shared" si="65"/>
        <v>0</v>
      </c>
      <c r="O191" s="123">
        <f t="shared" si="65"/>
        <v>0</v>
      </c>
      <c r="P191" s="123">
        <f t="shared" si="65"/>
        <v>0</v>
      </c>
      <c r="Q191" s="123">
        <f t="shared" si="65"/>
        <v>0</v>
      </c>
      <c r="R191" s="123">
        <f t="shared" si="65"/>
        <v>0</v>
      </c>
      <c r="S191" s="123">
        <f t="shared" si="65"/>
        <v>0</v>
      </c>
      <c r="T191" s="123">
        <f t="shared" si="65"/>
        <v>0</v>
      </c>
      <c r="U191" s="123">
        <f t="shared" si="65"/>
        <v>0</v>
      </c>
      <c r="V191" s="123">
        <f t="shared" si="65"/>
        <v>0</v>
      </c>
      <c r="W191" s="123">
        <f t="shared" si="65"/>
        <v>0</v>
      </c>
      <c r="X191" s="123">
        <f t="shared" si="65"/>
        <v>0</v>
      </c>
      <c r="Y191" s="123">
        <f t="shared" si="65"/>
        <v>0</v>
      </c>
      <c r="Z191" s="123">
        <f t="shared" si="65"/>
        <v>0</v>
      </c>
      <c r="AA191" s="123">
        <f t="shared" si="65"/>
        <v>0</v>
      </c>
      <c r="AB191" s="123">
        <f t="shared" si="65"/>
        <v>0</v>
      </c>
      <c r="AC191" s="123">
        <f t="shared" si="65"/>
        <v>0</v>
      </c>
      <c r="AD191" s="123">
        <f t="shared" si="65"/>
        <v>0</v>
      </c>
      <c r="AE191" s="123">
        <f t="shared" si="65"/>
        <v>0</v>
      </c>
      <c r="AF191" s="123">
        <f t="shared" si="65"/>
        <v>0</v>
      </c>
      <c r="AG191" s="123">
        <f t="shared" si="65"/>
        <v>0</v>
      </c>
      <c r="AH191" s="123">
        <f t="shared" si="65"/>
        <v>0</v>
      </c>
      <c r="AI191" s="123">
        <f t="shared" si="65"/>
        <v>0</v>
      </c>
      <c r="AJ191" s="123">
        <f t="shared" si="65"/>
        <v>0</v>
      </c>
      <c r="AK191" s="123">
        <f t="shared" si="65"/>
        <v>0</v>
      </c>
      <c r="AL191" s="123">
        <f t="shared" si="65"/>
        <v>0</v>
      </c>
      <c r="AM191" s="123">
        <f t="shared" si="65"/>
        <v>0</v>
      </c>
      <c r="AN191" s="123">
        <f t="shared" si="65"/>
        <v>0</v>
      </c>
      <c r="AO191" s="123">
        <f t="shared" si="65"/>
        <v>0</v>
      </c>
      <c r="AP191" s="123">
        <f t="shared" si="65"/>
        <v>0</v>
      </c>
    </row>
    <row r="192" spans="1:42" x14ac:dyDescent="0.2">
      <c r="A192" s="91" t="s">
        <v>5</v>
      </c>
      <c r="C192" s="123">
        <f t="shared" ref="C192:AP192" si="66">IF(AND(pbi_sta_tax_sta="Yes",pbi_sta_for_ds="No"),C573,0)</f>
        <v>0</v>
      </c>
      <c r="D192" s="123">
        <f t="shared" si="66"/>
        <v>0</v>
      </c>
      <c r="E192" s="123">
        <f t="shared" si="66"/>
        <v>0</v>
      </c>
      <c r="F192" s="123">
        <f t="shared" si="66"/>
        <v>0</v>
      </c>
      <c r="G192" s="123">
        <f t="shared" si="66"/>
        <v>0</v>
      </c>
      <c r="H192" s="123">
        <f t="shared" si="66"/>
        <v>0</v>
      </c>
      <c r="I192" s="123">
        <f t="shared" si="66"/>
        <v>0</v>
      </c>
      <c r="J192" s="123">
        <f t="shared" si="66"/>
        <v>0</v>
      </c>
      <c r="K192" s="123">
        <f t="shared" si="66"/>
        <v>0</v>
      </c>
      <c r="L192" s="123">
        <f t="shared" si="66"/>
        <v>0</v>
      </c>
      <c r="M192" s="123">
        <f t="shared" si="66"/>
        <v>0</v>
      </c>
      <c r="N192" s="123">
        <f t="shared" si="66"/>
        <v>0</v>
      </c>
      <c r="O192" s="123">
        <f t="shared" si="66"/>
        <v>0</v>
      </c>
      <c r="P192" s="123">
        <f t="shared" si="66"/>
        <v>0</v>
      </c>
      <c r="Q192" s="123">
        <f t="shared" si="66"/>
        <v>0</v>
      </c>
      <c r="R192" s="123">
        <f t="shared" si="66"/>
        <v>0</v>
      </c>
      <c r="S192" s="123">
        <f t="shared" si="66"/>
        <v>0</v>
      </c>
      <c r="T192" s="123">
        <f t="shared" si="66"/>
        <v>0</v>
      </c>
      <c r="U192" s="123">
        <f t="shared" si="66"/>
        <v>0</v>
      </c>
      <c r="V192" s="123">
        <f t="shared" si="66"/>
        <v>0</v>
      </c>
      <c r="W192" s="123">
        <f t="shared" si="66"/>
        <v>0</v>
      </c>
      <c r="X192" s="123">
        <f t="shared" si="66"/>
        <v>0</v>
      </c>
      <c r="Y192" s="123">
        <f t="shared" si="66"/>
        <v>0</v>
      </c>
      <c r="Z192" s="123">
        <f t="shared" si="66"/>
        <v>0</v>
      </c>
      <c r="AA192" s="123">
        <f t="shared" si="66"/>
        <v>0</v>
      </c>
      <c r="AB192" s="123">
        <f t="shared" si="66"/>
        <v>0</v>
      </c>
      <c r="AC192" s="123">
        <f t="shared" si="66"/>
        <v>0</v>
      </c>
      <c r="AD192" s="123">
        <f t="shared" si="66"/>
        <v>0</v>
      </c>
      <c r="AE192" s="123">
        <f t="shared" si="66"/>
        <v>0</v>
      </c>
      <c r="AF192" s="123">
        <f t="shared" si="66"/>
        <v>0</v>
      </c>
      <c r="AG192" s="123">
        <f t="shared" si="66"/>
        <v>0</v>
      </c>
      <c r="AH192" s="123">
        <f t="shared" si="66"/>
        <v>0</v>
      </c>
      <c r="AI192" s="123">
        <f t="shared" si="66"/>
        <v>0</v>
      </c>
      <c r="AJ192" s="123">
        <f t="shared" si="66"/>
        <v>0</v>
      </c>
      <c r="AK192" s="123">
        <f t="shared" si="66"/>
        <v>0</v>
      </c>
      <c r="AL192" s="123">
        <f t="shared" si="66"/>
        <v>0</v>
      </c>
      <c r="AM192" s="123">
        <f t="shared" si="66"/>
        <v>0</v>
      </c>
      <c r="AN192" s="123">
        <f t="shared" si="66"/>
        <v>0</v>
      </c>
      <c r="AO192" s="123">
        <f t="shared" si="66"/>
        <v>0</v>
      </c>
      <c r="AP192" s="123">
        <f t="shared" si="66"/>
        <v>0</v>
      </c>
    </row>
    <row r="193" spans="1:42" x14ac:dyDescent="0.2">
      <c r="A193" s="91" t="s">
        <v>185</v>
      </c>
      <c r="C193" s="123">
        <f t="shared" ref="C193:AP193" si="67">IF(AND(pbi_uti_tax_sta="Yes",pbi_uti_for_ds="No"),C577,0)</f>
        <v>0</v>
      </c>
      <c r="D193" s="123">
        <f t="shared" si="67"/>
        <v>0</v>
      </c>
      <c r="E193" s="123">
        <f t="shared" si="67"/>
        <v>0</v>
      </c>
      <c r="F193" s="123">
        <f t="shared" si="67"/>
        <v>0</v>
      </c>
      <c r="G193" s="123">
        <f t="shared" si="67"/>
        <v>0</v>
      </c>
      <c r="H193" s="123">
        <f t="shared" si="67"/>
        <v>0</v>
      </c>
      <c r="I193" s="123">
        <f t="shared" si="67"/>
        <v>0</v>
      </c>
      <c r="J193" s="123">
        <f t="shared" si="67"/>
        <v>0</v>
      </c>
      <c r="K193" s="123">
        <f t="shared" si="67"/>
        <v>0</v>
      </c>
      <c r="L193" s="123">
        <f t="shared" si="67"/>
        <v>0</v>
      </c>
      <c r="M193" s="123">
        <f t="shared" si="67"/>
        <v>0</v>
      </c>
      <c r="N193" s="123">
        <f t="shared" si="67"/>
        <v>0</v>
      </c>
      <c r="O193" s="123">
        <f t="shared" si="67"/>
        <v>0</v>
      </c>
      <c r="P193" s="123">
        <f t="shared" si="67"/>
        <v>0</v>
      </c>
      <c r="Q193" s="123">
        <f t="shared" si="67"/>
        <v>0</v>
      </c>
      <c r="R193" s="123">
        <f t="shared" si="67"/>
        <v>0</v>
      </c>
      <c r="S193" s="123">
        <f t="shared" si="67"/>
        <v>0</v>
      </c>
      <c r="T193" s="123">
        <f t="shared" si="67"/>
        <v>0</v>
      </c>
      <c r="U193" s="123">
        <f t="shared" si="67"/>
        <v>0</v>
      </c>
      <c r="V193" s="123">
        <f t="shared" si="67"/>
        <v>0</v>
      </c>
      <c r="W193" s="123">
        <f t="shared" si="67"/>
        <v>0</v>
      </c>
      <c r="X193" s="123">
        <f t="shared" si="67"/>
        <v>0</v>
      </c>
      <c r="Y193" s="123">
        <f t="shared" si="67"/>
        <v>0</v>
      </c>
      <c r="Z193" s="123">
        <f t="shared" si="67"/>
        <v>0</v>
      </c>
      <c r="AA193" s="123">
        <f t="shared" si="67"/>
        <v>0</v>
      </c>
      <c r="AB193" s="123">
        <f t="shared" si="67"/>
        <v>0</v>
      </c>
      <c r="AC193" s="123">
        <f t="shared" si="67"/>
        <v>0</v>
      </c>
      <c r="AD193" s="123">
        <f t="shared" si="67"/>
        <v>0</v>
      </c>
      <c r="AE193" s="123">
        <f t="shared" si="67"/>
        <v>0</v>
      </c>
      <c r="AF193" s="123">
        <f t="shared" si="67"/>
        <v>0</v>
      </c>
      <c r="AG193" s="123">
        <f t="shared" si="67"/>
        <v>0</v>
      </c>
      <c r="AH193" s="123">
        <f t="shared" si="67"/>
        <v>0</v>
      </c>
      <c r="AI193" s="123">
        <f t="shared" si="67"/>
        <v>0</v>
      </c>
      <c r="AJ193" s="123">
        <f t="shared" si="67"/>
        <v>0</v>
      </c>
      <c r="AK193" s="123">
        <f t="shared" si="67"/>
        <v>0</v>
      </c>
      <c r="AL193" s="123">
        <f t="shared" si="67"/>
        <v>0</v>
      </c>
      <c r="AM193" s="123">
        <f t="shared" si="67"/>
        <v>0</v>
      </c>
      <c r="AN193" s="123">
        <f t="shared" si="67"/>
        <v>0</v>
      </c>
      <c r="AO193" s="123">
        <f t="shared" si="67"/>
        <v>0</v>
      </c>
      <c r="AP193" s="123">
        <f t="shared" si="67"/>
        <v>0</v>
      </c>
    </row>
    <row r="194" spans="1:42" x14ac:dyDescent="0.2">
      <c r="A194" s="91" t="s">
        <v>186</v>
      </c>
      <c r="C194" s="124">
        <f t="shared" ref="C194:AP194" si="68">IF(AND(pbi_oth_tax_sta="Yes",pbi_oth_for_ds="No"),C581,0)</f>
        <v>0</v>
      </c>
      <c r="D194" s="124">
        <f t="shared" si="68"/>
        <v>0</v>
      </c>
      <c r="E194" s="124">
        <f t="shared" si="68"/>
        <v>0</v>
      </c>
      <c r="F194" s="124">
        <f t="shared" si="68"/>
        <v>0</v>
      </c>
      <c r="G194" s="124">
        <f t="shared" si="68"/>
        <v>0</v>
      </c>
      <c r="H194" s="124">
        <f t="shared" si="68"/>
        <v>0</v>
      </c>
      <c r="I194" s="124">
        <f t="shared" si="68"/>
        <v>0</v>
      </c>
      <c r="J194" s="124">
        <f t="shared" si="68"/>
        <v>0</v>
      </c>
      <c r="K194" s="124">
        <f t="shared" si="68"/>
        <v>0</v>
      </c>
      <c r="L194" s="124">
        <f t="shared" si="68"/>
        <v>0</v>
      </c>
      <c r="M194" s="124">
        <f t="shared" si="68"/>
        <v>0</v>
      </c>
      <c r="N194" s="124">
        <f t="shared" si="68"/>
        <v>0</v>
      </c>
      <c r="O194" s="124">
        <f t="shared" si="68"/>
        <v>0</v>
      </c>
      <c r="P194" s="124">
        <f t="shared" si="68"/>
        <v>0</v>
      </c>
      <c r="Q194" s="124">
        <f t="shared" si="68"/>
        <v>0</v>
      </c>
      <c r="R194" s="124">
        <f t="shared" si="68"/>
        <v>0</v>
      </c>
      <c r="S194" s="124">
        <f t="shared" si="68"/>
        <v>0</v>
      </c>
      <c r="T194" s="124">
        <f t="shared" si="68"/>
        <v>0</v>
      </c>
      <c r="U194" s="124">
        <f t="shared" si="68"/>
        <v>0</v>
      </c>
      <c r="V194" s="124">
        <f t="shared" si="68"/>
        <v>0</v>
      </c>
      <c r="W194" s="124">
        <f t="shared" si="68"/>
        <v>0</v>
      </c>
      <c r="X194" s="124">
        <f t="shared" si="68"/>
        <v>0</v>
      </c>
      <c r="Y194" s="124">
        <f t="shared" si="68"/>
        <v>0</v>
      </c>
      <c r="Z194" s="124">
        <f t="shared" si="68"/>
        <v>0</v>
      </c>
      <c r="AA194" s="124">
        <f t="shared" si="68"/>
        <v>0</v>
      </c>
      <c r="AB194" s="124">
        <f t="shared" si="68"/>
        <v>0</v>
      </c>
      <c r="AC194" s="124">
        <f t="shared" si="68"/>
        <v>0</v>
      </c>
      <c r="AD194" s="124">
        <f t="shared" si="68"/>
        <v>0</v>
      </c>
      <c r="AE194" s="124">
        <f t="shared" si="68"/>
        <v>0</v>
      </c>
      <c r="AF194" s="124">
        <f t="shared" si="68"/>
        <v>0</v>
      </c>
      <c r="AG194" s="124">
        <f t="shared" si="68"/>
        <v>0</v>
      </c>
      <c r="AH194" s="124">
        <f t="shared" si="68"/>
        <v>0</v>
      </c>
      <c r="AI194" s="124">
        <f t="shared" si="68"/>
        <v>0</v>
      </c>
      <c r="AJ194" s="124">
        <f t="shared" si="68"/>
        <v>0</v>
      </c>
      <c r="AK194" s="124">
        <f t="shared" si="68"/>
        <v>0</v>
      </c>
      <c r="AL194" s="124">
        <f t="shared" si="68"/>
        <v>0</v>
      </c>
      <c r="AM194" s="124">
        <f t="shared" si="68"/>
        <v>0</v>
      </c>
      <c r="AN194" s="124">
        <f t="shared" si="68"/>
        <v>0</v>
      </c>
      <c r="AO194" s="124">
        <f t="shared" si="68"/>
        <v>0</v>
      </c>
      <c r="AP194" s="124">
        <f t="shared" si="68"/>
        <v>0</v>
      </c>
    </row>
    <row r="195" spans="1:42" x14ac:dyDescent="0.2">
      <c r="A195" s="91" t="s">
        <v>13</v>
      </c>
      <c r="C195" s="152">
        <f>SUM(C191:C194)</f>
        <v>0</v>
      </c>
      <c r="D195" s="152">
        <f t="shared" ref="D195:AL195" si="69">SUM(D191:D194)</f>
        <v>0</v>
      </c>
      <c r="E195" s="152">
        <f t="shared" si="69"/>
        <v>0</v>
      </c>
      <c r="F195" s="152">
        <f t="shared" si="69"/>
        <v>0</v>
      </c>
      <c r="G195" s="152">
        <f t="shared" si="69"/>
        <v>0</v>
      </c>
      <c r="H195" s="152">
        <f t="shared" si="69"/>
        <v>0</v>
      </c>
      <c r="I195" s="152">
        <f t="shared" si="69"/>
        <v>0</v>
      </c>
      <c r="J195" s="152">
        <f t="shared" si="69"/>
        <v>0</v>
      </c>
      <c r="K195" s="152">
        <f t="shared" si="69"/>
        <v>0</v>
      </c>
      <c r="L195" s="152">
        <f t="shared" si="69"/>
        <v>0</v>
      </c>
      <c r="M195" s="152">
        <f t="shared" si="69"/>
        <v>0</v>
      </c>
      <c r="N195" s="152">
        <f t="shared" si="69"/>
        <v>0</v>
      </c>
      <c r="O195" s="152">
        <f t="shared" si="69"/>
        <v>0</v>
      </c>
      <c r="P195" s="152">
        <f t="shared" si="69"/>
        <v>0</v>
      </c>
      <c r="Q195" s="152">
        <f t="shared" si="69"/>
        <v>0</v>
      </c>
      <c r="R195" s="152">
        <f t="shared" si="69"/>
        <v>0</v>
      </c>
      <c r="S195" s="152">
        <f t="shared" si="69"/>
        <v>0</v>
      </c>
      <c r="T195" s="152">
        <f t="shared" si="69"/>
        <v>0</v>
      </c>
      <c r="U195" s="152">
        <f t="shared" si="69"/>
        <v>0</v>
      </c>
      <c r="V195" s="152">
        <f t="shared" si="69"/>
        <v>0</v>
      </c>
      <c r="W195" s="152">
        <f t="shared" si="69"/>
        <v>0</v>
      </c>
      <c r="X195" s="152">
        <f t="shared" si="69"/>
        <v>0</v>
      </c>
      <c r="Y195" s="152">
        <f t="shared" si="69"/>
        <v>0</v>
      </c>
      <c r="Z195" s="152">
        <f t="shared" si="69"/>
        <v>0</v>
      </c>
      <c r="AA195" s="152">
        <f t="shared" si="69"/>
        <v>0</v>
      </c>
      <c r="AB195" s="152">
        <f t="shared" si="69"/>
        <v>0</v>
      </c>
      <c r="AC195" s="152">
        <f t="shared" si="69"/>
        <v>0</v>
      </c>
      <c r="AD195" s="152">
        <f t="shared" si="69"/>
        <v>0</v>
      </c>
      <c r="AE195" s="152">
        <f t="shared" si="69"/>
        <v>0</v>
      </c>
      <c r="AF195" s="152">
        <f t="shared" si="69"/>
        <v>0</v>
      </c>
      <c r="AG195" s="152">
        <f t="shared" si="69"/>
        <v>0</v>
      </c>
      <c r="AH195" s="152">
        <f t="shared" si="69"/>
        <v>0</v>
      </c>
      <c r="AI195" s="152">
        <f t="shared" si="69"/>
        <v>0</v>
      </c>
      <c r="AJ195" s="152">
        <f t="shared" si="69"/>
        <v>0</v>
      </c>
      <c r="AK195" s="152">
        <f t="shared" si="69"/>
        <v>0</v>
      </c>
      <c r="AL195" s="152">
        <f t="shared" si="69"/>
        <v>0</v>
      </c>
      <c r="AM195" s="152">
        <f>SUM(AM191:AM194)</f>
        <v>0</v>
      </c>
      <c r="AN195" s="152">
        <f t="shared" ref="AN195:AP195" si="70">SUM(AN191:AN194)</f>
        <v>0</v>
      </c>
      <c r="AO195" s="152">
        <f t="shared" si="70"/>
        <v>0</v>
      </c>
      <c r="AP195" s="152">
        <f t="shared" si="70"/>
        <v>0</v>
      </c>
    </row>
    <row r="196" spans="1:42" x14ac:dyDescent="0.2">
      <c r="A196" s="90" t="s">
        <v>40</v>
      </c>
      <c r="C196" s="123">
        <f>C177+C183+C189+C195</f>
        <v>0</v>
      </c>
      <c r="D196" s="123">
        <f>D177+D183+D189+D195</f>
        <v>0</v>
      </c>
      <c r="E196" s="123">
        <f t="shared" ref="E196:AP196" si="71">E177+E183+E189+E195</f>
        <v>0</v>
      </c>
      <c r="F196" s="123">
        <f t="shared" si="71"/>
        <v>0</v>
      </c>
      <c r="G196" s="123">
        <f t="shared" si="71"/>
        <v>0</v>
      </c>
      <c r="H196" s="123">
        <f t="shared" si="71"/>
        <v>0</v>
      </c>
      <c r="I196" s="123">
        <f t="shared" si="71"/>
        <v>0</v>
      </c>
      <c r="J196" s="123">
        <f t="shared" si="71"/>
        <v>0</v>
      </c>
      <c r="K196" s="123">
        <f t="shared" si="71"/>
        <v>0</v>
      </c>
      <c r="L196" s="123">
        <f t="shared" si="71"/>
        <v>0</v>
      </c>
      <c r="M196" s="123">
        <f t="shared" si="71"/>
        <v>0</v>
      </c>
      <c r="N196" s="123">
        <f t="shared" si="71"/>
        <v>0</v>
      </c>
      <c r="O196" s="123">
        <f t="shared" si="71"/>
        <v>0</v>
      </c>
      <c r="P196" s="123">
        <f t="shared" si="71"/>
        <v>0</v>
      </c>
      <c r="Q196" s="123">
        <f t="shared" si="71"/>
        <v>0</v>
      </c>
      <c r="R196" s="123">
        <f t="shared" si="71"/>
        <v>0</v>
      </c>
      <c r="S196" s="123">
        <f t="shared" si="71"/>
        <v>0</v>
      </c>
      <c r="T196" s="123">
        <f t="shared" si="71"/>
        <v>0</v>
      </c>
      <c r="U196" s="123">
        <f t="shared" si="71"/>
        <v>0</v>
      </c>
      <c r="V196" s="123">
        <f t="shared" si="71"/>
        <v>0</v>
      </c>
      <c r="W196" s="123">
        <f t="shared" si="71"/>
        <v>0</v>
      </c>
      <c r="X196" s="123">
        <f t="shared" si="71"/>
        <v>0</v>
      </c>
      <c r="Y196" s="123">
        <f t="shared" si="71"/>
        <v>0</v>
      </c>
      <c r="Z196" s="123">
        <f t="shared" si="71"/>
        <v>0</v>
      </c>
      <c r="AA196" s="123">
        <f t="shared" si="71"/>
        <v>0</v>
      </c>
      <c r="AB196" s="123">
        <f t="shared" si="71"/>
        <v>0</v>
      </c>
      <c r="AC196" s="123">
        <f t="shared" si="71"/>
        <v>0</v>
      </c>
      <c r="AD196" s="123">
        <f t="shared" si="71"/>
        <v>0</v>
      </c>
      <c r="AE196" s="123">
        <f t="shared" si="71"/>
        <v>0</v>
      </c>
      <c r="AF196" s="123">
        <f t="shared" si="71"/>
        <v>0</v>
      </c>
      <c r="AG196" s="123">
        <f t="shared" si="71"/>
        <v>0</v>
      </c>
      <c r="AH196" s="123">
        <f t="shared" si="71"/>
        <v>0</v>
      </c>
      <c r="AI196" s="123">
        <f t="shared" si="71"/>
        <v>0</v>
      </c>
      <c r="AJ196" s="123">
        <f t="shared" si="71"/>
        <v>0</v>
      </c>
      <c r="AK196" s="123">
        <f t="shared" si="71"/>
        <v>0</v>
      </c>
      <c r="AL196" s="123">
        <f t="shared" si="71"/>
        <v>0</v>
      </c>
      <c r="AM196" s="123">
        <f t="shared" si="71"/>
        <v>0</v>
      </c>
      <c r="AN196" s="123">
        <f t="shared" si="71"/>
        <v>0</v>
      </c>
      <c r="AO196" s="123">
        <f t="shared" si="71"/>
        <v>0</v>
      </c>
      <c r="AP196" s="123">
        <f t="shared" si="71"/>
        <v>0</v>
      </c>
    </row>
    <row r="197" spans="1:42" x14ac:dyDescent="0.2">
      <c r="A197" s="91"/>
    </row>
    <row r="198" spans="1:42" x14ac:dyDescent="0.2">
      <c r="A198" s="90" t="s">
        <v>188</v>
      </c>
      <c r="C198" s="163">
        <f>C170+C196</f>
        <v>-13037141.225983154</v>
      </c>
      <c r="D198" s="163">
        <f t="shared" ref="D198:AP198" si="72">D170+D196</f>
        <v>-23621984.776432849</v>
      </c>
      <c r="E198" s="163">
        <f t="shared" si="72"/>
        <v>-12366585.448307209</v>
      </c>
      <c r="F198" s="163">
        <f t="shared" si="72"/>
        <v>-5561731.1854455285</v>
      </c>
      <c r="G198" s="163">
        <f t="shared" si="72"/>
        <v>-5432972.4864184987</v>
      </c>
      <c r="H198" s="163">
        <f t="shared" si="72"/>
        <v>-293628.03328089695</v>
      </c>
      <c r="I198" s="163">
        <f t="shared" si="72"/>
        <v>4842859.5288301837</v>
      </c>
      <c r="J198" s="163">
        <f t="shared" si="72"/>
        <v>4968829.0177344121</v>
      </c>
      <c r="K198" s="163">
        <f t="shared" si="72"/>
        <v>5098312.7890640749</v>
      </c>
      <c r="L198" s="163">
        <f t="shared" si="72"/>
        <v>5231960.5781750083</v>
      </c>
      <c r="M198" s="163">
        <f t="shared" si="72"/>
        <v>5369223.7939534811</v>
      </c>
      <c r="N198" s="163">
        <f t="shared" si="72"/>
        <v>5511196.6044955458</v>
      </c>
      <c r="O198" s="163">
        <f t="shared" si="72"/>
        <v>5656497.6092253085</v>
      </c>
      <c r="P198" s="163">
        <f t="shared" si="72"/>
        <v>5807093.6608740203</v>
      </c>
      <c r="Q198" s="163">
        <f t="shared" si="72"/>
        <v>3135533.2130006435</v>
      </c>
      <c r="R198" s="163">
        <f t="shared" si="72"/>
        <v>1572466.7050486272</v>
      </c>
      <c r="S198" s="163">
        <f t="shared" si="72"/>
        <v>3707448.6766717276</v>
      </c>
      <c r="T198" s="163">
        <f t="shared" si="72"/>
        <v>4980273.4092248585</v>
      </c>
      <c r="U198" s="163">
        <f t="shared" si="72"/>
        <v>5141063.160906964</v>
      </c>
      <c r="V198" s="163">
        <f t="shared" si="72"/>
        <v>5942674.4248858225</v>
      </c>
      <c r="W198" s="163">
        <f t="shared" si="72"/>
        <v>6828300.0080671301</v>
      </c>
      <c r="X198" s="163">
        <f t="shared" si="72"/>
        <v>6898793.302909432</v>
      </c>
      <c r="Y198" s="163">
        <f t="shared" si="72"/>
        <v>6882742.6354821688</v>
      </c>
      <c r="Z198" s="163">
        <f t="shared" si="72"/>
        <v>6865367.2013692223</v>
      </c>
      <c r="AA198" s="163">
        <f t="shared" si="72"/>
        <v>6846607.8814034527</v>
      </c>
      <c r="AB198" s="163">
        <f t="shared" si="72"/>
        <v>0</v>
      </c>
      <c r="AC198" s="163">
        <f t="shared" si="72"/>
        <v>0</v>
      </c>
      <c r="AD198" s="163">
        <f t="shared" si="72"/>
        <v>0</v>
      </c>
      <c r="AE198" s="163">
        <f t="shared" si="72"/>
        <v>0</v>
      </c>
      <c r="AF198" s="163">
        <f t="shared" si="72"/>
        <v>0</v>
      </c>
      <c r="AG198" s="163">
        <f t="shared" si="72"/>
        <v>0</v>
      </c>
      <c r="AH198" s="163">
        <f t="shared" si="72"/>
        <v>0</v>
      </c>
      <c r="AI198" s="163">
        <f t="shared" si="72"/>
        <v>0</v>
      </c>
      <c r="AJ198" s="163">
        <f t="shared" si="72"/>
        <v>0</v>
      </c>
      <c r="AK198" s="163">
        <f t="shared" si="72"/>
        <v>0</v>
      </c>
      <c r="AL198" s="163">
        <f t="shared" si="72"/>
        <v>0</v>
      </c>
      <c r="AM198" s="163">
        <f t="shared" si="72"/>
        <v>0</v>
      </c>
      <c r="AN198" s="163">
        <f t="shared" si="72"/>
        <v>0</v>
      </c>
      <c r="AO198" s="163">
        <f t="shared" si="72"/>
        <v>0</v>
      </c>
      <c r="AP198" s="163">
        <f t="shared" si="72"/>
        <v>0</v>
      </c>
    </row>
    <row r="199" spans="1:42" x14ac:dyDescent="0.2">
      <c r="A199" s="90" t="s">
        <v>287</v>
      </c>
      <c r="B199" s="4">
        <f t="array" ref="B199:AP199">Inputs!C166:AQ166</f>
        <v>0</v>
      </c>
      <c r="C199" s="163">
        <v>7</v>
      </c>
      <c r="D199" s="163">
        <v>7</v>
      </c>
      <c r="E199" s="163">
        <v>7</v>
      </c>
      <c r="F199" s="163">
        <v>7</v>
      </c>
      <c r="G199" s="163">
        <v>7</v>
      </c>
      <c r="H199" s="163">
        <v>7</v>
      </c>
      <c r="I199" s="163">
        <v>7</v>
      </c>
      <c r="J199" s="163">
        <v>7</v>
      </c>
      <c r="K199" s="163">
        <v>7</v>
      </c>
      <c r="L199" s="163">
        <v>7</v>
      </c>
      <c r="M199" s="163">
        <v>7</v>
      </c>
      <c r="N199" s="163">
        <v>7</v>
      </c>
      <c r="O199" s="163">
        <v>7</v>
      </c>
      <c r="P199" s="163">
        <v>7</v>
      </c>
      <c r="Q199" s="163">
        <v>7</v>
      </c>
      <c r="R199" s="163">
        <v>7</v>
      </c>
      <c r="S199" s="163">
        <v>7</v>
      </c>
      <c r="T199" s="163">
        <v>7</v>
      </c>
      <c r="U199" s="163">
        <v>7</v>
      </c>
      <c r="V199" s="163">
        <v>7</v>
      </c>
      <c r="W199" s="163">
        <v>7</v>
      </c>
      <c r="X199" s="163">
        <v>7</v>
      </c>
      <c r="Y199" s="163">
        <v>7</v>
      </c>
      <c r="Z199" s="163">
        <v>7</v>
      </c>
      <c r="AA199" s="163">
        <v>7</v>
      </c>
      <c r="AB199" s="163">
        <v>0</v>
      </c>
      <c r="AC199" s="163">
        <v>0</v>
      </c>
      <c r="AD199" s="163">
        <v>0</v>
      </c>
      <c r="AE199" s="163">
        <v>0</v>
      </c>
      <c r="AF199" s="163">
        <v>0</v>
      </c>
      <c r="AG199" s="163">
        <v>0</v>
      </c>
      <c r="AH199" s="163">
        <v>0</v>
      </c>
      <c r="AI199" s="163">
        <v>0</v>
      </c>
      <c r="AJ199" s="163">
        <v>0</v>
      </c>
      <c r="AK199" s="163">
        <v>0</v>
      </c>
      <c r="AL199" s="163">
        <v>0</v>
      </c>
      <c r="AM199" s="163">
        <v>0</v>
      </c>
      <c r="AN199" s="163">
        <v>0</v>
      </c>
      <c r="AO199" s="163">
        <v>0</v>
      </c>
      <c r="AP199" s="163">
        <v>0</v>
      </c>
    </row>
    <row r="200" spans="1:42" x14ac:dyDescent="0.2">
      <c r="A200" s="18" t="s">
        <v>39</v>
      </c>
      <c r="C200" s="166">
        <f>C198*-C199/100</f>
        <v>912599.8858188208</v>
      </c>
      <c r="D200" s="166">
        <f t="shared" ref="D200:AP200" si="73">D198*-D199/100</f>
        <v>1653538.9343502996</v>
      </c>
      <c r="E200" s="166">
        <f t="shared" si="73"/>
        <v>865660.98138150456</v>
      </c>
      <c r="F200" s="166">
        <f t="shared" si="73"/>
        <v>389321.18298118695</v>
      </c>
      <c r="G200" s="166">
        <f t="shared" si="73"/>
        <v>380308.07404929487</v>
      </c>
      <c r="H200" s="166">
        <f t="shared" si="73"/>
        <v>20553.962329662787</v>
      </c>
      <c r="I200" s="166">
        <f t="shared" si="73"/>
        <v>-339000.16701811284</v>
      </c>
      <c r="J200" s="166">
        <f t="shared" si="73"/>
        <v>-347818.0312414089</v>
      </c>
      <c r="K200" s="166">
        <f t="shared" si="73"/>
        <v>-356881.89523448527</v>
      </c>
      <c r="L200" s="166">
        <f t="shared" si="73"/>
        <v>-366237.24047225056</v>
      </c>
      <c r="M200" s="166">
        <f t="shared" si="73"/>
        <v>-375845.66557674372</v>
      </c>
      <c r="N200" s="166">
        <f t="shared" si="73"/>
        <v>-385783.76231468818</v>
      </c>
      <c r="O200" s="166">
        <f t="shared" si="73"/>
        <v>-395954.83264577156</v>
      </c>
      <c r="P200" s="166">
        <f t="shared" si="73"/>
        <v>-406496.55626118137</v>
      </c>
      <c r="Q200" s="166">
        <f t="shared" si="73"/>
        <v>-219487.32491004505</v>
      </c>
      <c r="R200" s="166">
        <f t="shared" si="73"/>
        <v>-110072.66935340389</v>
      </c>
      <c r="S200" s="166">
        <f t="shared" si="73"/>
        <v>-259521.40736702093</v>
      </c>
      <c r="T200" s="166">
        <f t="shared" si="73"/>
        <v>-348619.13864574005</v>
      </c>
      <c r="U200" s="166">
        <f t="shared" si="73"/>
        <v>-359874.42126348749</v>
      </c>
      <c r="V200" s="166">
        <f t="shared" si="73"/>
        <v>-415987.20974200754</v>
      </c>
      <c r="W200" s="166">
        <f t="shared" si="73"/>
        <v>-477981.00056469912</v>
      </c>
      <c r="X200" s="166">
        <f t="shared" si="73"/>
        <v>-482915.53120366024</v>
      </c>
      <c r="Y200" s="166">
        <f t="shared" si="73"/>
        <v>-481791.98448375182</v>
      </c>
      <c r="Z200" s="166">
        <f t="shared" si="73"/>
        <v>-480575.70409584552</v>
      </c>
      <c r="AA200" s="166">
        <f t="shared" si="73"/>
        <v>-479262.55169824167</v>
      </c>
      <c r="AB200" s="166">
        <f t="shared" si="73"/>
        <v>0</v>
      </c>
      <c r="AC200" s="166">
        <f t="shared" si="73"/>
        <v>0</v>
      </c>
      <c r="AD200" s="166">
        <f t="shared" si="73"/>
        <v>0</v>
      </c>
      <c r="AE200" s="166">
        <f t="shared" si="73"/>
        <v>0</v>
      </c>
      <c r="AF200" s="166">
        <f t="shared" si="73"/>
        <v>0</v>
      </c>
      <c r="AG200" s="166">
        <f t="shared" si="73"/>
        <v>0</v>
      </c>
      <c r="AH200" s="166">
        <f t="shared" si="73"/>
        <v>0</v>
      </c>
      <c r="AI200" s="166">
        <f t="shared" si="73"/>
        <v>0</v>
      </c>
      <c r="AJ200" s="166">
        <f t="shared" si="73"/>
        <v>0</v>
      </c>
      <c r="AK200" s="166">
        <f t="shared" si="73"/>
        <v>0</v>
      </c>
      <c r="AL200" s="166">
        <f t="shared" si="73"/>
        <v>0</v>
      </c>
      <c r="AM200" s="166">
        <f t="shared" si="73"/>
        <v>0</v>
      </c>
      <c r="AN200" s="166">
        <f t="shared" si="73"/>
        <v>0</v>
      </c>
      <c r="AO200" s="166">
        <f t="shared" si="73"/>
        <v>0</v>
      </c>
      <c r="AP200" s="166">
        <f t="shared" si="73"/>
        <v>0</v>
      </c>
    </row>
    <row r="202" spans="1:42" x14ac:dyDescent="0.2">
      <c r="A202" s="20" t="s">
        <v>33</v>
      </c>
    </row>
    <row r="203" spans="1:42" x14ac:dyDescent="0.2">
      <c r="A203" s="90" t="s">
        <v>30</v>
      </c>
      <c r="C203" s="163">
        <f>C$64</f>
        <v>6976300</v>
      </c>
      <c r="D203" s="163">
        <f t="shared" ref="D203:AP203" si="74">D$64</f>
        <v>6980760</v>
      </c>
      <c r="E203" s="163">
        <f t="shared" si="74"/>
        <v>6984482.5</v>
      </c>
      <c r="F203" s="163">
        <f t="shared" si="74"/>
        <v>6987464.0625</v>
      </c>
      <c r="G203" s="163">
        <f t="shared" si="74"/>
        <v>6989660.6640625</v>
      </c>
      <c r="H203" s="163">
        <f t="shared" si="74"/>
        <v>6991057.6806640634</v>
      </c>
      <c r="I203" s="163">
        <f t="shared" si="74"/>
        <v>6991639.8726806641</v>
      </c>
      <c r="J203" s="163">
        <f t="shared" si="74"/>
        <v>6991371.369497681</v>
      </c>
      <c r="K203" s="163">
        <f t="shared" si="74"/>
        <v>6990225.6537351236</v>
      </c>
      <c r="L203" s="163">
        <f t="shared" si="74"/>
        <v>6988185.545078502</v>
      </c>
      <c r="M203" s="163">
        <f t="shared" si="74"/>
        <v>6985223.183705464</v>
      </c>
      <c r="N203" s="163">
        <f t="shared" si="74"/>
        <v>6981300.0132981008</v>
      </c>
      <c r="O203" s="163">
        <f t="shared" si="74"/>
        <v>6976396.7636305541</v>
      </c>
      <c r="P203" s="163">
        <f t="shared" si="74"/>
        <v>6970483.4327213177</v>
      </c>
      <c r="Q203" s="163">
        <f t="shared" si="74"/>
        <v>6963519.2685393505</v>
      </c>
      <c r="R203" s="163">
        <f t="shared" si="74"/>
        <v>6955502.7502528336</v>
      </c>
      <c r="S203" s="163">
        <f t="shared" si="74"/>
        <v>6946371.569009155</v>
      </c>
      <c r="T203" s="163">
        <f t="shared" si="74"/>
        <v>6936112.608234385</v>
      </c>
      <c r="U203" s="163">
        <f t="shared" si="74"/>
        <v>6924681.923440244</v>
      </c>
      <c r="V203" s="163">
        <f t="shared" si="74"/>
        <v>6912054.7215262502</v>
      </c>
      <c r="W203" s="163">
        <f t="shared" si="74"/>
        <v>6898185.3395644072</v>
      </c>
      <c r="X203" s="163">
        <f t="shared" si="74"/>
        <v>6883047.2230535168</v>
      </c>
      <c r="Y203" s="163">
        <f t="shared" si="74"/>
        <v>6866602.9036298553</v>
      </c>
      <c r="Z203" s="163">
        <f t="shared" si="74"/>
        <v>6848823.9762206012</v>
      </c>
      <c r="AA203" s="163">
        <f t="shared" si="74"/>
        <v>6829651.0756261162</v>
      </c>
      <c r="AB203" s="163">
        <f t="shared" si="74"/>
        <v>0</v>
      </c>
      <c r="AC203" s="163">
        <f t="shared" si="74"/>
        <v>0</v>
      </c>
      <c r="AD203" s="163">
        <f t="shared" si="74"/>
        <v>0</v>
      </c>
      <c r="AE203" s="163">
        <f t="shared" si="74"/>
        <v>0</v>
      </c>
      <c r="AF203" s="163">
        <f t="shared" si="74"/>
        <v>0</v>
      </c>
      <c r="AG203" s="163">
        <f t="shared" si="74"/>
        <v>0</v>
      </c>
      <c r="AH203" s="163">
        <f t="shared" si="74"/>
        <v>0</v>
      </c>
      <c r="AI203" s="163">
        <f t="shared" si="74"/>
        <v>0</v>
      </c>
      <c r="AJ203" s="163">
        <f t="shared" si="74"/>
        <v>0</v>
      </c>
      <c r="AK203" s="163">
        <f t="shared" si="74"/>
        <v>0</v>
      </c>
      <c r="AL203" s="163">
        <f t="shared" si="74"/>
        <v>0</v>
      </c>
      <c r="AM203" s="163">
        <f t="shared" si="74"/>
        <v>0</v>
      </c>
      <c r="AN203" s="163">
        <f t="shared" si="74"/>
        <v>0</v>
      </c>
      <c r="AO203" s="163">
        <f t="shared" si="74"/>
        <v>0</v>
      </c>
      <c r="AP203" s="163">
        <f t="shared" si="74"/>
        <v>0</v>
      </c>
    </row>
    <row r="204" spans="1:42" x14ac:dyDescent="0.2">
      <c r="A204" s="90" t="s">
        <v>38</v>
      </c>
      <c r="C204" s="163">
        <f t="shared" ref="C204:AP204" si="75">C729</f>
        <v>38386.125</v>
      </c>
      <c r="D204" s="163">
        <f t="shared" si="75"/>
        <v>50416.78184144805</v>
      </c>
      <c r="E204" s="163">
        <f t="shared" si="75"/>
        <v>62449.673057896092</v>
      </c>
      <c r="F204" s="163">
        <f t="shared" si="75"/>
        <v>74484.945133719142</v>
      </c>
      <c r="G204" s="163">
        <f t="shared" si="75"/>
        <v>86522.74821540156</v>
      </c>
      <c r="H204" s="163">
        <f t="shared" si="75"/>
        <v>98562.986203089837</v>
      </c>
      <c r="I204" s="163">
        <f t="shared" si="75"/>
        <v>110605.69184443414</v>
      </c>
      <c r="J204" s="163">
        <f t="shared" si="75"/>
        <v>122651.02683077585</v>
      </c>
      <c r="K204" s="163">
        <f t="shared" si="75"/>
        <v>134698.90689573987</v>
      </c>
      <c r="L204" s="163">
        <f t="shared" si="75"/>
        <v>146749.37691629183</v>
      </c>
      <c r="M204" s="163">
        <f t="shared" si="75"/>
        <v>158802.61101632135</v>
      </c>
      <c r="N204" s="163">
        <f t="shared" si="75"/>
        <v>170858.53767281541</v>
      </c>
      <c r="O204" s="163">
        <f t="shared" si="75"/>
        <v>182917.33982468559</v>
      </c>
      <c r="P204" s="163">
        <f t="shared" si="75"/>
        <v>194978.82998431637</v>
      </c>
      <c r="Q204" s="163">
        <f t="shared" si="75"/>
        <v>207043.32535190173</v>
      </c>
      <c r="R204" s="163">
        <f t="shared" si="75"/>
        <v>47017.670310919784</v>
      </c>
      <c r="S204" s="163">
        <f t="shared" si="75"/>
        <v>47313.240193692778</v>
      </c>
      <c r="T204" s="163">
        <f t="shared" si="75"/>
        <v>47611.796198535099</v>
      </c>
      <c r="U204" s="163">
        <f t="shared" si="75"/>
        <v>14621.800478498475</v>
      </c>
      <c r="V204" s="163">
        <f t="shared" si="75"/>
        <v>14987.345490460935</v>
      </c>
      <c r="W204" s="163">
        <f t="shared" si="75"/>
        <v>15362.029127722457</v>
      </c>
      <c r="X204" s="163">
        <f t="shared" si="75"/>
        <v>15746.079855915517</v>
      </c>
      <c r="Y204" s="163">
        <f t="shared" si="75"/>
        <v>16139.731852313405</v>
      </c>
      <c r="Z204" s="163">
        <f t="shared" si="75"/>
        <v>16543.225148621244</v>
      </c>
      <c r="AA204" s="163">
        <f t="shared" si="75"/>
        <v>16956.805777336773</v>
      </c>
      <c r="AB204" s="163">
        <f t="shared" si="75"/>
        <v>0</v>
      </c>
      <c r="AC204" s="163">
        <f t="shared" si="75"/>
        <v>0</v>
      </c>
      <c r="AD204" s="163">
        <f t="shared" si="75"/>
        <v>0</v>
      </c>
      <c r="AE204" s="163">
        <f t="shared" si="75"/>
        <v>0</v>
      </c>
      <c r="AF204" s="163">
        <f t="shared" si="75"/>
        <v>0</v>
      </c>
      <c r="AG204" s="163">
        <f t="shared" si="75"/>
        <v>0</v>
      </c>
      <c r="AH204" s="163">
        <f t="shared" si="75"/>
        <v>0</v>
      </c>
      <c r="AI204" s="163">
        <f t="shared" si="75"/>
        <v>0</v>
      </c>
      <c r="AJ204" s="163">
        <f t="shared" si="75"/>
        <v>0</v>
      </c>
      <c r="AK204" s="163">
        <f t="shared" si="75"/>
        <v>0</v>
      </c>
      <c r="AL204" s="163">
        <f t="shared" si="75"/>
        <v>0</v>
      </c>
      <c r="AM204" s="163">
        <f t="shared" si="75"/>
        <v>0</v>
      </c>
      <c r="AN204" s="163">
        <f t="shared" si="75"/>
        <v>0</v>
      </c>
      <c r="AO204" s="163">
        <f t="shared" si="75"/>
        <v>0</v>
      </c>
      <c r="AP204" s="163">
        <f t="shared" si="75"/>
        <v>0</v>
      </c>
    </row>
    <row r="205" spans="1:42" x14ac:dyDescent="0.2">
      <c r="A205" s="90" t="s">
        <v>31</v>
      </c>
      <c r="C205" s="163">
        <f t="shared" ref="C205:AP205" si="76">-C588</f>
        <v>-2396246.491939404</v>
      </c>
      <c r="D205" s="163">
        <f t="shared" si="76"/>
        <v>-2306425.0453805448</v>
      </c>
      <c r="E205" s="163">
        <f t="shared" si="76"/>
        <v>-2212873.5101900999</v>
      </c>
      <c r="F205" s="163">
        <f t="shared" si="76"/>
        <v>-2115465.3751304992</v>
      </c>
      <c r="G205" s="163">
        <f t="shared" si="76"/>
        <v>-2014069.1742838991</v>
      </c>
      <c r="H205" s="163">
        <f t="shared" si="76"/>
        <v>-1908549.5376630502</v>
      </c>
      <c r="I205" s="163">
        <f t="shared" si="76"/>
        <v>-1798766.1304511654</v>
      </c>
      <c r="J205" s="163">
        <f t="shared" si="76"/>
        <v>-1684573.4733502946</v>
      </c>
      <c r="K205" s="163">
        <f t="shared" si="76"/>
        <v>-1565821.3716017883</v>
      </c>
      <c r="L205" s="163">
        <f t="shared" si="76"/>
        <v>-1442354.4385760361</v>
      </c>
      <c r="M205" s="163">
        <f t="shared" si="76"/>
        <v>-1314011.6008033035</v>
      </c>
      <c r="N205" s="163">
        <f t="shared" si="76"/>
        <v>-1180626.1991003705</v>
      </c>
      <c r="O205" s="163">
        <f t="shared" si="76"/>
        <v>-1042026.0942649313</v>
      </c>
      <c r="P205" s="163">
        <f t="shared" si="76"/>
        <v>-898032.85445661424</v>
      </c>
      <c r="Q205" s="163">
        <f t="shared" si="76"/>
        <v>-748461.8336993258</v>
      </c>
      <c r="R205" s="163">
        <f t="shared" si="76"/>
        <v>-593122.25408657547</v>
      </c>
      <c r="S205" s="163">
        <f t="shared" si="76"/>
        <v>-402831.67501148983</v>
      </c>
      <c r="T205" s="163">
        <f t="shared" si="76"/>
        <v>-205210.43219628313</v>
      </c>
      <c r="U205" s="163">
        <f t="shared" si="76"/>
        <v>0</v>
      </c>
      <c r="V205" s="163">
        <f t="shared" si="76"/>
        <v>0</v>
      </c>
      <c r="W205" s="163">
        <f t="shared" si="76"/>
        <v>0</v>
      </c>
      <c r="X205" s="163">
        <f t="shared" si="76"/>
        <v>0</v>
      </c>
      <c r="Y205" s="163">
        <f t="shared" si="76"/>
        <v>0</v>
      </c>
      <c r="Z205" s="163">
        <f t="shared" si="76"/>
        <v>0</v>
      </c>
      <c r="AA205" s="163">
        <f t="shared" si="76"/>
        <v>0</v>
      </c>
      <c r="AB205" s="163">
        <f t="shared" si="76"/>
        <v>0</v>
      </c>
      <c r="AC205" s="163">
        <f t="shared" si="76"/>
        <v>0</v>
      </c>
      <c r="AD205" s="163">
        <f t="shared" si="76"/>
        <v>0</v>
      </c>
      <c r="AE205" s="163">
        <f t="shared" si="76"/>
        <v>0</v>
      </c>
      <c r="AF205" s="163">
        <f t="shared" si="76"/>
        <v>0</v>
      </c>
      <c r="AG205" s="163">
        <f t="shared" si="76"/>
        <v>0</v>
      </c>
      <c r="AH205" s="163">
        <f t="shared" si="76"/>
        <v>0</v>
      </c>
      <c r="AI205" s="163">
        <f t="shared" si="76"/>
        <v>0</v>
      </c>
      <c r="AJ205" s="163">
        <f t="shared" si="76"/>
        <v>0</v>
      </c>
      <c r="AK205" s="163">
        <f t="shared" si="76"/>
        <v>0</v>
      </c>
      <c r="AL205" s="163">
        <f t="shared" si="76"/>
        <v>0</v>
      </c>
      <c r="AM205" s="163">
        <f t="shared" si="76"/>
        <v>0</v>
      </c>
      <c r="AN205" s="163">
        <f t="shared" si="76"/>
        <v>0</v>
      </c>
      <c r="AO205" s="163">
        <f t="shared" si="76"/>
        <v>0</v>
      </c>
      <c r="AP205" s="163">
        <f t="shared" si="76"/>
        <v>0</v>
      </c>
    </row>
    <row r="206" spans="1:42" x14ac:dyDescent="0.2">
      <c r="A206" s="90" t="s">
        <v>34</v>
      </c>
      <c r="C206" s="163">
        <f t="shared" ref="C206:AP206" si="77">IF(C$2&lt;=analysis_period,-C431-C462-C488-C514,0)</f>
        <v>-17655580.859043751</v>
      </c>
      <c r="D206" s="163">
        <f t="shared" si="77"/>
        <v>-28346736.512893755</v>
      </c>
      <c r="E206" s="163">
        <f t="shared" si="77"/>
        <v>-17200644.111175004</v>
      </c>
      <c r="F206" s="163">
        <f t="shared" si="77"/>
        <v>-10508214.817948749</v>
      </c>
      <c r="G206" s="163">
        <f t="shared" si="77"/>
        <v>-10495086.724412501</v>
      </c>
      <c r="H206" s="163">
        <f t="shared" si="77"/>
        <v>-5474699.1624850007</v>
      </c>
      <c r="I206" s="163">
        <f t="shared" si="77"/>
        <v>-460619.90524375002</v>
      </c>
      <c r="J206" s="163">
        <f t="shared" si="77"/>
        <v>-460619.90524375002</v>
      </c>
      <c r="K206" s="163">
        <f t="shared" si="77"/>
        <v>-460790.39996499999</v>
      </c>
      <c r="L206" s="163">
        <f t="shared" si="77"/>
        <v>-460619.90524375002</v>
      </c>
      <c r="M206" s="163">
        <f t="shared" si="77"/>
        <v>-460790.39996499999</v>
      </c>
      <c r="N206" s="163">
        <f t="shared" si="77"/>
        <v>-460335.74737499998</v>
      </c>
      <c r="O206" s="163">
        <f t="shared" si="77"/>
        <v>-460790.39996499999</v>
      </c>
      <c r="P206" s="163">
        <f t="shared" si="77"/>
        <v>-460335.74737499998</v>
      </c>
      <c r="Q206" s="163">
        <f t="shared" si="77"/>
        <v>-3286567.5471912823</v>
      </c>
      <c r="R206" s="163">
        <f t="shared" si="77"/>
        <v>-4836931.461428551</v>
      </c>
      <c r="S206" s="163">
        <f t="shared" si="77"/>
        <v>-2883404.4575196309</v>
      </c>
      <c r="T206" s="163">
        <f t="shared" si="77"/>
        <v>-1798240.5630117783</v>
      </c>
      <c r="U206" s="163">
        <f t="shared" si="77"/>
        <v>-1798240.5630117783</v>
      </c>
      <c r="V206" s="163">
        <f t="shared" si="77"/>
        <v>-984367.64213088923</v>
      </c>
      <c r="W206" s="163">
        <f t="shared" si="77"/>
        <v>-85247.360625000001</v>
      </c>
      <c r="X206" s="163">
        <f t="shared" si="77"/>
        <v>0</v>
      </c>
      <c r="Y206" s="163">
        <f t="shared" si="77"/>
        <v>0</v>
      </c>
      <c r="Z206" s="163">
        <f t="shared" si="77"/>
        <v>0</v>
      </c>
      <c r="AA206" s="163">
        <f t="shared" si="77"/>
        <v>0</v>
      </c>
      <c r="AB206" s="163">
        <f t="shared" si="77"/>
        <v>0</v>
      </c>
      <c r="AC206" s="163">
        <f t="shared" si="77"/>
        <v>0</v>
      </c>
      <c r="AD206" s="163">
        <f t="shared" si="77"/>
        <v>0</v>
      </c>
      <c r="AE206" s="163">
        <f t="shared" si="77"/>
        <v>0</v>
      </c>
      <c r="AF206" s="163">
        <f t="shared" si="77"/>
        <v>0</v>
      </c>
      <c r="AG206" s="163">
        <f t="shared" si="77"/>
        <v>0</v>
      </c>
      <c r="AH206" s="163">
        <f t="shared" si="77"/>
        <v>0</v>
      </c>
      <c r="AI206" s="163">
        <f t="shared" si="77"/>
        <v>0</v>
      </c>
      <c r="AJ206" s="163">
        <f t="shared" si="77"/>
        <v>0</v>
      </c>
      <c r="AK206" s="163">
        <f t="shared" si="77"/>
        <v>0</v>
      </c>
      <c r="AL206" s="163">
        <f t="shared" si="77"/>
        <v>0</v>
      </c>
      <c r="AM206" s="163">
        <f t="shared" si="77"/>
        <v>0</v>
      </c>
      <c r="AN206" s="163">
        <f t="shared" si="77"/>
        <v>0</v>
      </c>
      <c r="AO206" s="163">
        <f t="shared" si="77"/>
        <v>0</v>
      </c>
      <c r="AP206" s="163">
        <f t="shared" si="77"/>
        <v>0</v>
      </c>
    </row>
    <row r="207" spans="1:42" x14ac:dyDescent="0.2">
      <c r="A207" s="90" t="s">
        <v>39</v>
      </c>
      <c r="C207" s="163">
        <f>C200</f>
        <v>912599.8858188208</v>
      </c>
      <c r="D207" s="163">
        <f t="shared" ref="D207:AP207" si="78">D200</f>
        <v>1653538.9343502996</v>
      </c>
      <c r="E207" s="163">
        <f t="shared" si="78"/>
        <v>865660.98138150456</v>
      </c>
      <c r="F207" s="163">
        <f t="shared" si="78"/>
        <v>389321.18298118695</v>
      </c>
      <c r="G207" s="163">
        <f t="shared" si="78"/>
        <v>380308.07404929487</v>
      </c>
      <c r="H207" s="163">
        <f t="shared" si="78"/>
        <v>20553.962329662787</v>
      </c>
      <c r="I207" s="163">
        <f t="shared" si="78"/>
        <v>-339000.16701811284</v>
      </c>
      <c r="J207" s="163">
        <f t="shared" si="78"/>
        <v>-347818.0312414089</v>
      </c>
      <c r="K207" s="163">
        <f t="shared" si="78"/>
        <v>-356881.89523448527</v>
      </c>
      <c r="L207" s="163">
        <f t="shared" si="78"/>
        <v>-366237.24047225056</v>
      </c>
      <c r="M207" s="163">
        <f t="shared" si="78"/>
        <v>-375845.66557674372</v>
      </c>
      <c r="N207" s="163">
        <f t="shared" si="78"/>
        <v>-385783.76231468818</v>
      </c>
      <c r="O207" s="163">
        <f t="shared" si="78"/>
        <v>-395954.83264577156</v>
      </c>
      <c r="P207" s="163">
        <f t="shared" si="78"/>
        <v>-406496.55626118137</v>
      </c>
      <c r="Q207" s="163">
        <f t="shared" si="78"/>
        <v>-219487.32491004505</v>
      </c>
      <c r="R207" s="163">
        <f t="shared" si="78"/>
        <v>-110072.66935340389</v>
      </c>
      <c r="S207" s="163">
        <f t="shared" si="78"/>
        <v>-259521.40736702093</v>
      </c>
      <c r="T207" s="163">
        <f t="shared" si="78"/>
        <v>-348619.13864574005</v>
      </c>
      <c r="U207" s="163">
        <f t="shared" si="78"/>
        <v>-359874.42126348749</v>
      </c>
      <c r="V207" s="163">
        <f t="shared" si="78"/>
        <v>-415987.20974200754</v>
      </c>
      <c r="W207" s="163">
        <f t="shared" si="78"/>
        <v>-477981.00056469912</v>
      </c>
      <c r="X207" s="163">
        <f t="shared" si="78"/>
        <v>-482915.53120366024</v>
      </c>
      <c r="Y207" s="163">
        <f t="shared" si="78"/>
        <v>-481791.98448375182</v>
      </c>
      <c r="Z207" s="163">
        <f t="shared" si="78"/>
        <v>-480575.70409584552</v>
      </c>
      <c r="AA207" s="163">
        <f t="shared" si="78"/>
        <v>-479262.55169824167</v>
      </c>
      <c r="AB207" s="163">
        <f t="shared" si="78"/>
        <v>0</v>
      </c>
      <c r="AC207" s="163">
        <f t="shared" si="78"/>
        <v>0</v>
      </c>
      <c r="AD207" s="163">
        <f t="shared" si="78"/>
        <v>0</v>
      </c>
      <c r="AE207" s="163">
        <f t="shared" si="78"/>
        <v>0</v>
      </c>
      <c r="AF207" s="163">
        <f t="shared" si="78"/>
        <v>0</v>
      </c>
      <c r="AG207" s="163">
        <f t="shared" si="78"/>
        <v>0</v>
      </c>
      <c r="AH207" s="163">
        <f t="shared" si="78"/>
        <v>0</v>
      </c>
      <c r="AI207" s="163">
        <f t="shared" si="78"/>
        <v>0</v>
      </c>
      <c r="AJ207" s="163">
        <f t="shared" si="78"/>
        <v>0</v>
      </c>
      <c r="AK207" s="163">
        <f t="shared" si="78"/>
        <v>0</v>
      </c>
      <c r="AL207" s="163">
        <f t="shared" si="78"/>
        <v>0</v>
      </c>
      <c r="AM207" s="163">
        <f t="shared" si="78"/>
        <v>0</v>
      </c>
      <c r="AN207" s="163">
        <f t="shared" si="78"/>
        <v>0</v>
      </c>
      <c r="AO207" s="163">
        <f t="shared" si="78"/>
        <v>0</v>
      </c>
      <c r="AP207" s="163">
        <f t="shared" si="78"/>
        <v>0</v>
      </c>
    </row>
    <row r="208" spans="1:42" x14ac:dyDescent="0.2">
      <c r="A208" s="90" t="s">
        <v>59</v>
      </c>
      <c r="C208" s="163">
        <f>C$122</f>
        <v>0</v>
      </c>
      <c r="D208" s="163">
        <f t="shared" ref="D208:AP208" si="79">D$122</f>
        <v>0</v>
      </c>
      <c r="E208" s="163">
        <f t="shared" si="79"/>
        <v>0</v>
      </c>
      <c r="F208" s="163">
        <f t="shared" si="79"/>
        <v>0</v>
      </c>
      <c r="G208" s="163">
        <f t="shared" si="79"/>
        <v>0</v>
      </c>
      <c r="H208" s="163">
        <f t="shared" si="79"/>
        <v>0</v>
      </c>
      <c r="I208" s="163">
        <f t="shared" si="79"/>
        <v>0</v>
      </c>
      <c r="J208" s="163">
        <f t="shared" si="79"/>
        <v>0</v>
      </c>
      <c r="K208" s="163">
        <f t="shared" si="79"/>
        <v>0</v>
      </c>
      <c r="L208" s="163">
        <f t="shared" si="79"/>
        <v>0</v>
      </c>
      <c r="M208" s="163">
        <f t="shared" si="79"/>
        <v>0</v>
      </c>
      <c r="N208" s="163">
        <f t="shared" si="79"/>
        <v>0</v>
      </c>
      <c r="O208" s="163">
        <f t="shared" si="79"/>
        <v>0</v>
      </c>
      <c r="P208" s="163">
        <f t="shared" si="79"/>
        <v>0</v>
      </c>
      <c r="Q208" s="163">
        <f t="shared" si="79"/>
        <v>0</v>
      </c>
      <c r="R208" s="163">
        <f t="shared" si="79"/>
        <v>0</v>
      </c>
      <c r="S208" s="163">
        <f t="shared" si="79"/>
        <v>0</v>
      </c>
      <c r="T208" s="163">
        <f t="shared" si="79"/>
        <v>0</v>
      </c>
      <c r="U208" s="163">
        <f t="shared" si="79"/>
        <v>0</v>
      </c>
      <c r="V208" s="163">
        <f t="shared" si="79"/>
        <v>0</v>
      </c>
      <c r="W208" s="163">
        <f t="shared" si="79"/>
        <v>0</v>
      </c>
      <c r="X208" s="163">
        <f t="shared" si="79"/>
        <v>0</v>
      </c>
      <c r="Y208" s="163">
        <f t="shared" si="79"/>
        <v>0</v>
      </c>
      <c r="Z208" s="163">
        <f t="shared" si="79"/>
        <v>0</v>
      </c>
      <c r="AA208" s="163">
        <f t="shared" si="79"/>
        <v>0</v>
      </c>
      <c r="AB208" s="163">
        <f t="shared" si="79"/>
        <v>0</v>
      </c>
      <c r="AC208" s="163">
        <f t="shared" si="79"/>
        <v>0</v>
      </c>
      <c r="AD208" s="163">
        <f t="shared" si="79"/>
        <v>0</v>
      </c>
      <c r="AE208" s="163">
        <f t="shared" si="79"/>
        <v>0</v>
      </c>
      <c r="AF208" s="163">
        <f t="shared" si="79"/>
        <v>0</v>
      </c>
      <c r="AG208" s="163">
        <f t="shared" si="79"/>
        <v>0</v>
      </c>
      <c r="AH208" s="163">
        <f t="shared" si="79"/>
        <v>0</v>
      </c>
      <c r="AI208" s="163">
        <f t="shared" si="79"/>
        <v>0</v>
      </c>
      <c r="AJ208" s="163">
        <f t="shared" si="79"/>
        <v>0</v>
      </c>
      <c r="AK208" s="163">
        <f t="shared" si="79"/>
        <v>0</v>
      </c>
      <c r="AL208" s="163">
        <f t="shared" si="79"/>
        <v>0</v>
      </c>
      <c r="AM208" s="163">
        <f t="shared" si="79"/>
        <v>0</v>
      </c>
      <c r="AN208" s="163">
        <f t="shared" si="79"/>
        <v>0</v>
      </c>
      <c r="AO208" s="163">
        <f t="shared" si="79"/>
        <v>0</v>
      </c>
      <c r="AP208" s="163">
        <f t="shared" si="79"/>
        <v>0</v>
      </c>
    </row>
    <row r="209" spans="1:42" x14ac:dyDescent="0.2">
      <c r="A209" s="90" t="s">
        <v>97</v>
      </c>
      <c r="C209" s="164">
        <f>C$126</f>
        <v>0</v>
      </c>
      <c r="D209" s="164">
        <f t="shared" ref="D209:AP209" si="80">D$126</f>
        <v>0</v>
      </c>
      <c r="E209" s="164">
        <f t="shared" si="80"/>
        <v>0</v>
      </c>
      <c r="F209" s="164">
        <f t="shared" si="80"/>
        <v>0</v>
      </c>
      <c r="G209" s="164">
        <f t="shared" si="80"/>
        <v>0</v>
      </c>
      <c r="H209" s="164">
        <f t="shared" si="80"/>
        <v>0</v>
      </c>
      <c r="I209" s="164">
        <f t="shared" si="80"/>
        <v>0</v>
      </c>
      <c r="J209" s="164">
        <f t="shared" si="80"/>
        <v>0</v>
      </c>
      <c r="K209" s="164">
        <f t="shared" si="80"/>
        <v>0</v>
      </c>
      <c r="L209" s="164">
        <f t="shared" si="80"/>
        <v>0</v>
      </c>
      <c r="M209" s="164">
        <f t="shared" si="80"/>
        <v>0</v>
      </c>
      <c r="N209" s="164">
        <f t="shared" si="80"/>
        <v>0</v>
      </c>
      <c r="O209" s="164">
        <f t="shared" si="80"/>
        <v>0</v>
      </c>
      <c r="P209" s="164">
        <f t="shared" si="80"/>
        <v>0</v>
      </c>
      <c r="Q209" s="164">
        <f t="shared" si="80"/>
        <v>0</v>
      </c>
      <c r="R209" s="164">
        <f t="shared" si="80"/>
        <v>0</v>
      </c>
      <c r="S209" s="164">
        <f t="shared" si="80"/>
        <v>0</v>
      </c>
      <c r="T209" s="164">
        <f t="shared" si="80"/>
        <v>0</v>
      </c>
      <c r="U209" s="164">
        <f t="shared" si="80"/>
        <v>0</v>
      </c>
      <c r="V209" s="164">
        <f t="shared" si="80"/>
        <v>0</v>
      </c>
      <c r="W209" s="164">
        <f t="shared" si="80"/>
        <v>0</v>
      </c>
      <c r="X209" s="164">
        <f t="shared" si="80"/>
        <v>0</v>
      </c>
      <c r="Y209" s="164">
        <f t="shared" si="80"/>
        <v>0</v>
      </c>
      <c r="Z209" s="164">
        <f t="shared" si="80"/>
        <v>0</v>
      </c>
      <c r="AA209" s="164">
        <f t="shared" si="80"/>
        <v>0</v>
      </c>
      <c r="AB209" s="164">
        <f t="shared" si="80"/>
        <v>0</v>
      </c>
      <c r="AC209" s="164">
        <f t="shared" si="80"/>
        <v>0</v>
      </c>
      <c r="AD209" s="164">
        <f t="shared" si="80"/>
        <v>0</v>
      </c>
      <c r="AE209" s="164">
        <f t="shared" si="80"/>
        <v>0</v>
      </c>
      <c r="AF209" s="164">
        <f t="shared" si="80"/>
        <v>0</v>
      </c>
      <c r="AG209" s="164">
        <f t="shared" si="80"/>
        <v>0</v>
      </c>
      <c r="AH209" s="164">
        <f t="shared" si="80"/>
        <v>0</v>
      </c>
      <c r="AI209" s="164">
        <f t="shared" si="80"/>
        <v>0</v>
      </c>
      <c r="AJ209" s="164">
        <f t="shared" si="80"/>
        <v>0</v>
      </c>
      <c r="AK209" s="164">
        <f t="shared" si="80"/>
        <v>0</v>
      </c>
      <c r="AL209" s="164">
        <f t="shared" si="80"/>
        <v>0</v>
      </c>
      <c r="AM209" s="164">
        <f t="shared" si="80"/>
        <v>0</v>
      </c>
      <c r="AN209" s="164">
        <f t="shared" si="80"/>
        <v>0</v>
      </c>
      <c r="AO209" s="164">
        <f t="shared" si="80"/>
        <v>0</v>
      </c>
      <c r="AP209" s="164">
        <f t="shared" si="80"/>
        <v>0</v>
      </c>
    </row>
    <row r="210" spans="1:42" x14ac:dyDescent="0.2">
      <c r="A210" s="90" t="s">
        <v>32</v>
      </c>
      <c r="C210" s="163">
        <f>SUM(C203:C209)</f>
        <v>-12124541.340164334</v>
      </c>
      <c r="D210" s="163">
        <f t="shared" ref="D210:AP210" si="81">SUM(D203:D209)</f>
        <v>-21968445.842082549</v>
      </c>
      <c r="E210" s="163">
        <f t="shared" si="81"/>
        <v>-11500924.466925705</v>
      </c>
      <c r="F210" s="163">
        <f t="shared" si="81"/>
        <v>-5172410.0024643419</v>
      </c>
      <c r="G210" s="163">
        <f t="shared" si="81"/>
        <v>-5052664.4123692038</v>
      </c>
      <c r="H210" s="163">
        <f t="shared" si="81"/>
        <v>-273074.07095123414</v>
      </c>
      <c r="I210" s="163">
        <f t="shared" si="81"/>
        <v>4503859.3618120709</v>
      </c>
      <c r="J210" s="163">
        <f t="shared" si="81"/>
        <v>4621010.9864930036</v>
      </c>
      <c r="K210" s="163">
        <f t="shared" si="81"/>
        <v>4741430.8938295897</v>
      </c>
      <c r="L210" s="163">
        <f t="shared" si="81"/>
        <v>4865723.3377027577</v>
      </c>
      <c r="M210" s="163">
        <f t="shared" si="81"/>
        <v>4993378.1283767372</v>
      </c>
      <c r="N210" s="163">
        <f t="shared" si="81"/>
        <v>5125412.8421808574</v>
      </c>
      <c r="O210" s="163">
        <f t="shared" si="81"/>
        <v>5260542.7765795365</v>
      </c>
      <c r="P210" s="163">
        <f t="shared" si="81"/>
        <v>5400597.1046128385</v>
      </c>
      <c r="Q210" s="163">
        <f t="shared" si="81"/>
        <v>2916045.8880905984</v>
      </c>
      <c r="R210" s="163">
        <f t="shared" si="81"/>
        <v>1462394.0356952234</v>
      </c>
      <c r="S210" s="163">
        <f t="shared" si="81"/>
        <v>3447927.2693047067</v>
      </c>
      <c r="T210" s="163">
        <f t="shared" si="81"/>
        <v>4631654.2705791183</v>
      </c>
      <c r="U210" s="163">
        <f t="shared" si="81"/>
        <v>4781188.7396434769</v>
      </c>
      <c r="V210" s="163">
        <f t="shared" si="81"/>
        <v>5526687.2151438147</v>
      </c>
      <c r="W210" s="163">
        <f t="shared" si="81"/>
        <v>6350319.007502431</v>
      </c>
      <c r="X210" s="163">
        <f t="shared" si="81"/>
        <v>6415877.7717057718</v>
      </c>
      <c r="Y210" s="163">
        <f t="shared" si="81"/>
        <v>6400950.6509984173</v>
      </c>
      <c r="Z210" s="163">
        <f t="shared" si="81"/>
        <v>6384791.4972733771</v>
      </c>
      <c r="AA210" s="163">
        <f t="shared" si="81"/>
        <v>6367345.3297052113</v>
      </c>
      <c r="AB210" s="163">
        <f t="shared" si="81"/>
        <v>0</v>
      </c>
      <c r="AC210" s="163">
        <f t="shared" si="81"/>
        <v>0</v>
      </c>
      <c r="AD210" s="163">
        <f t="shared" si="81"/>
        <v>0</v>
      </c>
      <c r="AE210" s="163">
        <f t="shared" si="81"/>
        <v>0</v>
      </c>
      <c r="AF210" s="163">
        <f t="shared" si="81"/>
        <v>0</v>
      </c>
      <c r="AG210" s="163">
        <f t="shared" si="81"/>
        <v>0</v>
      </c>
      <c r="AH210" s="163">
        <f t="shared" si="81"/>
        <v>0</v>
      </c>
      <c r="AI210" s="163">
        <f t="shared" si="81"/>
        <v>0</v>
      </c>
      <c r="AJ210" s="163">
        <f t="shared" si="81"/>
        <v>0</v>
      </c>
      <c r="AK210" s="163">
        <f t="shared" si="81"/>
        <v>0</v>
      </c>
      <c r="AL210" s="163">
        <f t="shared" si="81"/>
        <v>0</v>
      </c>
      <c r="AM210" s="163">
        <f t="shared" si="81"/>
        <v>0</v>
      </c>
      <c r="AN210" s="163">
        <f t="shared" si="81"/>
        <v>0</v>
      </c>
      <c r="AO210" s="163">
        <f t="shared" si="81"/>
        <v>0</v>
      </c>
      <c r="AP210" s="163">
        <f t="shared" si="81"/>
        <v>0</v>
      </c>
    </row>
    <row r="211" spans="1:42" x14ac:dyDescent="0.2">
      <c r="A211" s="90" t="str">
        <f>Inputs!B113</f>
        <v>Investment Based Incentive (IBI)</v>
      </c>
    </row>
    <row r="212" spans="1:42" x14ac:dyDescent="0.2">
      <c r="A212" s="91" t="str">
        <f>Inputs!B114</f>
        <v>As fixed amount</v>
      </c>
    </row>
    <row r="213" spans="1:42" x14ac:dyDescent="0.2">
      <c r="A213" s="82" t="s">
        <v>4</v>
      </c>
      <c r="C213" s="163">
        <f>IF(ibi_fed_amount_tax_fed="Yes",C546,0)</f>
        <v>0</v>
      </c>
    </row>
    <row r="214" spans="1:42" x14ac:dyDescent="0.2">
      <c r="A214" s="82" t="s">
        <v>5</v>
      </c>
      <c r="C214" s="163">
        <f>IF(ibi_sta_amount_tax_fed="Yes",C547,0)</f>
        <v>0</v>
      </c>
    </row>
    <row r="215" spans="1:42" x14ac:dyDescent="0.2">
      <c r="A215" s="82" t="s">
        <v>185</v>
      </c>
      <c r="C215" s="163">
        <f>IF(ibi_uti_amount_tax_fed="Yes",C548,0)</f>
        <v>0</v>
      </c>
    </row>
    <row r="216" spans="1:42" x14ac:dyDescent="0.2">
      <c r="A216" s="82" t="s">
        <v>186</v>
      </c>
      <c r="C216" s="164">
        <f>IF(ibi_oth_amount_tax_fed="Yes",C549,0)</f>
        <v>0</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row>
    <row r="217" spans="1:42" x14ac:dyDescent="0.2">
      <c r="A217" s="82" t="s">
        <v>13</v>
      </c>
      <c r="C217" s="163">
        <f>SUM(C213:C216)</f>
        <v>0</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row>
    <row r="218" spans="1:42" x14ac:dyDescent="0.2">
      <c r="A218" s="91" t="str">
        <f>Inputs!B119</f>
        <v>As percentage</v>
      </c>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row>
    <row r="219" spans="1:42" x14ac:dyDescent="0.2">
      <c r="A219" s="82" t="s">
        <v>4</v>
      </c>
      <c r="C219" s="163">
        <f>C552</f>
        <v>0</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row>
    <row r="220" spans="1:42" x14ac:dyDescent="0.2">
      <c r="A220" s="82" t="s">
        <v>5</v>
      </c>
      <c r="C220" s="163">
        <f t="shared" ref="C220:C222" si="82">C553</f>
        <v>0</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row>
    <row r="221" spans="1:42" x14ac:dyDescent="0.2">
      <c r="A221" s="82" t="s">
        <v>185</v>
      </c>
      <c r="C221" s="163">
        <f t="shared" si="82"/>
        <v>0</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row>
    <row r="222" spans="1:42" x14ac:dyDescent="0.2">
      <c r="A222" s="82" t="s">
        <v>186</v>
      </c>
      <c r="C222" s="164">
        <f t="shared" si="82"/>
        <v>0</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row>
    <row r="223" spans="1:42" x14ac:dyDescent="0.2">
      <c r="A223" s="82" t="s">
        <v>13</v>
      </c>
      <c r="C223" s="163">
        <f>SUM(C219:C222)</f>
        <v>0</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row>
    <row r="224" spans="1:42" x14ac:dyDescent="0.2">
      <c r="A224" s="90" t="str">
        <f>Inputs!B124</f>
        <v>Capacity Based Incentive (CBI)</v>
      </c>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row>
    <row r="225" spans="1:42" x14ac:dyDescent="0.2">
      <c r="A225" s="91" t="s">
        <v>4</v>
      </c>
      <c r="C225" s="163">
        <f>IF(cbi_fed_tax_fed="Yes",C559,0)</f>
        <v>0</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row>
    <row r="226" spans="1:42" x14ac:dyDescent="0.2">
      <c r="A226" s="91" t="s">
        <v>5</v>
      </c>
      <c r="C226" s="163">
        <f>IF(cbi_sta_tax_fed="Yes",C560,0)</f>
        <v>0</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row>
    <row r="227" spans="1:42" x14ac:dyDescent="0.2">
      <c r="A227" s="91" t="s">
        <v>185</v>
      </c>
      <c r="C227" s="163">
        <f>IF(cbi_uti_tax_fed="Yes",C561,0)</f>
        <v>0</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row>
    <row r="228" spans="1:42" x14ac:dyDescent="0.2">
      <c r="A228" s="91" t="s">
        <v>186</v>
      </c>
      <c r="C228" s="164">
        <f>IF(cbi_oth_tax_fed="Yes",C562,0)</f>
        <v>0</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row>
    <row r="229" spans="1:42" x14ac:dyDescent="0.2">
      <c r="A229" s="91" t="s">
        <v>13</v>
      </c>
      <c r="C229" s="163">
        <f>SUM(C225:C228)</f>
        <v>0</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row>
    <row r="230" spans="1:42" x14ac:dyDescent="0.2">
      <c r="A230" s="90" t="str">
        <f>Inputs!B129</f>
        <v>Production Based Incentive (PBI)</v>
      </c>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row>
    <row r="231" spans="1:42" x14ac:dyDescent="0.2">
      <c r="A231" s="91" t="s">
        <v>4</v>
      </c>
      <c r="C231" s="163">
        <f t="shared" ref="C231:AP231" si="83">IF(AND(pbi_fed_tax_fed="Yes",pbi_fed_for_ds="No"),C569,0)</f>
        <v>0</v>
      </c>
      <c r="D231" s="163">
        <f t="shared" si="83"/>
        <v>0</v>
      </c>
      <c r="E231" s="163">
        <f t="shared" si="83"/>
        <v>0</v>
      </c>
      <c r="F231" s="163">
        <f t="shared" si="83"/>
        <v>0</v>
      </c>
      <c r="G231" s="163">
        <f t="shared" si="83"/>
        <v>0</v>
      </c>
      <c r="H231" s="163">
        <f t="shared" si="83"/>
        <v>0</v>
      </c>
      <c r="I231" s="163">
        <f t="shared" si="83"/>
        <v>0</v>
      </c>
      <c r="J231" s="163">
        <f t="shared" si="83"/>
        <v>0</v>
      </c>
      <c r="K231" s="163">
        <f t="shared" si="83"/>
        <v>0</v>
      </c>
      <c r="L231" s="163">
        <f t="shared" si="83"/>
        <v>0</v>
      </c>
      <c r="M231" s="163">
        <f t="shared" si="83"/>
        <v>0</v>
      </c>
      <c r="N231" s="163">
        <f t="shared" si="83"/>
        <v>0</v>
      </c>
      <c r="O231" s="163">
        <f t="shared" si="83"/>
        <v>0</v>
      </c>
      <c r="P231" s="163">
        <f t="shared" si="83"/>
        <v>0</v>
      </c>
      <c r="Q231" s="163">
        <f t="shared" si="83"/>
        <v>0</v>
      </c>
      <c r="R231" s="163">
        <f t="shared" si="83"/>
        <v>0</v>
      </c>
      <c r="S231" s="163">
        <f t="shared" si="83"/>
        <v>0</v>
      </c>
      <c r="T231" s="163">
        <f t="shared" si="83"/>
        <v>0</v>
      </c>
      <c r="U231" s="163">
        <f t="shared" si="83"/>
        <v>0</v>
      </c>
      <c r="V231" s="163">
        <f t="shared" si="83"/>
        <v>0</v>
      </c>
      <c r="W231" s="163">
        <f t="shared" si="83"/>
        <v>0</v>
      </c>
      <c r="X231" s="163">
        <f t="shared" si="83"/>
        <v>0</v>
      </c>
      <c r="Y231" s="163">
        <f t="shared" si="83"/>
        <v>0</v>
      </c>
      <c r="Z231" s="163">
        <f t="shared" si="83"/>
        <v>0</v>
      </c>
      <c r="AA231" s="163">
        <f t="shared" si="83"/>
        <v>0</v>
      </c>
      <c r="AB231" s="163">
        <f t="shared" si="83"/>
        <v>0</v>
      </c>
      <c r="AC231" s="163">
        <f t="shared" si="83"/>
        <v>0</v>
      </c>
      <c r="AD231" s="163">
        <f t="shared" si="83"/>
        <v>0</v>
      </c>
      <c r="AE231" s="163">
        <f t="shared" si="83"/>
        <v>0</v>
      </c>
      <c r="AF231" s="163">
        <f t="shared" si="83"/>
        <v>0</v>
      </c>
      <c r="AG231" s="163">
        <f t="shared" si="83"/>
        <v>0</v>
      </c>
      <c r="AH231" s="163">
        <f t="shared" si="83"/>
        <v>0</v>
      </c>
      <c r="AI231" s="163">
        <f t="shared" si="83"/>
        <v>0</v>
      </c>
      <c r="AJ231" s="163">
        <f t="shared" si="83"/>
        <v>0</v>
      </c>
      <c r="AK231" s="163">
        <f t="shared" si="83"/>
        <v>0</v>
      </c>
      <c r="AL231" s="163">
        <f t="shared" si="83"/>
        <v>0</v>
      </c>
      <c r="AM231" s="163">
        <f t="shared" si="83"/>
        <v>0</v>
      </c>
      <c r="AN231" s="163">
        <f t="shared" si="83"/>
        <v>0</v>
      </c>
      <c r="AO231" s="163">
        <f t="shared" si="83"/>
        <v>0</v>
      </c>
      <c r="AP231" s="163">
        <f t="shared" si="83"/>
        <v>0</v>
      </c>
    </row>
    <row r="232" spans="1:42" x14ac:dyDescent="0.2">
      <c r="A232" s="91" t="s">
        <v>5</v>
      </c>
      <c r="C232" s="163">
        <f t="shared" ref="C232:AP232" si="84">IF(AND(pbi_sta_tax_fed="Yes",pbi_sta_for_ds="No"),C573,0)</f>
        <v>0</v>
      </c>
      <c r="D232" s="163">
        <f t="shared" si="84"/>
        <v>0</v>
      </c>
      <c r="E232" s="163">
        <f t="shared" si="84"/>
        <v>0</v>
      </c>
      <c r="F232" s="163">
        <f t="shared" si="84"/>
        <v>0</v>
      </c>
      <c r="G232" s="163">
        <f t="shared" si="84"/>
        <v>0</v>
      </c>
      <c r="H232" s="163">
        <f t="shared" si="84"/>
        <v>0</v>
      </c>
      <c r="I232" s="163">
        <f t="shared" si="84"/>
        <v>0</v>
      </c>
      <c r="J232" s="163">
        <f t="shared" si="84"/>
        <v>0</v>
      </c>
      <c r="K232" s="163">
        <f t="shared" si="84"/>
        <v>0</v>
      </c>
      <c r="L232" s="163">
        <f t="shared" si="84"/>
        <v>0</v>
      </c>
      <c r="M232" s="163">
        <f t="shared" si="84"/>
        <v>0</v>
      </c>
      <c r="N232" s="163">
        <f t="shared" si="84"/>
        <v>0</v>
      </c>
      <c r="O232" s="163">
        <f t="shared" si="84"/>
        <v>0</v>
      </c>
      <c r="P232" s="163">
        <f t="shared" si="84"/>
        <v>0</v>
      </c>
      <c r="Q232" s="163">
        <f t="shared" si="84"/>
        <v>0</v>
      </c>
      <c r="R232" s="163">
        <f t="shared" si="84"/>
        <v>0</v>
      </c>
      <c r="S232" s="163">
        <f t="shared" si="84"/>
        <v>0</v>
      </c>
      <c r="T232" s="163">
        <f t="shared" si="84"/>
        <v>0</v>
      </c>
      <c r="U232" s="163">
        <f t="shared" si="84"/>
        <v>0</v>
      </c>
      <c r="V232" s="163">
        <f t="shared" si="84"/>
        <v>0</v>
      </c>
      <c r="W232" s="163">
        <f t="shared" si="84"/>
        <v>0</v>
      </c>
      <c r="X232" s="163">
        <f t="shared" si="84"/>
        <v>0</v>
      </c>
      <c r="Y232" s="163">
        <f t="shared" si="84"/>
        <v>0</v>
      </c>
      <c r="Z232" s="163">
        <f t="shared" si="84"/>
        <v>0</v>
      </c>
      <c r="AA232" s="163">
        <f t="shared" si="84"/>
        <v>0</v>
      </c>
      <c r="AB232" s="163">
        <f t="shared" si="84"/>
        <v>0</v>
      </c>
      <c r="AC232" s="163">
        <f t="shared" si="84"/>
        <v>0</v>
      </c>
      <c r="AD232" s="163">
        <f t="shared" si="84"/>
        <v>0</v>
      </c>
      <c r="AE232" s="163">
        <f t="shared" si="84"/>
        <v>0</v>
      </c>
      <c r="AF232" s="163">
        <f t="shared" si="84"/>
        <v>0</v>
      </c>
      <c r="AG232" s="163">
        <f t="shared" si="84"/>
        <v>0</v>
      </c>
      <c r="AH232" s="163">
        <f t="shared" si="84"/>
        <v>0</v>
      </c>
      <c r="AI232" s="163">
        <f t="shared" si="84"/>
        <v>0</v>
      </c>
      <c r="AJ232" s="163">
        <f t="shared" si="84"/>
        <v>0</v>
      </c>
      <c r="AK232" s="163">
        <f t="shared" si="84"/>
        <v>0</v>
      </c>
      <c r="AL232" s="163">
        <f t="shared" si="84"/>
        <v>0</v>
      </c>
      <c r="AM232" s="163">
        <f t="shared" si="84"/>
        <v>0</v>
      </c>
      <c r="AN232" s="163">
        <f t="shared" si="84"/>
        <v>0</v>
      </c>
      <c r="AO232" s="163">
        <f t="shared" si="84"/>
        <v>0</v>
      </c>
      <c r="AP232" s="163">
        <f t="shared" si="84"/>
        <v>0</v>
      </c>
    </row>
    <row r="233" spans="1:42" x14ac:dyDescent="0.2">
      <c r="A233" s="91" t="s">
        <v>185</v>
      </c>
      <c r="C233" s="163">
        <f t="shared" ref="C233:AP233" si="85">IF(AND(pbi_uti_tax_fed="Yes",pbi_uti_for_ds="No"),C577,0)</f>
        <v>0</v>
      </c>
      <c r="D233" s="163">
        <f t="shared" si="85"/>
        <v>0</v>
      </c>
      <c r="E233" s="163">
        <f t="shared" si="85"/>
        <v>0</v>
      </c>
      <c r="F233" s="163">
        <f t="shared" si="85"/>
        <v>0</v>
      </c>
      <c r="G233" s="163">
        <f t="shared" si="85"/>
        <v>0</v>
      </c>
      <c r="H233" s="163">
        <f t="shared" si="85"/>
        <v>0</v>
      </c>
      <c r="I233" s="163">
        <f t="shared" si="85"/>
        <v>0</v>
      </c>
      <c r="J233" s="163">
        <f t="shared" si="85"/>
        <v>0</v>
      </c>
      <c r="K233" s="163">
        <f t="shared" si="85"/>
        <v>0</v>
      </c>
      <c r="L233" s="163">
        <f t="shared" si="85"/>
        <v>0</v>
      </c>
      <c r="M233" s="163">
        <f t="shared" si="85"/>
        <v>0</v>
      </c>
      <c r="N233" s="163">
        <f t="shared" si="85"/>
        <v>0</v>
      </c>
      <c r="O233" s="163">
        <f t="shared" si="85"/>
        <v>0</v>
      </c>
      <c r="P233" s="163">
        <f t="shared" si="85"/>
        <v>0</v>
      </c>
      <c r="Q233" s="163">
        <f t="shared" si="85"/>
        <v>0</v>
      </c>
      <c r="R233" s="163">
        <f t="shared" si="85"/>
        <v>0</v>
      </c>
      <c r="S233" s="163">
        <f t="shared" si="85"/>
        <v>0</v>
      </c>
      <c r="T233" s="163">
        <f t="shared" si="85"/>
        <v>0</v>
      </c>
      <c r="U233" s="163">
        <f t="shared" si="85"/>
        <v>0</v>
      </c>
      <c r="V233" s="163">
        <f t="shared" si="85"/>
        <v>0</v>
      </c>
      <c r="W233" s="163">
        <f t="shared" si="85"/>
        <v>0</v>
      </c>
      <c r="X233" s="163">
        <f t="shared" si="85"/>
        <v>0</v>
      </c>
      <c r="Y233" s="163">
        <f t="shared" si="85"/>
        <v>0</v>
      </c>
      <c r="Z233" s="163">
        <f t="shared" si="85"/>
        <v>0</v>
      </c>
      <c r="AA233" s="163">
        <f t="shared" si="85"/>
        <v>0</v>
      </c>
      <c r="AB233" s="163">
        <f t="shared" si="85"/>
        <v>0</v>
      </c>
      <c r="AC233" s="163">
        <f t="shared" si="85"/>
        <v>0</v>
      </c>
      <c r="AD233" s="163">
        <f t="shared" si="85"/>
        <v>0</v>
      </c>
      <c r="AE233" s="163">
        <f t="shared" si="85"/>
        <v>0</v>
      </c>
      <c r="AF233" s="163">
        <f t="shared" si="85"/>
        <v>0</v>
      </c>
      <c r="AG233" s="163">
        <f t="shared" si="85"/>
        <v>0</v>
      </c>
      <c r="AH233" s="163">
        <f t="shared" si="85"/>
        <v>0</v>
      </c>
      <c r="AI233" s="163">
        <f t="shared" si="85"/>
        <v>0</v>
      </c>
      <c r="AJ233" s="163">
        <f t="shared" si="85"/>
        <v>0</v>
      </c>
      <c r="AK233" s="163">
        <f t="shared" si="85"/>
        <v>0</v>
      </c>
      <c r="AL233" s="163">
        <f t="shared" si="85"/>
        <v>0</v>
      </c>
      <c r="AM233" s="163">
        <f t="shared" si="85"/>
        <v>0</v>
      </c>
      <c r="AN233" s="163">
        <f t="shared" si="85"/>
        <v>0</v>
      </c>
      <c r="AO233" s="163">
        <f t="shared" si="85"/>
        <v>0</v>
      </c>
      <c r="AP233" s="163">
        <f t="shared" si="85"/>
        <v>0</v>
      </c>
    </row>
    <row r="234" spans="1:42" x14ac:dyDescent="0.2">
      <c r="A234" s="91" t="s">
        <v>186</v>
      </c>
      <c r="C234" s="163">
        <f t="shared" ref="C234:AP234" si="86">IF(AND(pbi_oth_tax_fed="Yes",pbi_oth_for_ds="No"),C581,0)</f>
        <v>0</v>
      </c>
      <c r="D234" s="163">
        <f t="shared" si="86"/>
        <v>0</v>
      </c>
      <c r="E234" s="163">
        <f t="shared" si="86"/>
        <v>0</v>
      </c>
      <c r="F234" s="163">
        <f t="shared" si="86"/>
        <v>0</v>
      </c>
      <c r="G234" s="163">
        <f t="shared" si="86"/>
        <v>0</v>
      </c>
      <c r="H234" s="163">
        <f t="shared" si="86"/>
        <v>0</v>
      </c>
      <c r="I234" s="163">
        <f t="shared" si="86"/>
        <v>0</v>
      </c>
      <c r="J234" s="163">
        <f t="shared" si="86"/>
        <v>0</v>
      </c>
      <c r="K234" s="163">
        <f t="shared" si="86"/>
        <v>0</v>
      </c>
      <c r="L234" s="163">
        <f t="shared" si="86"/>
        <v>0</v>
      </c>
      <c r="M234" s="163">
        <f t="shared" si="86"/>
        <v>0</v>
      </c>
      <c r="N234" s="163">
        <f t="shared" si="86"/>
        <v>0</v>
      </c>
      <c r="O234" s="163">
        <f t="shared" si="86"/>
        <v>0</v>
      </c>
      <c r="P234" s="163">
        <f t="shared" si="86"/>
        <v>0</v>
      </c>
      <c r="Q234" s="163">
        <f t="shared" si="86"/>
        <v>0</v>
      </c>
      <c r="R234" s="163">
        <f t="shared" si="86"/>
        <v>0</v>
      </c>
      <c r="S234" s="163">
        <f t="shared" si="86"/>
        <v>0</v>
      </c>
      <c r="T234" s="163">
        <f t="shared" si="86"/>
        <v>0</v>
      </c>
      <c r="U234" s="163">
        <f t="shared" si="86"/>
        <v>0</v>
      </c>
      <c r="V234" s="163">
        <f t="shared" si="86"/>
        <v>0</v>
      </c>
      <c r="W234" s="163">
        <f t="shared" si="86"/>
        <v>0</v>
      </c>
      <c r="X234" s="163">
        <f t="shared" si="86"/>
        <v>0</v>
      </c>
      <c r="Y234" s="163">
        <f t="shared" si="86"/>
        <v>0</v>
      </c>
      <c r="Z234" s="163">
        <f t="shared" si="86"/>
        <v>0</v>
      </c>
      <c r="AA234" s="163">
        <f t="shared" si="86"/>
        <v>0</v>
      </c>
      <c r="AB234" s="163">
        <f t="shared" si="86"/>
        <v>0</v>
      </c>
      <c r="AC234" s="163">
        <f t="shared" si="86"/>
        <v>0</v>
      </c>
      <c r="AD234" s="163">
        <f t="shared" si="86"/>
        <v>0</v>
      </c>
      <c r="AE234" s="163">
        <f t="shared" si="86"/>
        <v>0</v>
      </c>
      <c r="AF234" s="163">
        <f t="shared" si="86"/>
        <v>0</v>
      </c>
      <c r="AG234" s="163">
        <f t="shared" si="86"/>
        <v>0</v>
      </c>
      <c r="AH234" s="163">
        <f t="shared" si="86"/>
        <v>0</v>
      </c>
      <c r="AI234" s="163">
        <f t="shared" si="86"/>
        <v>0</v>
      </c>
      <c r="AJ234" s="163">
        <f t="shared" si="86"/>
        <v>0</v>
      </c>
      <c r="AK234" s="163">
        <f t="shared" si="86"/>
        <v>0</v>
      </c>
      <c r="AL234" s="163">
        <f t="shared" si="86"/>
        <v>0</v>
      </c>
      <c r="AM234" s="163">
        <f t="shared" si="86"/>
        <v>0</v>
      </c>
      <c r="AN234" s="163">
        <f t="shared" si="86"/>
        <v>0</v>
      </c>
      <c r="AO234" s="163">
        <f t="shared" si="86"/>
        <v>0</v>
      </c>
      <c r="AP234" s="163">
        <f t="shared" si="86"/>
        <v>0</v>
      </c>
    </row>
    <row r="235" spans="1:42" x14ac:dyDescent="0.2">
      <c r="A235" s="91" t="s">
        <v>13</v>
      </c>
      <c r="C235" s="165">
        <f>SUM(C231:C234)</f>
        <v>0</v>
      </c>
      <c r="D235" s="165">
        <f t="shared" ref="D235:AP235" si="87">SUM(D231:D234)</f>
        <v>0</v>
      </c>
      <c r="E235" s="165">
        <f t="shared" si="87"/>
        <v>0</v>
      </c>
      <c r="F235" s="165">
        <f t="shared" si="87"/>
        <v>0</v>
      </c>
      <c r="G235" s="165">
        <f t="shared" si="87"/>
        <v>0</v>
      </c>
      <c r="H235" s="165">
        <f t="shared" si="87"/>
        <v>0</v>
      </c>
      <c r="I235" s="165">
        <f t="shared" si="87"/>
        <v>0</v>
      </c>
      <c r="J235" s="165">
        <f t="shared" si="87"/>
        <v>0</v>
      </c>
      <c r="K235" s="165">
        <f t="shared" si="87"/>
        <v>0</v>
      </c>
      <c r="L235" s="165">
        <f t="shared" si="87"/>
        <v>0</v>
      </c>
      <c r="M235" s="165">
        <f t="shared" si="87"/>
        <v>0</v>
      </c>
      <c r="N235" s="165">
        <f t="shared" si="87"/>
        <v>0</v>
      </c>
      <c r="O235" s="165">
        <f t="shared" si="87"/>
        <v>0</v>
      </c>
      <c r="P235" s="165">
        <f t="shared" si="87"/>
        <v>0</v>
      </c>
      <c r="Q235" s="165">
        <f t="shared" si="87"/>
        <v>0</v>
      </c>
      <c r="R235" s="165">
        <f t="shared" si="87"/>
        <v>0</v>
      </c>
      <c r="S235" s="165">
        <f t="shared" si="87"/>
        <v>0</v>
      </c>
      <c r="T235" s="165">
        <f t="shared" si="87"/>
        <v>0</v>
      </c>
      <c r="U235" s="165">
        <f t="shared" si="87"/>
        <v>0</v>
      </c>
      <c r="V235" s="165">
        <f t="shared" si="87"/>
        <v>0</v>
      </c>
      <c r="W235" s="165">
        <f t="shared" si="87"/>
        <v>0</v>
      </c>
      <c r="X235" s="165">
        <f t="shared" si="87"/>
        <v>0</v>
      </c>
      <c r="Y235" s="165">
        <f t="shared" si="87"/>
        <v>0</v>
      </c>
      <c r="Z235" s="165">
        <f t="shared" si="87"/>
        <v>0</v>
      </c>
      <c r="AA235" s="165">
        <f t="shared" si="87"/>
        <v>0</v>
      </c>
      <c r="AB235" s="165">
        <f t="shared" si="87"/>
        <v>0</v>
      </c>
      <c r="AC235" s="165">
        <f t="shared" si="87"/>
        <v>0</v>
      </c>
      <c r="AD235" s="165">
        <f t="shared" si="87"/>
        <v>0</v>
      </c>
      <c r="AE235" s="165">
        <f t="shared" si="87"/>
        <v>0</v>
      </c>
      <c r="AF235" s="165">
        <f t="shared" si="87"/>
        <v>0</v>
      </c>
      <c r="AG235" s="165">
        <f t="shared" si="87"/>
        <v>0</v>
      </c>
      <c r="AH235" s="165">
        <f t="shared" si="87"/>
        <v>0</v>
      </c>
      <c r="AI235" s="165">
        <f t="shared" si="87"/>
        <v>0</v>
      </c>
      <c r="AJ235" s="165">
        <f t="shared" si="87"/>
        <v>0</v>
      </c>
      <c r="AK235" s="165">
        <f t="shared" si="87"/>
        <v>0</v>
      </c>
      <c r="AL235" s="165">
        <f t="shared" si="87"/>
        <v>0</v>
      </c>
      <c r="AM235" s="165">
        <f t="shared" si="87"/>
        <v>0</v>
      </c>
      <c r="AN235" s="165">
        <f t="shared" si="87"/>
        <v>0</v>
      </c>
      <c r="AO235" s="165">
        <f t="shared" si="87"/>
        <v>0</v>
      </c>
      <c r="AP235" s="165">
        <f t="shared" si="87"/>
        <v>0</v>
      </c>
    </row>
    <row r="236" spans="1:42" x14ac:dyDescent="0.2">
      <c r="A236" s="90" t="s">
        <v>40</v>
      </c>
      <c r="C236" s="163">
        <f>C217+C223+C229+C235</f>
        <v>0</v>
      </c>
      <c r="D236" s="163">
        <f t="shared" ref="D236:AP236" si="88">D217+D223+D229+D235</f>
        <v>0</v>
      </c>
      <c r="E236" s="163">
        <f t="shared" si="88"/>
        <v>0</v>
      </c>
      <c r="F236" s="163">
        <f t="shared" si="88"/>
        <v>0</v>
      </c>
      <c r="G236" s="163">
        <f t="shared" si="88"/>
        <v>0</v>
      </c>
      <c r="H236" s="163">
        <f t="shared" si="88"/>
        <v>0</v>
      </c>
      <c r="I236" s="163">
        <f t="shared" si="88"/>
        <v>0</v>
      </c>
      <c r="J236" s="163">
        <f t="shared" si="88"/>
        <v>0</v>
      </c>
      <c r="K236" s="163">
        <f t="shared" si="88"/>
        <v>0</v>
      </c>
      <c r="L236" s="163">
        <f t="shared" si="88"/>
        <v>0</v>
      </c>
      <c r="M236" s="163">
        <f t="shared" si="88"/>
        <v>0</v>
      </c>
      <c r="N236" s="163">
        <f t="shared" si="88"/>
        <v>0</v>
      </c>
      <c r="O236" s="163">
        <f t="shared" si="88"/>
        <v>0</v>
      </c>
      <c r="P236" s="163">
        <f t="shared" si="88"/>
        <v>0</v>
      </c>
      <c r="Q236" s="163">
        <f t="shared" si="88"/>
        <v>0</v>
      </c>
      <c r="R236" s="163">
        <f t="shared" si="88"/>
        <v>0</v>
      </c>
      <c r="S236" s="163">
        <f t="shared" si="88"/>
        <v>0</v>
      </c>
      <c r="T236" s="163">
        <f t="shared" si="88"/>
        <v>0</v>
      </c>
      <c r="U236" s="163">
        <f t="shared" si="88"/>
        <v>0</v>
      </c>
      <c r="V236" s="163">
        <f t="shared" si="88"/>
        <v>0</v>
      </c>
      <c r="W236" s="163">
        <f t="shared" si="88"/>
        <v>0</v>
      </c>
      <c r="X236" s="163">
        <f t="shared" si="88"/>
        <v>0</v>
      </c>
      <c r="Y236" s="163">
        <f t="shared" si="88"/>
        <v>0</v>
      </c>
      <c r="Z236" s="163">
        <f t="shared" si="88"/>
        <v>0</v>
      </c>
      <c r="AA236" s="163">
        <f t="shared" si="88"/>
        <v>0</v>
      </c>
      <c r="AB236" s="163">
        <f t="shared" si="88"/>
        <v>0</v>
      </c>
      <c r="AC236" s="163">
        <f t="shared" si="88"/>
        <v>0</v>
      </c>
      <c r="AD236" s="163">
        <f t="shared" si="88"/>
        <v>0</v>
      </c>
      <c r="AE236" s="163">
        <f t="shared" si="88"/>
        <v>0</v>
      </c>
      <c r="AF236" s="163">
        <f t="shared" si="88"/>
        <v>0</v>
      </c>
      <c r="AG236" s="163">
        <f t="shared" si="88"/>
        <v>0</v>
      </c>
      <c r="AH236" s="163">
        <f t="shared" si="88"/>
        <v>0</v>
      </c>
      <c r="AI236" s="163">
        <f t="shared" si="88"/>
        <v>0</v>
      </c>
      <c r="AJ236" s="163">
        <f t="shared" si="88"/>
        <v>0</v>
      </c>
      <c r="AK236" s="163">
        <f t="shared" si="88"/>
        <v>0</v>
      </c>
      <c r="AL236" s="163">
        <f t="shared" si="88"/>
        <v>0</v>
      </c>
      <c r="AM236" s="163">
        <f t="shared" si="88"/>
        <v>0</v>
      </c>
      <c r="AN236" s="163">
        <f t="shared" si="88"/>
        <v>0</v>
      </c>
      <c r="AO236" s="163">
        <f t="shared" si="88"/>
        <v>0</v>
      </c>
      <c r="AP236" s="163">
        <f t="shared" si="88"/>
        <v>0</v>
      </c>
    </row>
    <row r="237" spans="1:42" x14ac:dyDescent="0.2">
      <c r="A237" s="91"/>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row>
    <row r="238" spans="1:42" x14ac:dyDescent="0.2">
      <c r="A238" s="90" t="s">
        <v>41</v>
      </c>
      <c r="C238" s="166">
        <f>C210+C236</f>
        <v>-12124541.340164334</v>
      </c>
      <c r="D238" s="166">
        <f t="shared" ref="D238:AP238" si="89">D210+D236</f>
        <v>-21968445.842082549</v>
      </c>
      <c r="E238" s="166">
        <f t="shared" si="89"/>
        <v>-11500924.466925705</v>
      </c>
      <c r="F238" s="166">
        <f t="shared" si="89"/>
        <v>-5172410.0024643419</v>
      </c>
      <c r="G238" s="166">
        <f t="shared" si="89"/>
        <v>-5052664.4123692038</v>
      </c>
      <c r="H238" s="166">
        <f t="shared" si="89"/>
        <v>-273074.07095123414</v>
      </c>
      <c r="I238" s="166">
        <f t="shared" si="89"/>
        <v>4503859.3618120709</v>
      </c>
      <c r="J238" s="166">
        <f t="shared" si="89"/>
        <v>4621010.9864930036</v>
      </c>
      <c r="K238" s="166">
        <f t="shared" si="89"/>
        <v>4741430.8938295897</v>
      </c>
      <c r="L238" s="166">
        <f t="shared" si="89"/>
        <v>4865723.3377027577</v>
      </c>
      <c r="M238" s="166">
        <f t="shared" si="89"/>
        <v>4993378.1283767372</v>
      </c>
      <c r="N238" s="166">
        <f t="shared" si="89"/>
        <v>5125412.8421808574</v>
      </c>
      <c r="O238" s="166">
        <f t="shared" si="89"/>
        <v>5260542.7765795365</v>
      </c>
      <c r="P238" s="166">
        <f t="shared" si="89"/>
        <v>5400597.1046128385</v>
      </c>
      <c r="Q238" s="166">
        <f t="shared" si="89"/>
        <v>2916045.8880905984</v>
      </c>
      <c r="R238" s="166">
        <f t="shared" si="89"/>
        <v>1462394.0356952234</v>
      </c>
      <c r="S238" s="166">
        <f t="shared" si="89"/>
        <v>3447927.2693047067</v>
      </c>
      <c r="T238" s="166">
        <f t="shared" si="89"/>
        <v>4631654.2705791183</v>
      </c>
      <c r="U238" s="166">
        <f t="shared" si="89"/>
        <v>4781188.7396434769</v>
      </c>
      <c r="V238" s="166">
        <f t="shared" si="89"/>
        <v>5526687.2151438147</v>
      </c>
      <c r="W238" s="166">
        <f t="shared" si="89"/>
        <v>6350319.007502431</v>
      </c>
      <c r="X238" s="166">
        <f t="shared" si="89"/>
        <v>6415877.7717057718</v>
      </c>
      <c r="Y238" s="166">
        <f t="shared" si="89"/>
        <v>6400950.6509984173</v>
      </c>
      <c r="Z238" s="166">
        <f t="shared" si="89"/>
        <v>6384791.4972733771</v>
      </c>
      <c r="AA238" s="166">
        <f t="shared" si="89"/>
        <v>6367345.3297052113</v>
      </c>
      <c r="AB238" s="166">
        <f t="shared" si="89"/>
        <v>0</v>
      </c>
      <c r="AC238" s="166">
        <f t="shared" si="89"/>
        <v>0</v>
      </c>
      <c r="AD238" s="166">
        <f t="shared" si="89"/>
        <v>0</v>
      </c>
      <c r="AE238" s="166">
        <f t="shared" si="89"/>
        <v>0</v>
      </c>
      <c r="AF238" s="166">
        <f t="shared" si="89"/>
        <v>0</v>
      </c>
      <c r="AG238" s="166">
        <f t="shared" si="89"/>
        <v>0</v>
      </c>
      <c r="AH238" s="166">
        <f t="shared" si="89"/>
        <v>0</v>
      </c>
      <c r="AI238" s="166">
        <f t="shared" si="89"/>
        <v>0</v>
      </c>
      <c r="AJ238" s="166">
        <f t="shared" si="89"/>
        <v>0</v>
      </c>
      <c r="AK238" s="166">
        <f t="shared" si="89"/>
        <v>0</v>
      </c>
      <c r="AL238" s="166">
        <f t="shared" si="89"/>
        <v>0</v>
      </c>
      <c r="AM238" s="166">
        <f t="shared" si="89"/>
        <v>0</v>
      </c>
      <c r="AN238" s="166">
        <f t="shared" si="89"/>
        <v>0</v>
      </c>
      <c r="AO238" s="166">
        <f t="shared" si="89"/>
        <v>0</v>
      </c>
      <c r="AP238" s="166">
        <f t="shared" si="89"/>
        <v>0</v>
      </c>
    </row>
    <row r="239" spans="1:42" x14ac:dyDescent="0.2">
      <c r="A239" s="90" t="s">
        <v>288</v>
      </c>
      <c r="B239" s="4">
        <f t="array" ref="B239:AP239">Inputs!C167:AQ167</f>
        <v>0</v>
      </c>
      <c r="C239" s="165">
        <v>21</v>
      </c>
      <c r="D239" s="165">
        <v>21</v>
      </c>
      <c r="E239" s="165">
        <v>21</v>
      </c>
      <c r="F239" s="165">
        <v>21</v>
      </c>
      <c r="G239" s="165">
        <v>21</v>
      </c>
      <c r="H239" s="165">
        <v>21</v>
      </c>
      <c r="I239" s="165">
        <v>21</v>
      </c>
      <c r="J239" s="165">
        <v>21</v>
      </c>
      <c r="K239" s="165">
        <v>21</v>
      </c>
      <c r="L239" s="165">
        <v>21</v>
      </c>
      <c r="M239" s="165">
        <v>21</v>
      </c>
      <c r="N239" s="165">
        <v>21</v>
      </c>
      <c r="O239" s="165">
        <v>21</v>
      </c>
      <c r="P239" s="165">
        <v>21</v>
      </c>
      <c r="Q239" s="165">
        <v>21</v>
      </c>
      <c r="R239" s="165">
        <v>21</v>
      </c>
      <c r="S239" s="165">
        <v>21</v>
      </c>
      <c r="T239" s="165">
        <v>21</v>
      </c>
      <c r="U239" s="165">
        <v>21</v>
      </c>
      <c r="V239" s="165">
        <v>21</v>
      </c>
      <c r="W239" s="165">
        <v>21</v>
      </c>
      <c r="X239" s="165">
        <v>21</v>
      </c>
      <c r="Y239" s="165">
        <v>21</v>
      </c>
      <c r="Z239" s="165">
        <v>21</v>
      </c>
      <c r="AA239" s="165">
        <v>21</v>
      </c>
      <c r="AB239" s="165">
        <v>0</v>
      </c>
      <c r="AC239" s="165">
        <v>0</v>
      </c>
      <c r="AD239" s="165">
        <v>0</v>
      </c>
      <c r="AE239" s="165">
        <v>0</v>
      </c>
      <c r="AF239" s="165">
        <v>0</v>
      </c>
      <c r="AG239" s="165">
        <v>0</v>
      </c>
      <c r="AH239" s="165">
        <v>0</v>
      </c>
      <c r="AI239" s="165">
        <v>0</v>
      </c>
      <c r="AJ239" s="165">
        <v>0</v>
      </c>
      <c r="AK239" s="165">
        <v>0</v>
      </c>
      <c r="AL239" s="165">
        <v>0</v>
      </c>
      <c r="AM239" s="165">
        <v>0</v>
      </c>
      <c r="AN239" s="165">
        <v>0</v>
      </c>
      <c r="AO239" s="165">
        <v>0</v>
      </c>
      <c r="AP239" s="165">
        <v>0</v>
      </c>
    </row>
    <row r="240" spans="1:42" x14ac:dyDescent="0.2">
      <c r="A240" s="90" t="s">
        <v>81</v>
      </c>
      <c r="C240" s="166">
        <f>C238*-C239/100</f>
        <v>2546153.6814345103</v>
      </c>
      <c r="D240" s="166">
        <f t="shared" ref="D240:AP240" si="90">D238*-D239/100</f>
        <v>4613373.6268373355</v>
      </c>
      <c r="E240" s="166">
        <f t="shared" si="90"/>
        <v>2415194.1380543979</v>
      </c>
      <c r="F240" s="166">
        <f t="shared" si="90"/>
        <v>1086206.1005175118</v>
      </c>
      <c r="G240" s="166">
        <f t="shared" si="90"/>
        <v>1061059.5265975327</v>
      </c>
      <c r="H240" s="166">
        <f t="shared" si="90"/>
        <v>57345.554899759169</v>
      </c>
      <c r="I240" s="166">
        <f t="shared" si="90"/>
        <v>-945810.46598053491</v>
      </c>
      <c r="J240" s="166">
        <f t="shared" si="90"/>
        <v>-970412.30716353073</v>
      </c>
      <c r="K240" s="166">
        <f t="shared" si="90"/>
        <v>-995700.48770421383</v>
      </c>
      <c r="L240" s="166">
        <f t="shared" si="90"/>
        <v>-1021801.9009175791</v>
      </c>
      <c r="M240" s="166">
        <f t="shared" si="90"/>
        <v>-1048609.4069591148</v>
      </c>
      <c r="N240" s="166">
        <f t="shared" si="90"/>
        <v>-1076336.69685798</v>
      </c>
      <c r="O240" s="166">
        <f t="shared" si="90"/>
        <v>-1104713.9830817026</v>
      </c>
      <c r="P240" s="166">
        <f t="shared" si="90"/>
        <v>-1134125.3919686961</v>
      </c>
      <c r="Q240" s="166">
        <f t="shared" si="90"/>
        <v>-612369.63649902563</v>
      </c>
      <c r="R240" s="166">
        <f t="shared" si="90"/>
        <v>-307102.74749599694</v>
      </c>
      <c r="S240" s="166">
        <f t="shared" si="90"/>
        <v>-724064.72655398841</v>
      </c>
      <c r="T240" s="166">
        <f t="shared" si="90"/>
        <v>-972647.39682161482</v>
      </c>
      <c r="U240" s="166">
        <f t="shared" si="90"/>
        <v>-1004049.6353251302</v>
      </c>
      <c r="V240" s="166">
        <f t="shared" si="90"/>
        <v>-1160604.3151802011</v>
      </c>
      <c r="W240" s="166">
        <f t="shared" si="90"/>
        <v>-1333566.9915755105</v>
      </c>
      <c r="X240" s="166">
        <f t="shared" si="90"/>
        <v>-1347334.3320582123</v>
      </c>
      <c r="Y240" s="166">
        <f t="shared" si="90"/>
        <v>-1344199.6367096677</v>
      </c>
      <c r="Z240" s="166">
        <f t="shared" si="90"/>
        <v>-1340806.2144274092</v>
      </c>
      <c r="AA240" s="166">
        <f t="shared" si="90"/>
        <v>-1337142.5192380943</v>
      </c>
      <c r="AB240" s="166">
        <f t="shared" si="90"/>
        <v>0</v>
      </c>
      <c r="AC240" s="166">
        <f t="shared" si="90"/>
        <v>0</v>
      </c>
      <c r="AD240" s="166">
        <f t="shared" si="90"/>
        <v>0</v>
      </c>
      <c r="AE240" s="166">
        <f t="shared" si="90"/>
        <v>0</v>
      </c>
      <c r="AF240" s="166">
        <f t="shared" si="90"/>
        <v>0</v>
      </c>
      <c r="AG240" s="166">
        <f t="shared" si="90"/>
        <v>0</v>
      </c>
      <c r="AH240" s="166">
        <f t="shared" si="90"/>
        <v>0</v>
      </c>
      <c r="AI240" s="166">
        <f t="shared" si="90"/>
        <v>0</v>
      </c>
      <c r="AJ240" s="166">
        <f t="shared" si="90"/>
        <v>0</v>
      </c>
      <c r="AK240" s="166">
        <f t="shared" si="90"/>
        <v>0</v>
      </c>
      <c r="AL240" s="166">
        <f t="shared" si="90"/>
        <v>0</v>
      </c>
      <c r="AM240" s="166">
        <f t="shared" si="90"/>
        <v>0</v>
      </c>
      <c r="AN240" s="166">
        <f t="shared" si="90"/>
        <v>0</v>
      </c>
      <c r="AO240" s="166">
        <f t="shared" si="90"/>
        <v>0</v>
      </c>
      <c r="AP240" s="166">
        <f t="shared" si="90"/>
        <v>0</v>
      </c>
    </row>
    <row r="241" spans="1:42" x14ac:dyDescent="0.2">
      <c r="A241" s="22"/>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row>
    <row r="242" spans="1:42" x14ac:dyDescent="0.2">
      <c r="A242" s="84" t="s">
        <v>427</v>
      </c>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row>
    <row r="243" spans="1:42" x14ac:dyDescent="0.2">
      <c r="A243" s="20" t="s">
        <v>95</v>
      </c>
    </row>
    <row r="244" spans="1:42" x14ac:dyDescent="0.2">
      <c r="A244" s="4" t="s">
        <v>239</v>
      </c>
      <c r="G244" s="325" t="s">
        <v>65</v>
      </c>
      <c r="H244" s="326"/>
      <c r="I244" s="326"/>
      <c r="J244" s="327"/>
      <c r="K244" s="328" t="s">
        <v>66</v>
      </c>
      <c r="L244" s="329"/>
    </row>
    <row r="245" spans="1:42" ht="51" x14ac:dyDescent="0.2">
      <c r="B245" s="14" t="s">
        <v>55</v>
      </c>
      <c r="C245" s="14" t="s">
        <v>51</v>
      </c>
      <c r="D245" s="14" t="s">
        <v>53</v>
      </c>
      <c r="E245" s="24" t="s">
        <v>54</v>
      </c>
      <c r="F245" s="14" t="s">
        <v>56</v>
      </c>
      <c r="G245" s="14" t="s">
        <v>60</v>
      </c>
      <c r="H245" s="14" t="s">
        <v>62</v>
      </c>
      <c r="I245" s="52" t="s">
        <v>61</v>
      </c>
      <c r="J245" s="14" t="s">
        <v>63</v>
      </c>
      <c r="K245" s="14" t="s">
        <v>61</v>
      </c>
      <c r="L245" s="144" t="s">
        <v>63</v>
      </c>
      <c r="M245" s="25" t="s">
        <v>67</v>
      </c>
      <c r="N245" s="25" t="s">
        <v>68</v>
      </c>
      <c r="O245" s="14" t="s">
        <v>57</v>
      </c>
      <c r="P245" s="143" t="s">
        <v>87</v>
      </c>
      <c r="Q245" s="14" t="s">
        <v>88</v>
      </c>
    </row>
    <row r="246" spans="1:42" x14ac:dyDescent="0.2">
      <c r="A246" s="22" t="str">
        <f>Inputs!B137</f>
        <v>5-yr MACRS</v>
      </c>
      <c r="B246" s="215">
        <f>IF(Inputs!$C$145=0,0,depr_alloc_macrs_5_percent*100/Inputs!$C$145)</f>
        <v>92.783505154639172</v>
      </c>
      <c r="C246" s="123">
        <f>-$B$102*depr_alloc_macrs_5_percent/100</f>
        <v>102296832.75</v>
      </c>
      <c r="D246" s="123">
        <f t="shared" ref="D246:E251" si="91">$B246/100*D$253</f>
        <v>0</v>
      </c>
      <c r="E246" s="123">
        <f t="shared" si="91"/>
        <v>0</v>
      </c>
      <c r="F246" s="125">
        <f>C246-D246-E246</f>
        <v>102296832.75</v>
      </c>
      <c r="G246" s="126">
        <f>IF(depr_itc_sta_macrs_5="Yes",F246,0)</f>
        <v>102296832.75</v>
      </c>
      <c r="H246" s="133">
        <f t="shared" ref="H246:H252" si="92">IF($G$253=0,0,G246/$G$253)*100</f>
        <v>100</v>
      </c>
      <c r="I246" s="129">
        <f t="shared" ref="I246:I252" si="93">$I$253*H246/100</f>
        <v>0</v>
      </c>
      <c r="J246" s="130">
        <f>I246*0.5</f>
        <v>0</v>
      </c>
      <c r="K246" s="127">
        <f t="shared" ref="K246:K252" si="94">H246/100*$K$253</f>
        <v>0</v>
      </c>
      <c r="L246" s="130">
        <f>K246*0.5</f>
        <v>0</v>
      </c>
      <c r="M246" s="123">
        <f t="shared" ref="M246:M250" si="95">IF(itc_sta_amount_deprbas_sta="Yes",L246,0)+IF(itc_sta_percent_deprbas_sta="Yes",J246,0)</f>
        <v>0</v>
      </c>
      <c r="N246" s="123">
        <f t="shared" ref="N246:N251" si="96">IF(itc_fed_amount_deprbas_sta="Yes",L382,0)+IF(itc_fed_percent_deprbas_sta="Yes",J382,0)</f>
        <v>15344524.9125</v>
      </c>
      <c r="O246" s="131">
        <f t="shared" ref="O246:O250" si="97">F246-M246-N246</f>
        <v>86952307.837500006</v>
      </c>
      <c r="P246" s="123">
        <f>IF(depr_bonus_sta_macrs_5="Yes",O246*depr_bonus_sta/100,0)</f>
        <v>0</v>
      </c>
      <c r="Q246" s="125">
        <f>O246-P246</f>
        <v>86952307.837500006</v>
      </c>
    </row>
    <row r="247" spans="1:42" x14ac:dyDescent="0.2">
      <c r="A247" s="22" t="str">
        <f>Inputs!B138</f>
        <v>15-yr MACRS</v>
      </c>
      <c r="B247" s="215">
        <f>IF(Inputs!$C$145=0,0,depr_alloc_macrs_15_percent*100/Inputs!$C$145)</f>
        <v>1.5463917525773196</v>
      </c>
      <c r="C247" s="123">
        <f>-$B$102*depr_alloc_macrs_15_percent/100</f>
        <v>1704947.2124999999</v>
      </c>
      <c r="D247" s="123">
        <f t="shared" si="91"/>
        <v>0</v>
      </c>
      <c r="E247" s="123">
        <f t="shared" si="91"/>
        <v>0</v>
      </c>
      <c r="F247" s="125">
        <f t="shared" ref="F247:F251" si="98">C247-D247-E247</f>
        <v>1704947.2124999999</v>
      </c>
      <c r="G247" s="127">
        <f>IF(depr_itc_sta_macrs_15="Yes",F247,0)</f>
        <v>0</v>
      </c>
      <c r="H247" s="134">
        <f t="shared" si="92"/>
        <v>0</v>
      </c>
      <c r="I247" s="123">
        <f t="shared" si="93"/>
        <v>0</v>
      </c>
      <c r="J247" s="132">
        <f t="shared" ref="J247:J252" si="99">I247*0.5</f>
        <v>0</v>
      </c>
      <c r="K247" s="127">
        <f t="shared" si="94"/>
        <v>0</v>
      </c>
      <c r="L247" s="132">
        <f t="shared" ref="L247:L252" si="100">K247*0.5</f>
        <v>0</v>
      </c>
      <c r="M247" s="123">
        <f t="shared" si="95"/>
        <v>0</v>
      </c>
      <c r="N247" s="123">
        <f t="shared" si="96"/>
        <v>0</v>
      </c>
      <c r="O247" s="125">
        <f t="shared" si="97"/>
        <v>1704947.2124999999</v>
      </c>
      <c r="P247" s="123">
        <f>IF(depr_bonus_sta_macrs_15="Yes",O247*depr_bonus_sta/100,0)</f>
        <v>0</v>
      </c>
      <c r="Q247" s="125">
        <f t="shared" ref="Q247:Q250" si="101">O247-P247</f>
        <v>1704947.2124999999</v>
      </c>
    </row>
    <row r="248" spans="1:42" x14ac:dyDescent="0.2">
      <c r="A248" s="22" t="str">
        <f>Inputs!B139</f>
        <v>5-yr SL</v>
      </c>
      <c r="B248" s="215">
        <f>IF(Inputs!$C$145=0,0,depr_alloc_sl_5_percent*100/Inputs!$C$145)</f>
        <v>0</v>
      </c>
      <c r="C248" s="123">
        <f>-$B$102*depr_alloc_sl_5_percent/100</f>
        <v>0</v>
      </c>
      <c r="D248" s="123">
        <f t="shared" si="91"/>
        <v>0</v>
      </c>
      <c r="E248" s="123">
        <f t="shared" si="91"/>
        <v>0</v>
      </c>
      <c r="F248" s="125">
        <f t="shared" si="98"/>
        <v>0</v>
      </c>
      <c r="G248" s="127">
        <f>IF(depr_itc_sta_sl_5="Yes",F248,0)</f>
        <v>0</v>
      </c>
      <c r="H248" s="134">
        <f t="shared" si="92"/>
        <v>0</v>
      </c>
      <c r="I248" s="123">
        <f t="shared" si="93"/>
        <v>0</v>
      </c>
      <c r="J248" s="132">
        <f t="shared" si="99"/>
        <v>0</v>
      </c>
      <c r="K248" s="127">
        <f t="shared" si="94"/>
        <v>0</v>
      </c>
      <c r="L248" s="132">
        <f t="shared" si="100"/>
        <v>0</v>
      </c>
      <c r="M248" s="123">
        <f t="shared" si="95"/>
        <v>0</v>
      </c>
      <c r="N248" s="123">
        <f t="shared" si="96"/>
        <v>0</v>
      </c>
      <c r="O248" s="125">
        <f t="shared" si="97"/>
        <v>0</v>
      </c>
      <c r="P248" s="123">
        <f>IF(depr_bonus_sta_sl_5="Yes",O248*depr_bonus_sta/100,0)</f>
        <v>0</v>
      </c>
      <c r="Q248" s="125">
        <f t="shared" si="101"/>
        <v>0</v>
      </c>
    </row>
    <row r="249" spans="1:42" x14ac:dyDescent="0.2">
      <c r="A249" s="22" t="str">
        <f>Inputs!B140</f>
        <v>15-yr SL</v>
      </c>
      <c r="B249" s="215">
        <f>IF(Inputs!$C$145=0,0,depr_alloc_sl_15_percent*100/Inputs!$C$145)</f>
        <v>2.5773195876288661</v>
      </c>
      <c r="C249" s="123">
        <f>-$B$102*depr_alloc_sl_15_percent/100</f>
        <v>2841578.6875</v>
      </c>
      <c r="D249" s="123">
        <f t="shared" si="91"/>
        <v>0</v>
      </c>
      <c r="E249" s="123">
        <f t="shared" si="91"/>
        <v>0</v>
      </c>
      <c r="F249" s="125">
        <f t="shared" si="98"/>
        <v>2841578.6875</v>
      </c>
      <c r="G249" s="127">
        <f>IF(depr_itc_sta_sl_15="Yes",F249,0)</f>
        <v>0</v>
      </c>
      <c r="H249" s="134">
        <f t="shared" si="92"/>
        <v>0</v>
      </c>
      <c r="I249" s="123">
        <f t="shared" si="93"/>
        <v>0</v>
      </c>
      <c r="J249" s="132">
        <f t="shared" si="99"/>
        <v>0</v>
      </c>
      <c r="K249" s="127">
        <f t="shared" si="94"/>
        <v>0</v>
      </c>
      <c r="L249" s="132">
        <f t="shared" si="100"/>
        <v>0</v>
      </c>
      <c r="M249" s="123">
        <f t="shared" si="95"/>
        <v>0</v>
      </c>
      <c r="N249" s="123">
        <f t="shared" si="96"/>
        <v>0</v>
      </c>
      <c r="O249" s="125">
        <f t="shared" si="97"/>
        <v>2841578.6875</v>
      </c>
      <c r="P249" s="123">
        <f>IF(depr_bonus_sta_sl_15="Yes",O249*depr_bonus_sta/100,0)</f>
        <v>0</v>
      </c>
      <c r="Q249" s="125">
        <f t="shared" si="101"/>
        <v>2841578.6875</v>
      </c>
    </row>
    <row r="250" spans="1:42" x14ac:dyDescent="0.2">
      <c r="A250" s="22" t="str">
        <f>Inputs!B141</f>
        <v>20-yr SL</v>
      </c>
      <c r="B250" s="215">
        <f>IF(Inputs!$C$145=0,0,depr_alloc_sl_20_percent*100/Inputs!$C$145)</f>
        <v>3.0927835051546393</v>
      </c>
      <c r="C250" s="123">
        <f>-$B$102*depr_alloc_sl_20_percent/100</f>
        <v>3409894.4249999998</v>
      </c>
      <c r="D250" s="123">
        <f t="shared" si="91"/>
        <v>0</v>
      </c>
      <c r="E250" s="123">
        <f t="shared" si="91"/>
        <v>0</v>
      </c>
      <c r="F250" s="125">
        <f t="shared" si="98"/>
        <v>3409894.4249999998</v>
      </c>
      <c r="G250" s="127">
        <f>IF(depr_itc_sta_sl_20="Yes",F250,0)</f>
        <v>0</v>
      </c>
      <c r="H250" s="134">
        <f t="shared" si="92"/>
        <v>0</v>
      </c>
      <c r="I250" s="123">
        <f t="shared" si="93"/>
        <v>0</v>
      </c>
      <c r="J250" s="132">
        <f t="shared" si="99"/>
        <v>0</v>
      </c>
      <c r="K250" s="127">
        <f t="shared" si="94"/>
        <v>0</v>
      </c>
      <c r="L250" s="132">
        <f t="shared" si="100"/>
        <v>0</v>
      </c>
      <c r="M250" s="123">
        <f t="shared" si="95"/>
        <v>0</v>
      </c>
      <c r="N250" s="123">
        <f t="shared" si="96"/>
        <v>0</v>
      </c>
      <c r="O250" s="125">
        <f t="shared" si="97"/>
        <v>3409894.4249999998</v>
      </c>
      <c r="P250" s="123">
        <f>IF(depr_bonus_sta_sl_20="Yes",O250*depr_bonus_sta/100,0)</f>
        <v>0</v>
      </c>
      <c r="Q250" s="125">
        <f t="shared" si="101"/>
        <v>3409894.4249999998</v>
      </c>
    </row>
    <row r="251" spans="1:42" x14ac:dyDescent="0.2">
      <c r="A251" s="22" t="str">
        <f>Inputs!B142</f>
        <v>39-yr SL</v>
      </c>
      <c r="B251" s="279">
        <f>IF(Inputs!$C$145=0,0,depr_alloc_sl_39_percent*100/Inputs!$C$145)</f>
        <v>0</v>
      </c>
      <c r="C251" s="123">
        <f>-$B$102*depr_alloc_sl_39_percent/100</f>
        <v>0</v>
      </c>
      <c r="D251" s="123">
        <f t="shared" si="91"/>
        <v>0</v>
      </c>
      <c r="E251" s="123">
        <f t="shared" si="91"/>
        <v>0</v>
      </c>
      <c r="F251" s="125">
        <f t="shared" si="98"/>
        <v>0</v>
      </c>
      <c r="G251" s="127">
        <f>IF(depr_itc_sta_sl_39="Yes",F251,0)</f>
        <v>0</v>
      </c>
      <c r="H251" s="134">
        <f t="shared" si="92"/>
        <v>0</v>
      </c>
      <c r="I251" s="123">
        <f t="shared" si="93"/>
        <v>0</v>
      </c>
      <c r="J251" s="132">
        <f t="shared" si="99"/>
        <v>0</v>
      </c>
      <c r="K251" s="127">
        <f t="shared" si="94"/>
        <v>0</v>
      </c>
      <c r="L251" s="132">
        <f t="shared" si="100"/>
        <v>0</v>
      </c>
      <c r="M251" s="127">
        <f>IF(itc_sta_amount_deprbas_sta="Yes",L251,0)+IF(itc_sta_percent_deprbas_sta="Yes",J251,0)</f>
        <v>0</v>
      </c>
      <c r="N251" s="123">
        <f t="shared" si="96"/>
        <v>0</v>
      </c>
      <c r="O251" s="125">
        <f>F251-M251-N251</f>
        <v>0</v>
      </c>
      <c r="P251" s="123">
        <f>IF(depr_bonus_sta_sl_39="Yes",O251*depr_bonus_sta/100,0)</f>
        <v>0</v>
      </c>
      <c r="Q251" s="125">
        <f>O251-P251</f>
        <v>0</v>
      </c>
    </row>
    <row r="252" spans="1:42" x14ac:dyDescent="0.2">
      <c r="A252" s="22" t="s">
        <v>324</v>
      </c>
      <c r="B252" s="216">
        <f>IF(Inputs!$C$145=0,0,depr_alloc_custom_percent*100/Inputs!$C$145)</f>
        <v>0</v>
      </c>
      <c r="C252" s="123">
        <f>-$B$102*depr_alloc_custom_percent/100</f>
        <v>0</v>
      </c>
      <c r="D252" s="123">
        <f>$B252/100*D$253</f>
        <v>0</v>
      </c>
      <c r="E252" s="123">
        <f>$B252/100*E$253</f>
        <v>0</v>
      </c>
      <c r="F252" s="125">
        <f>C252-D252-E252</f>
        <v>0</v>
      </c>
      <c r="G252" s="127">
        <f>IF(depr_itc_sta_custom="Yes",F251,0)</f>
        <v>0</v>
      </c>
      <c r="H252" s="134">
        <f t="shared" si="92"/>
        <v>0</v>
      </c>
      <c r="I252" s="123">
        <f t="shared" si="93"/>
        <v>0</v>
      </c>
      <c r="J252" s="132">
        <f t="shared" si="99"/>
        <v>0</v>
      </c>
      <c r="K252" s="127">
        <f t="shared" si="94"/>
        <v>0</v>
      </c>
      <c r="L252" s="123">
        <f t="shared" si="100"/>
        <v>0</v>
      </c>
      <c r="M252" s="127">
        <f>IF(itc_sta_amount_deprbas_sta="Yes",L252,0)+IF(itc_sta_percent_deprbas_sta="Yes",J252,0)</f>
        <v>0</v>
      </c>
      <c r="N252" s="132">
        <f>IF(itc_fed_amount_deprbas_sta="Yes",L388,0)+IF(itc_fed_percent_deprbas_sta="Yes",J388,0)</f>
        <v>0</v>
      </c>
      <c r="O252" s="128">
        <f>F252-M252-N252</f>
        <v>0</v>
      </c>
      <c r="P252" s="123">
        <f>IF(depr_bonus_sta_custom="Yes",O252*depr_bonus_sta/100,0)</f>
        <v>0</v>
      </c>
      <c r="Q252" s="128">
        <f>O252-P252</f>
        <v>0</v>
      </c>
    </row>
    <row r="253" spans="1:42" x14ac:dyDescent="0.2">
      <c r="A253" s="22" t="s">
        <v>13</v>
      </c>
      <c r="B253" s="216">
        <f>SUM(B246:B252)</f>
        <v>100</v>
      </c>
      <c r="C253" s="141">
        <f>SUM(C246:C252)</f>
        <v>110253253.075</v>
      </c>
      <c r="D253" s="141">
        <f>B262+B268</f>
        <v>0</v>
      </c>
      <c r="E253" s="141">
        <f>B274</f>
        <v>0</v>
      </c>
      <c r="F253" s="182">
        <f>SUM(F246:F252)</f>
        <v>110253253.075</v>
      </c>
      <c r="G253" s="139">
        <f>SUM(G246:G252)</f>
        <v>102296832.75</v>
      </c>
      <c r="H253" s="135">
        <f>SUM(H246:H252)</f>
        <v>100</v>
      </c>
      <c r="I253" s="141">
        <f>SUM(C$522:$AP$522)</f>
        <v>0</v>
      </c>
      <c r="J253" s="141">
        <f>SUM(J246:J252)</f>
        <v>0</v>
      </c>
      <c r="K253" s="139">
        <f>SUM(C519:AP519)</f>
        <v>0</v>
      </c>
      <c r="L253" s="142">
        <f t="shared" ref="L253:Q253" si="102">SUM(L246:L252)</f>
        <v>0</v>
      </c>
      <c r="M253" s="139">
        <f t="shared" si="102"/>
        <v>0</v>
      </c>
      <c r="N253" s="142">
        <f t="shared" si="102"/>
        <v>15344524.9125</v>
      </c>
      <c r="O253" s="128">
        <f t="shared" si="102"/>
        <v>94908728.162500009</v>
      </c>
      <c r="P253" s="182">
        <f t="shared" si="102"/>
        <v>0</v>
      </c>
      <c r="Q253" s="128">
        <f t="shared" si="102"/>
        <v>94908728.162500009</v>
      </c>
    </row>
    <row r="255" spans="1:42" x14ac:dyDescent="0.2">
      <c r="A255" s="4" t="s">
        <v>64</v>
      </c>
    </row>
    <row r="256" spans="1:42" x14ac:dyDescent="0.2">
      <c r="A256" s="90" t="str">
        <f t="shared" ref="A256:A268" si="103">A544</f>
        <v>Investment Based Incentive (IBI)</v>
      </c>
    </row>
    <row r="257" spans="1:2" x14ac:dyDescent="0.2">
      <c r="A257" s="22" t="str">
        <f t="shared" si="103"/>
        <v>As fixed amount</v>
      </c>
    </row>
    <row r="258" spans="1:2" x14ac:dyDescent="0.2">
      <c r="A258" s="91" t="str">
        <f t="shared" si="103"/>
        <v>Federal ($)</v>
      </c>
      <c r="B258" s="163">
        <f>IF(ibi_fed_amount_deprbas_sta="Yes",ibi_fed_amount,0)</f>
        <v>0</v>
      </c>
    </row>
    <row r="259" spans="1:2" x14ac:dyDescent="0.2">
      <c r="A259" s="91" t="str">
        <f t="shared" si="103"/>
        <v>State ($)</v>
      </c>
      <c r="B259" s="163">
        <f>IF(ibi_sta_amount_deprbas_sta="Yes",ibi_sta_amount,0)</f>
        <v>0</v>
      </c>
    </row>
    <row r="260" spans="1:2" x14ac:dyDescent="0.2">
      <c r="A260" s="91" t="str">
        <f t="shared" si="103"/>
        <v>Utility ($)</v>
      </c>
      <c r="B260" s="163">
        <f>IF(ibi_uti_amount_deprbas_sta="Yes",ibi_uti_amount,0)</f>
        <v>0</v>
      </c>
    </row>
    <row r="261" spans="1:2" x14ac:dyDescent="0.2">
      <c r="A261" s="91" t="str">
        <f t="shared" si="103"/>
        <v>Other ($)</v>
      </c>
      <c r="B261" s="164">
        <f>IF(ibi_oth_amount_deprbas_sta="Yes",ibi_oth_amount,0)</f>
        <v>0</v>
      </c>
    </row>
    <row r="262" spans="1:2" x14ac:dyDescent="0.2">
      <c r="A262" s="91" t="str">
        <f t="shared" si="103"/>
        <v>Total</v>
      </c>
      <c r="B262" s="163">
        <f>SUM(B258:B261)</f>
        <v>0</v>
      </c>
    </row>
    <row r="263" spans="1:2" x14ac:dyDescent="0.2">
      <c r="A263" s="22" t="str">
        <f t="shared" si="103"/>
        <v>As percentage</v>
      </c>
    </row>
    <row r="264" spans="1:2" x14ac:dyDescent="0.2">
      <c r="A264" s="91" t="str">
        <f t="shared" si="103"/>
        <v>Federal (% of total installed cost)</v>
      </c>
      <c r="B264" s="163">
        <f>IF(ibi_fed_percent_deprbas_sta="Yes",C552,0)</f>
        <v>0</v>
      </c>
    </row>
    <row r="265" spans="1:2" x14ac:dyDescent="0.2">
      <c r="A265" s="91" t="str">
        <f t="shared" si="103"/>
        <v>State (% of total installed cost)</v>
      </c>
      <c r="B265" s="163">
        <f>IF(ibi_sta_percent_deprbas_sta="Yes",C553,0)</f>
        <v>0</v>
      </c>
    </row>
    <row r="266" spans="1:2" x14ac:dyDescent="0.2">
      <c r="A266" s="91" t="str">
        <f t="shared" si="103"/>
        <v>Utility (% of total installed cost)</v>
      </c>
      <c r="B266" s="163">
        <f>IF(ibi_uti_percent_deprbas_sta="Yes",C554,0)</f>
        <v>0</v>
      </c>
    </row>
    <row r="267" spans="1:2" x14ac:dyDescent="0.2">
      <c r="A267" s="91" t="str">
        <f t="shared" si="103"/>
        <v>Other (% of total installed cost)</v>
      </c>
      <c r="B267" s="164">
        <f>IF(ibi_oth_percent_deprbas_sta="Yes",C555,0)</f>
        <v>0</v>
      </c>
    </row>
    <row r="268" spans="1:2" x14ac:dyDescent="0.2">
      <c r="A268" s="91" t="str">
        <f t="shared" si="103"/>
        <v>Total</v>
      </c>
      <c r="B268" s="163">
        <f>SUM(B264:B267)</f>
        <v>0</v>
      </c>
    </row>
    <row r="269" spans="1:2" x14ac:dyDescent="0.2">
      <c r="A269" s="90" t="str">
        <f t="shared" ref="A269:A274" si="104">A558</f>
        <v>Capacity Based Incentive (CBI)</v>
      </c>
    </row>
    <row r="270" spans="1:2" x14ac:dyDescent="0.2">
      <c r="A270" s="22" t="str">
        <f t="shared" si="104"/>
        <v>Federal ($/W)</v>
      </c>
      <c r="B270" s="163">
        <f>IF(cbi_fed_deprbas_sta="Yes",C559,0)</f>
        <v>0</v>
      </c>
    </row>
    <row r="271" spans="1:2" x14ac:dyDescent="0.2">
      <c r="A271" s="22" t="str">
        <f t="shared" si="104"/>
        <v>State ($/W)</v>
      </c>
      <c r="B271" s="163">
        <f>IF(cbi_sta_deprbas_sta="Yes",C560,0)</f>
        <v>0</v>
      </c>
    </row>
    <row r="272" spans="1:2" x14ac:dyDescent="0.2">
      <c r="A272" s="22" t="str">
        <f t="shared" si="104"/>
        <v>Utility ($/W)</v>
      </c>
      <c r="B272" s="163">
        <f>IF(cbi_uti_deprbas_sta="Yes",C561,0)</f>
        <v>0</v>
      </c>
    </row>
    <row r="273" spans="1:42" x14ac:dyDescent="0.2">
      <c r="A273" s="22" t="str">
        <f t="shared" si="104"/>
        <v>Other ($/W)</v>
      </c>
      <c r="B273" s="163">
        <f>IF(cbi_oth_deprbas_sta="Yes",C562,0)</f>
        <v>0</v>
      </c>
    </row>
    <row r="274" spans="1:42" x14ac:dyDescent="0.2">
      <c r="A274" s="22" t="str">
        <f t="shared" si="104"/>
        <v>Total</v>
      </c>
      <c r="B274" s="166">
        <f>SUM(B270:B273)</f>
        <v>0</v>
      </c>
    </row>
    <row r="275" spans="1:42" x14ac:dyDescent="0.2">
      <c r="A275" s="90" t="s">
        <v>52</v>
      </c>
      <c r="B275" s="163">
        <f>B262+B268+B274</f>
        <v>0</v>
      </c>
    </row>
    <row r="277" spans="1:42" x14ac:dyDescent="0.2">
      <c r="A277" s="4" t="s">
        <v>82</v>
      </c>
    </row>
    <row r="278" spans="1:42" x14ac:dyDescent="0.2">
      <c r="A278" s="22" t="s">
        <v>58</v>
      </c>
    </row>
    <row r="279" spans="1:42" x14ac:dyDescent="0.2">
      <c r="A279" s="23" t="str">
        <f t="shared" ref="A279:A284" si="105">A246</f>
        <v>5-yr MACRS</v>
      </c>
      <c r="B279" s="171" cm="1">
        <f t="array" ref="B279">SUM(IF(ISNUMBER(C279:AP279),C279:AP279))</f>
        <v>100</v>
      </c>
      <c r="C279" s="172">
        <f>LOOKUP(C$2,'Depreciation Schedules'!$A$3:$A$42,'Depreciation Schedules'!$B$3:$B$42)</f>
        <v>20</v>
      </c>
      <c r="D279" s="172">
        <f>LOOKUP(D$2,'Depreciation Schedules'!$A$3:$A$42,'Depreciation Schedules'!$B$3:$B$42)</f>
        <v>32</v>
      </c>
      <c r="E279" s="172">
        <f>LOOKUP(E$2,'Depreciation Schedules'!$A$3:$A$42,'Depreciation Schedules'!$B$3:$B$42)</f>
        <v>19.2</v>
      </c>
      <c r="F279" s="172">
        <f>LOOKUP(F$2,'Depreciation Schedules'!$A$3:$A$42,'Depreciation Schedules'!$B$3:$B$42)</f>
        <v>11.52</v>
      </c>
      <c r="G279" s="172">
        <f>LOOKUP(G$2,'Depreciation Schedules'!$A$3:$A$42,'Depreciation Schedules'!$B$3:$B$42)</f>
        <v>11.52</v>
      </c>
      <c r="H279" s="172">
        <f>LOOKUP(H$2,'Depreciation Schedules'!$A$3:$A$42,'Depreciation Schedules'!$B$3:$B$42)</f>
        <v>5.76</v>
      </c>
      <c r="I279" s="172">
        <f>LOOKUP(I$2,'Depreciation Schedules'!$A$3:$A$42,'Depreciation Schedules'!$B$3:$B$42)</f>
        <v>0</v>
      </c>
      <c r="J279" s="172">
        <f>LOOKUP(J$2,'Depreciation Schedules'!$A$3:$A$42,'Depreciation Schedules'!$B$3:$B$42)</f>
        <v>0</v>
      </c>
      <c r="K279" s="172">
        <f>LOOKUP(K$2,'Depreciation Schedules'!$A$3:$A$42,'Depreciation Schedules'!$B$3:$B$42)</f>
        <v>0</v>
      </c>
      <c r="L279" s="172">
        <f>LOOKUP(L$2,'Depreciation Schedules'!$A$3:$A$42,'Depreciation Schedules'!$B$3:$B$42)</f>
        <v>0</v>
      </c>
      <c r="M279" s="172">
        <f>LOOKUP(M$2,'Depreciation Schedules'!$A$3:$A$42,'Depreciation Schedules'!$B$3:$B$42)</f>
        <v>0</v>
      </c>
      <c r="N279" s="172">
        <f>LOOKUP(N$2,'Depreciation Schedules'!$A$3:$A$42,'Depreciation Schedules'!$B$3:$B$42)</f>
        <v>0</v>
      </c>
      <c r="O279" s="172">
        <f>LOOKUP(O$2,'Depreciation Schedules'!$A$3:$A$42,'Depreciation Schedules'!$B$3:$B$42)</f>
        <v>0</v>
      </c>
      <c r="P279" s="172">
        <f>LOOKUP(P$2,'Depreciation Schedules'!$A$3:$A$42,'Depreciation Schedules'!$B$3:$B$42)</f>
        <v>0</v>
      </c>
      <c r="Q279" s="172">
        <f>LOOKUP(Q$2,'Depreciation Schedules'!$A$3:$A$42,'Depreciation Schedules'!$B$3:$B$42)</f>
        <v>0</v>
      </c>
      <c r="R279" s="172">
        <f>LOOKUP(R$2,'Depreciation Schedules'!$A$3:$A$42,'Depreciation Schedules'!$B$3:$B$42)</f>
        <v>0</v>
      </c>
      <c r="S279" s="172">
        <f>LOOKUP(S$2,'Depreciation Schedules'!$A$3:$A$42,'Depreciation Schedules'!$B$3:$B$42)</f>
        <v>0</v>
      </c>
      <c r="T279" s="172">
        <f>LOOKUP(T$2,'Depreciation Schedules'!$A$3:$A$42,'Depreciation Schedules'!$B$3:$B$42)</f>
        <v>0</v>
      </c>
      <c r="U279" s="172">
        <f>LOOKUP(U$2,'Depreciation Schedules'!$A$3:$A$42,'Depreciation Schedules'!$B$3:$B$42)</f>
        <v>0</v>
      </c>
      <c r="V279" s="172">
        <f>LOOKUP(V$2,'Depreciation Schedules'!$A$3:$A$42,'Depreciation Schedules'!$B$3:$B$42)</f>
        <v>0</v>
      </c>
      <c r="W279" s="172">
        <f>LOOKUP(W$2,'Depreciation Schedules'!$A$3:$A$42,'Depreciation Schedules'!$B$3:$B$42)</f>
        <v>0</v>
      </c>
      <c r="X279" s="172">
        <f>LOOKUP(X$2,'Depreciation Schedules'!$A$3:$A$42,'Depreciation Schedules'!$B$3:$B$42)</f>
        <v>0</v>
      </c>
      <c r="Y279" s="172">
        <f>LOOKUP(Y$2,'Depreciation Schedules'!$A$3:$A$42,'Depreciation Schedules'!$B$3:$B$42)</f>
        <v>0</v>
      </c>
      <c r="Z279" s="172">
        <f>LOOKUP(Z$2,'Depreciation Schedules'!$A$3:$A$42,'Depreciation Schedules'!$B$3:$B$42)</f>
        <v>0</v>
      </c>
      <c r="AA279" s="172">
        <f>LOOKUP(AA$2,'Depreciation Schedules'!$A$3:$A$42,'Depreciation Schedules'!$B$3:$B$42)</f>
        <v>0</v>
      </c>
      <c r="AB279" s="172" t="e">
        <f>LOOKUP(AB$2,'Depreciation Schedules'!$A$3:$A$42,'Depreciation Schedules'!$B$3:$B$42)</f>
        <v>#N/A</v>
      </c>
      <c r="AC279" s="172" t="e">
        <f>LOOKUP(AC$2,'Depreciation Schedules'!$A$3:$A$42,'Depreciation Schedules'!$B$3:$B$42)</f>
        <v>#N/A</v>
      </c>
      <c r="AD279" s="172" t="e">
        <f>LOOKUP(AD$2,'Depreciation Schedules'!$A$3:$A$42,'Depreciation Schedules'!$B$3:$B$42)</f>
        <v>#N/A</v>
      </c>
      <c r="AE279" s="172" t="e">
        <f>LOOKUP(AE$2,'Depreciation Schedules'!$A$3:$A$42,'Depreciation Schedules'!$B$3:$B$42)</f>
        <v>#N/A</v>
      </c>
      <c r="AF279" s="172" t="e">
        <f>LOOKUP(AF$2,'Depreciation Schedules'!$A$3:$A$42,'Depreciation Schedules'!$B$3:$B$42)</f>
        <v>#N/A</v>
      </c>
      <c r="AG279" s="172" t="e">
        <f>LOOKUP(AG$2,'Depreciation Schedules'!$A$3:$A$42,'Depreciation Schedules'!$B$3:$B$42)</f>
        <v>#N/A</v>
      </c>
      <c r="AH279" s="172" t="e">
        <f>LOOKUP(AH$2,'Depreciation Schedules'!$A$3:$A$42,'Depreciation Schedules'!$B$3:$B$42)</f>
        <v>#N/A</v>
      </c>
      <c r="AI279" s="172" t="e">
        <f>LOOKUP(AI$2,'Depreciation Schedules'!$A$3:$A$42,'Depreciation Schedules'!$B$3:$B$42)</f>
        <v>#N/A</v>
      </c>
      <c r="AJ279" s="172" t="e">
        <f>LOOKUP(AJ$2,'Depreciation Schedules'!$A$3:$A$42,'Depreciation Schedules'!$B$3:$B$42)</f>
        <v>#N/A</v>
      </c>
      <c r="AK279" s="172" t="e">
        <f>LOOKUP(AK$2,'Depreciation Schedules'!$A$3:$A$42,'Depreciation Schedules'!$B$3:$B$42)</f>
        <v>#N/A</v>
      </c>
      <c r="AL279" s="172" t="e">
        <f>LOOKUP(AL$2,'Depreciation Schedules'!$A$3:$A$42,'Depreciation Schedules'!$B$3:$B$42)</f>
        <v>#N/A</v>
      </c>
      <c r="AM279" s="172" t="e">
        <f>LOOKUP(AM$2,'Depreciation Schedules'!$A$3:$A$42,'Depreciation Schedules'!$B$3:$B$42)</f>
        <v>#N/A</v>
      </c>
      <c r="AN279" s="172" t="e">
        <f>LOOKUP(AN$2,'Depreciation Schedules'!$A$3:$A$42,'Depreciation Schedules'!$B$3:$B$42)</f>
        <v>#N/A</v>
      </c>
      <c r="AO279" s="172" t="e">
        <f>LOOKUP(AO$2,'Depreciation Schedules'!$A$3:$A$42,'Depreciation Schedules'!$B$3:$B$42)</f>
        <v>#N/A</v>
      </c>
      <c r="AP279" s="172" t="e">
        <f>LOOKUP(AP$2,'Depreciation Schedules'!$A$3:$A$42,'Depreciation Schedules'!$B$3:$B$42)</f>
        <v>#N/A</v>
      </c>
    </row>
    <row r="280" spans="1:42" x14ac:dyDescent="0.2">
      <c r="A280" s="23" t="str">
        <f t="shared" si="105"/>
        <v>15-yr MACRS</v>
      </c>
      <c r="B280" s="171" cm="1">
        <f t="array" ref="B280">SUM(IF(ISNUMBER(C280:AP280),C280:AP280))</f>
        <v>99.990000000000009</v>
      </c>
      <c r="C280" s="172">
        <f>LOOKUP(C$2,'Depreciation Schedules'!$A$3:$A$42,'Depreciation Schedules'!$C$3:$C$42)</f>
        <v>5</v>
      </c>
      <c r="D280" s="172">
        <f>LOOKUP(D$2,'Depreciation Schedules'!$A$3:$A$42,'Depreciation Schedules'!$C$3:$C$42)</f>
        <v>9.5</v>
      </c>
      <c r="E280" s="172">
        <f>LOOKUP(E$2,'Depreciation Schedules'!$A$3:$A$42,'Depreciation Schedules'!$C$3:$C$42)</f>
        <v>8.5500000000000007</v>
      </c>
      <c r="F280" s="172">
        <f>LOOKUP(F$2,'Depreciation Schedules'!$A$3:$A$42,'Depreciation Schedules'!$C$3:$C$42)</f>
        <v>7.7</v>
      </c>
      <c r="G280" s="172">
        <f>LOOKUP(G$2,'Depreciation Schedules'!$A$3:$A$42,'Depreciation Schedules'!$C$3:$C$42)</f>
        <v>6.93</v>
      </c>
      <c r="H280" s="172">
        <f>LOOKUP(H$2,'Depreciation Schedules'!$A$3:$A$42,'Depreciation Schedules'!$C$3:$C$42)</f>
        <v>6.23</v>
      </c>
      <c r="I280" s="172">
        <f>LOOKUP(I$2,'Depreciation Schedules'!$A$3:$A$42,'Depreciation Schedules'!$C$3:$C$42)</f>
        <v>5.9</v>
      </c>
      <c r="J280" s="172">
        <f>LOOKUP(J$2,'Depreciation Schedules'!$A$3:$A$42,'Depreciation Schedules'!$C$3:$C$42)</f>
        <v>5.9</v>
      </c>
      <c r="K280" s="172">
        <f>LOOKUP(K$2,'Depreciation Schedules'!$A$3:$A$42,'Depreciation Schedules'!$C$3:$C$42)</f>
        <v>5.91</v>
      </c>
      <c r="L280" s="172">
        <f>LOOKUP(L$2,'Depreciation Schedules'!$A$3:$A$42,'Depreciation Schedules'!$C$3:$C$42)</f>
        <v>5.9</v>
      </c>
      <c r="M280" s="172">
        <f>LOOKUP(M$2,'Depreciation Schedules'!$A$3:$A$42,'Depreciation Schedules'!$C$3:$C$42)</f>
        <v>5.91</v>
      </c>
      <c r="N280" s="172">
        <f>LOOKUP(N$2,'Depreciation Schedules'!$A$3:$A$42,'Depreciation Schedules'!$C$3:$C$42)</f>
        <v>5.9</v>
      </c>
      <c r="O280" s="172">
        <f>LOOKUP(O$2,'Depreciation Schedules'!$A$3:$A$42,'Depreciation Schedules'!$C$3:$C$42)</f>
        <v>5.91</v>
      </c>
      <c r="P280" s="172">
        <f>LOOKUP(P$2,'Depreciation Schedules'!$A$3:$A$42,'Depreciation Schedules'!$C$3:$C$42)</f>
        <v>5.9</v>
      </c>
      <c r="Q280" s="172">
        <f>LOOKUP(Q$2,'Depreciation Schedules'!$A$3:$A$42,'Depreciation Schedules'!$C$3:$C$42)</f>
        <v>5.9</v>
      </c>
      <c r="R280" s="172">
        <f>LOOKUP(R$2,'Depreciation Schedules'!$A$3:$A$42,'Depreciation Schedules'!$C$3:$C$42)</f>
        <v>2.95</v>
      </c>
      <c r="S280" s="172">
        <f>LOOKUP(S$2,'Depreciation Schedules'!$A$3:$A$42,'Depreciation Schedules'!$C$3:$C$42)</f>
        <v>0</v>
      </c>
      <c r="T280" s="172">
        <f>LOOKUP(T$2,'Depreciation Schedules'!$A$3:$A$42,'Depreciation Schedules'!$C$3:$C$42)</f>
        <v>0</v>
      </c>
      <c r="U280" s="172">
        <f>LOOKUP(U$2,'Depreciation Schedules'!$A$3:$A$42,'Depreciation Schedules'!$C$3:$C$42)</f>
        <v>0</v>
      </c>
      <c r="V280" s="172">
        <f>LOOKUP(V$2,'Depreciation Schedules'!$A$3:$A$42,'Depreciation Schedules'!$C$3:$C$42)</f>
        <v>0</v>
      </c>
      <c r="W280" s="172">
        <f>LOOKUP(W$2,'Depreciation Schedules'!$A$3:$A$42,'Depreciation Schedules'!$C$3:$C$42)</f>
        <v>0</v>
      </c>
      <c r="X280" s="172">
        <f>LOOKUP(X$2,'Depreciation Schedules'!$A$3:$A$42,'Depreciation Schedules'!$C$3:$C$42)</f>
        <v>0</v>
      </c>
      <c r="Y280" s="172">
        <f>LOOKUP(Y$2,'Depreciation Schedules'!$A$3:$A$42,'Depreciation Schedules'!$C$3:$C$42)</f>
        <v>0</v>
      </c>
      <c r="Z280" s="172">
        <f>LOOKUP(Z$2,'Depreciation Schedules'!$A$3:$A$42,'Depreciation Schedules'!$C$3:$C$42)</f>
        <v>0</v>
      </c>
      <c r="AA280" s="172">
        <f>LOOKUP(AA$2,'Depreciation Schedules'!$A$3:$A$42,'Depreciation Schedules'!$C$3:$C$42)</f>
        <v>0</v>
      </c>
      <c r="AB280" s="172" t="e">
        <f>LOOKUP(AB$2,'Depreciation Schedules'!$A$3:$A$42,'Depreciation Schedules'!$C$3:$C$42)</f>
        <v>#N/A</v>
      </c>
      <c r="AC280" s="172" t="e">
        <f>LOOKUP(AC$2,'Depreciation Schedules'!$A$3:$A$42,'Depreciation Schedules'!$C$3:$C$42)</f>
        <v>#N/A</v>
      </c>
      <c r="AD280" s="172" t="e">
        <f>LOOKUP(AD$2,'Depreciation Schedules'!$A$3:$A$42,'Depreciation Schedules'!$C$3:$C$42)</f>
        <v>#N/A</v>
      </c>
      <c r="AE280" s="172" t="e">
        <f>LOOKUP(AE$2,'Depreciation Schedules'!$A$3:$A$42,'Depreciation Schedules'!$C$3:$C$42)</f>
        <v>#N/A</v>
      </c>
      <c r="AF280" s="172" t="e">
        <f>LOOKUP(AF$2,'Depreciation Schedules'!$A$3:$A$42,'Depreciation Schedules'!$C$3:$C$42)</f>
        <v>#N/A</v>
      </c>
      <c r="AG280" s="172" t="e">
        <f>LOOKUP(AG$2,'Depreciation Schedules'!$A$3:$A$42,'Depreciation Schedules'!$C$3:$C$42)</f>
        <v>#N/A</v>
      </c>
      <c r="AH280" s="172" t="e">
        <f>LOOKUP(AH$2,'Depreciation Schedules'!$A$3:$A$42,'Depreciation Schedules'!$C$3:$C$42)</f>
        <v>#N/A</v>
      </c>
      <c r="AI280" s="172" t="e">
        <f>LOOKUP(AI$2,'Depreciation Schedules'!$A$3:$A$42,'Depreciation Schedules'!$C$3:$C$42)</f>
        <v>#N/A</v>
      </c>
      <c r="AJ280" s="172" t="e">
        <f>LOOKUP(AJ$2,'Depreciation Schedules'!$A$3:$A$42,'Depreciation Schedules'!$C$3:$C$42)</f>
        <v>#N/A</v>
      </c>
      <c r="AK280" s="172" t="e">
        <f>LOOKUP(AK$2,'Depreciation Schedules'!$A$3:$A$42,'Depreciation Schedules'!$C$3:$C$42)</f>
        <v>#N/A</v>
      </c>
      <c r="AL280" s="172" t="e">
        <f>LOOKUP(AL$2,'Depreciation Schedules'!$A$3:$A$42,'Depreciation Schedules'!$C$3:$C$42)</f>
        <v>#N/A</v>
      </c>
      <c r="AM280" s="172" t="e">
        <f>LOOKUP(AM$2,'Depreciation Schedules'!$A$3:$A$42,'Depreciation Schedules'!$C$3:$C$42)</f>
        <v>#N/A</v>
      </c>
      <c r="AN280" s="172" t="e">
        <f>LOOKUP(AN$2,'Depreciation Schedules'!$A$3:$A$42,'Depreciation Schedules'!$C$3:$C$42)</f>
        <v>#N/A</v>
      </c>
      <c r="AO280" s="172" t="e">
        <f>LOOKUP(AO$2,'Depreciation Schedules'!$A$3:$A$42,'Depreciation Schedules'!$C$3:$C$42)</f>
        <v>#N/A</v>
      </c>
      <c r="AP280" s="172" t="e">
        <f>LOOKUP(AP$2,'Depreciation Schedules'!$A$3:$A$42,'Depreciation Schedules'!$C$3:$C$42)</f>
        <v>#N/A</v>
      </c>
    </row>
    <row r="281" spans="1:42" x14ac:dyDescent="0.2">
      <c r="A281" s="23" t="str">
        <f t="shared" si="105"/>
        <v>5-yr SL</v>
      </c>
      <c r="B281" s="171" cm="1">
        <f t="array" ref="B281">SUM(IF(ISNUMBER(C281:AP281),C281:AP281))</f>
        <v>100</v>
      </c>
      <c r="C281" s="172">
        <f>LOOKUP(C$2,'Depreciation Schedules'!$A$3:$A$42,'Depreciation Schedules'!$D$3:$D$42)</f>
        <v>10</v>
      </c>
      <c r="D281" s="172">
        <f>LOOKUP(D$2,'Depreciation Schedules'!$A$3:$A$42,'Depreciation Schedules'!$D$3:$D$42)</f>
        <v>20</v>
      </c>
      <c r="E281" s="172">
        <f>LOOKUP(E$2,'Depreciation Schedules'!$A$3:$A$42,'Depreciation Schedules'!$D$3:$D$42)</f>
        <v>20</v>
      </c>
      <c r="F281" s="172">
        <f>LOOKUP(F$2,'Depreciation Schedules'!$A$3:$A$42,'Depreciation Schedules'!$D$3:$D$42)</f>
        <v>20</v>
      </c>
      <c r="G281" s="172">
        <f>LOOKUP(G$2,'Depreciation Schedules'!$A$3:$A$42,'Depreciation Schedules'!$D$3:$D$42)</f>
        <v>20</v>
      </c>
      <c r="H281" s="172">
        <f>LOOKUP(H$2,'Depreciation Schedules'!$A$3:$A$42,'Depreciation Schedules'!$D$3:$D$42)</f>
        <v>10</v>
      </c>
      <c r="I281" s="172">
        <f>LOOKUP(I$2,'Depreciation Schedules'!$A$3:$A$42,'Depreciation Schedules'!$D$3:$D$42)</f>
        <v>0</v>
      </c>
      <c r="J281" s="172">
        <f>LOOKUP(J$2,'Depreciation Schedules'!$A$3:$A$42,'Depreciation Schedules'!$D$3:$D$42)</f>
        <v>0</v>
      </c>
      <c r="K281" s="172">
        <f>LOOKUP(K$2,'Depreciation Schedules'!$A$3:$A$42,'Depreciation Schedules'!$D$3:$D$42)</f>
        <v>0</v>
      </c>
      <c r="L281" s="172">
        <f>LOOKUP(L$2,'Depreciation Schedules'!$A$3:$A$42,'Depreciation Schedules'!$D$3:$D$42)</f>
        <v>0</v>
      </c>
      <c r="M281" s="172">
        <f>LOOKUP(M$2,'Depreciation Schedules'!$A$3:$A$42,'Depreciation Schedules'!$D$3:$D$42)</f>
        <v>0</v>
      </c>
      <c r="N281" s="172">
        <f>LOOKUP(N$2,'Depreciation Schedules'!$A$3:$A$42,'Depreciation Schedules'!$D$3:$D$42)</f>
        <v>0</v>
      </c>
      <c r="O281" s="172">
        <f>LOOKUP(O$2,'Depreciation Schedules'!$A$3:$A$42,'Depreciation Schedules'!$D$3:$D$42)</f>
        <v>0</v>
      </c>
      <c r="P281" s="172">
        <f>LOOKUP(P$2,'Depreciation Schedules'!$A$3:$A$42,'Depreciation Schedules'!$D$3:$D$42)</f>
        <v>0</v>
      </c>
      <c r="Q281" s="172">
        <f>LOOKUP(Q$2,'Depreciation Schedules'!$A$3:$A$42,'Depreciation Schedules'!$D$3:$D$42)</f>
        <v>0</v>
      </c>
      <c r="R281" s="172">
        <f>LOOKUP(R$2,'Depreciation Schedules'!$A$3:$A$42,'Depreciation Schedules'!$D$3:$D$42)</f>
        <v>0</v>
      </c>
      <c r="S281" s="172">
        <f>LOOKUP(S$2,'Depreciation Schedules'!$A$3:$A$42,'Depreciation Schedules'!$D$3:$D$42)</f>
        <v>0</v>
      </c>
      <c r="T281" s="172">
        <f>LOOKUP(T$2,'Depreciation Schedules'!$A$3:$A$42,'Depreciation Schedules'!$D$3:$D$42)</f>
        <v>0</v>
      </c>
      <c r="U281" s="172">
        <f>LOOKUP(U$2,'Depreciation Schedules'!$A$3:$A$42,'Depreciation Schedules'!$D$3:$D$42)</f>
        <v>0</v>
      </c>
      <c r="V281" s="172">
        <f>LOOKUP(V$2,'Depreciation Schedules'!$A$3:$A$42,'Depreciation Schedules'!$D$3:$D$42)</f>
        <v>0</v>
      </c>
      <c r="W281" s="172">
        <f>LOOKUP(W$2,'Depreciation Schedules'!$A$3:$A$42,'Depreciation Schedules'!$D$3:$D$42)</f>
        <v>0</v>
      </c>
      <c r="X281" s="172">
        <f>LOOKUP(X$2,'Depreciation Schedules'!$A$3:$A$42,'Depreciation Schedules'!$D$3:$D$42)</f>
        <v>0</v>
      </c>
      <c r="Y281" s="172">
        <f>LOOKUP(Y$2,'Depreciation Schedules'!$A$3:$A$42,'Depreciation Schedules'!$D$3:$D$42)</f>
        <v>0</v>
      </c>
      <c r="Z281" s="172">
        <f>LOOKUP(Z$2,'Depreciation Schedules'!$A$3:$A$42,'Depreciation Schedules'!$D$3:$D$42)</f>
        <v>0</v>
      </c>
      <c r="AA281" s="172">
        <f>LOOKUP(AA$2,'Depreciation Schedules'!$A$3:$A$42,'Depreciation Schedules'!$D$3:$D$42)</f>
        <v>0</v>
      </c>
      <c r="AB281" s="172" t="e">
        <f>LOOKUP(AB$2,'Depreciation Schedules'!$A$3:$A$42,'Depreciation Schedules'!$D$3:$D$42)</f>
        <v>#N/A</v>
      </c>
      <c r="AC281" s="172" t="e">
        <f>LOOKUP(AC$2,'Depreciation Schedules'!$A$3:$A$42,'Depreciation Schedules'!$D$3:$D$42)</f>
        <v>#N/A</v>
      </c>
      <c r="AD281" s="172" t="e">
        <f>LOOKUP(AD$2,'Depreciation Schedules'!$A$3:$A$42,'Depreciation Schedules'!$D$3:$D$42)</f>
        <v>#N/A</v>
      </c>
      <c r="AE281" s="172" t="e">
        <f>LOOKUP(AE$2,'Depreciation Schedules'!$A$3:$A$42,'Depreciation Schedules'!$D$3:$D$42)</f>
        <v>#N/A</v>
      </c>
      <c r="AF281" s="172" t="e">
        <f>LOOKUP(AF$2,'Depreciation Schedules'!$A$3:$A$42,'Depreciation Schedules'!$D$3:$D$42)</f>
        <v>#N/A</v>
      </c>
      <c r="AG281" s="172" t="e">
        <f>LOOKUP(AG$2,'Depreciation Schedules'!$A$3:$A$42,'Depreciation Schedules'!$D$3:$D$42)</f>
        <v>#N/A</v>
      </c>
      <c r="AH281" s="172" t="e">
        <f>LOOKUP(AH$2,'Depreciation Schedules'!$A$3:$A$42,'Depreciation Schedules'!$D$3:$D$42)</f>
        <v>#N/A</v>
      </c>
      <c r="AI281" s="172" t="e">
        <f>LOOKUP(AI$2,'Depreciation Schedules'!$A$3:$A$42,'Depreciation Schedules'!$D$3:$D$42)</f>
        <v>#N/A</v>
      </c>
      <c r="AJ281" s="172" t="e">
        <f>LOOKUP(AJ$2,'Depreciation Schedules'!$A$3:$A$42,'Depreciation Schedules'!$D$3:$D$42)</f>
        <v>#N/A</v>
      </c>
      <c r="AK281" s="172" t="e">
        <f>LOOKUP(AK$2,'Depreciation Schedules'!$A$3:$A$42,'Depreciation Schedules'!$D$3:$D$42)</f>
        <v>#N/A</v>
      </c>
      <c r="AL281" s="172" t="e">
        <f>LOOKUP(AL$2,'Depreciation Schedules'!$A$3:$A$42,'Depreciation Schedules'!$D$3:$D$42)</f>
        <v>#N/A</v>
      </c>
      <c r="AM281" s="172" t="e">
        <f>LOOKUP(AM$2,'Depreciation Schedules'!$A$3:$A$42,'Depreciation Schedules'!$D$3:$D$42)</f>
        <v>#N/A</v>
      </c>
      <c r="AN281" s="172" t="e">
        <f>LOOKUP(AN$2,'Depreciation Schedules'!$A$3:$A$42,'Depreciation Schedules'!$D$3:$D$42)</f>
        <v>#N/A</v>
      </c>
      <c r="AO281" s="172" t="e">
        <f>LOOKUP(AO$2,'Depreciation Schedules'!$A$3:$A$42,'Depreciation Schedules'!$D$3:$D$42)</f>
        <v>#N/A</v>
      </c>
      <c r="AP281" s="172" t="e">
        <f>LOOKUP(AP$2,'Depreciation Schedules'!$A$3:$A$42,'Depreciation Schedules'!$D$3:$D$42)</f>
        <v>#N/A</v>
      </c>
    </row>
    <row r="282" spans="1:42" x14ac:dyDescent="0.2">
      <c r="A282" s="23" t="str">
        <f t="shared" si="105"/>
        <v>15-yr SL</v>
      </c>
      <c r="B282" s="171" cm="1">
        <f t="array" ref="B282">SUM(IF(ISNUMBER(C282:AP282),C282:AP282))</f>
        <v>100.02000000000001</v>
      </c>
      <c r="C282" s="172">
        <f>LOOKUP(C$2,'Depreciation Schedules'!$A$3:$A$42,'Depreciation Schedules'!$E$3:$E$42)</f>
        <v>3.33</v>
      </c>
      <c r="D282" s="172">
        <f>LOOKUP(D$2,'Depreciation Schedules'!$A$3:$A$42,'Depreciation Schedules'!$E$3:$E$42)</f>
        <v>6.67</v>
      </c>
      <c r="E282" s="172">
        <f>LOOKUP(E$2,'Depreciation Schedules'!$A$3:$A$42,'Depreciation Schedules'!$E$3:$E$42)</f>
        <v>6.67</v>
      </c>
      <c r="F282" s="172">
        <f>LOOKUP(F$2,'Depreciation Schedules'!$A$3:$A$42,'Depreciation Schedules'!$E$3:$E$42)</f>
        <v>6.67</v>
      </c>
      <c r="G282" s="172">
        <f>LOOKUP(G$2,'Depreciation Schedules'!$A$3:$A$42,'Depreciation Schedules'!$E$3:$E$42)</f>
        <v>6.67</v>
      </c>
      <c r="H282" s="172">
        <f>LOOKUP(H$2,'Depreciation Schedules'!$A$3:$A$42,'Depreciation Schedules'!$E$3:$E$42)</f>
        <v>6.67</v>
      </c>
      <c r="I282" s="172">
        <f>LOOKUP(I$2,'Depreciation Schedules'!$A$3:$A$42,'Depreciation Schedules'!$E$3:$E$42)</f>
        <v>6.67</v>
      </c>
      <c r="J282" s="172">
        <f>LOOKUP(J$2,'Depreciation Schedules'!$A$3:$A$42,'Depreciation Schedules'!$E$3:$E$42)</f>
        <v>6.67</v>
      </c>
      <c r="K282" s="172">
        <f>LOOKUP(K$2,'Depreciation Schedules'!$A$3:$A$42,'Depreciation Schedules'!$E$3:$E$42)</f>
        <v>6.67</v>
      </c>
      <c r="L282" s="172">
        <f>LOOKUP(L$2,'Depreciation Schedules'!$A$3:$A$42,'Depreciation Schedules'!$E$3:$E$42)</f>
        <v>6.67</v>
      </c>
      <c r="M282" s="172">
        <f>LOOKUP(M$2,'Depreciation Schedules'!$A$3:$A$42,'Depreciation Schedules'!$E$3:$E$42)</f>
        <v>6.67</v>
      </c>
      <c r="N282" s="172">
        <f>LOOKUP(N$2,'Depreciation Schedules'!$A$3:$A$42,'Depreciation Schedules'!$E$3:$E$42)</f>
        <v>6.66</v>
      </c>
      <c r="O282" s="172">
        <f>LOOKUP(O$2,'Depreciation Schedules'!$A$3:$A$42,'Depreciation Schedules'!$E$3:$E$42)</f>
        <v>6.67</v>
      </c>
      <c r="P282" s="172">
        <f>LOOKUP(P$2,'Depreciation Schedules'!$A$3:$A$42,'Depreciation Schedules'!$E$3:$E$42)</f>
        <v>6.66</v>
      </c>
      <c r="Q282" s="172">
        <f>LOOKUP(Q$2,'Depreciation Schedules'!$A$3:$A$42,'Depreciation Schedules'!$E$3:$E$42)</f>
        <v>6.67</v>
      </c>
      <c r="R282" s="172">
        <f>LOOKUP(R$2,'Depreciation Schedules'!$A$3:$A$42,'Depreciation Schedules'!$E$3:$E$42)</f>
        <v>3.33</v>
      </c>
      <c r="S282" s="172">
        <f>LOOKUP(S$2,'Depreciation Schedules'!$A$3:$A$42,'Depreciation Schedules'!$E$3:$E$42)</f>
        <v>0</v>
      </c>
      <c r="T282" s="172">
        <f>LOOKUP(T$2,'Depreciation Schedules'!$A$3:$A$42,'Depreciation Schedules'!$E$3:$E$42)</f>
        <v>0</v>
      </c>
      <c r="U282" s="172">
        <f>LOOKUP(U$2,'Depreciation Schedules'!$A$3:$A$42,'Depreciation Schedules'!$E$3:$E$42)</f>
        <v>0</v>
      </c>
      <c r="V282" s="172">
        <f>LOOKUP(V$2,'Depreciation Schedules'!$A$3:$A$42,'Depreciation Schedules'!$E$3:$E$42)</f>
        <v>0</v>
      </c>
      <c r="W282" s="172">
        <f>LOOKUP(W$2,'Depreciation Schedules'!$A$3:$A$42,'Depreciation Schedules'!$E$3:$E$42)</f>
        <v>0</v>
      </c>
      <c r="X282" s="172">
        <f>LOOKUP(X$2,'Depreciation Schedules'!$A$3:$A$42,'Depreciation Schedules'!$E$3:$E$42)</f>
        <v>0</v>
      </c>
      <c r="Y282" s="172">
        <f>LOOKUP(Y$2,'Depreciation Schedules'!$A$3:$A$42,'Depreciation Schedules'!$E$3:$E$42)</f>
        <v>0</v>
      </c>
      <c r="Z282" s="172">
        <f>LOOKUP(Z$2,'Depreciation Schedules'!$A$3:$A$42,'Depreciation Schedules'!$E$3:$E$42)</f>
        <v>0</v>
      </c>
      <c r="AA282" s="172">
        <f>LOOKUP(AA$2,'Depreciation Schedules'!$A$3:$A$42,'Depreciation Schedules'!$E$3:$E$42)</f>
        <v>0</v>
      </c>
      <c r="AB282" s="172" t="e">
        <f>LOOKUP(AB$2,'Depreciation Schedules'!$A$3:$A$42,'Depreciation Schedules'!$E$3:$E$42)</f>
        <v>#N/A</v>
      </c>
      <c r="AC282" s="172" t="e">
        <f>LOOKUP(AC$2,'Depreciation Schedules'!$A$3:$A$42,'Depreciation Schedules'!$E$3:$E$42)</f>
        <v>#N/A</v>
      </c>
      <c r="AD282" s="172" t="e">
        <f>LOOKUP(AD$2,'Depreciation Schedules'!$A$3:$A$42,'Depreciation Schedules'!$E$3:$E$42)</f>
        <v>#N/A</v>
      </c>
      <c r="AE282" s="172" t="e">
        <f>LOOKUP(AE$2,'Depreciation Schedules'!$A$3:$A$42,'Depreciation Schedules'!$E$3:$E$42)</f>
        <v>#N/A</v>
      </c>
      <c r="AF282" s="172" t="e">
        <f>LOOKUP(AF$2,'Depreciation Schedules'!$A$3:$A$42,'Depreciation Schedules'!$E$3:$E$42)</f>
        <v>#N/A</v>
      </c>
      <c r="AG282" s="172" t="e">
        <f>LOOKUP(AG$2,'Depreciation Schedules'!$A$3:$A$42,'Depreciation Schedules'!$E$3:$E$42)</f>
        <v>#N/A</v>
      </c>
      <c r="AH282" s="172" t="e">
        <f>LOOKUP(AH$2,'Depreciation Schedules'!$A$3:$A$42,'Depreciation Schedules'!$E$3:$E$42)</f>
        <v>#N/A</v>
      </c>
      <c r="AI282" s="172" t="e">
        <f>LOOKUP(AI$2,'Depreciation Schedules'!$A$3:$A$42,'Depreciation Schedules'!$E$3:$E$42)</f>
        <v>#N/A</v>
      </c>
      <c r="AJ282" s="172" t="e">
        <f>LOOKUP(AJ$2,'Depreciation Schedules'!$A$3:$A$42,'Depreciation Schedules'!$E$3:$E$42)</f>
        <v>#N/A</v>
      </c>
      <c r="AK282" s="172" t="e">
        <f>LOOKUP(AK$2,'Depreciation Schedules'!$A$3:$A$42,'Depreciation Schedules'!$E$3:$E$42)</f>
        <v>#N/A</v>
      </c>
      <c r="AL282" s="172" t="e">
        <f>LOOKUP(AL$2,'Depreciation Schedules'!$A$3:$A$42,'Depreciation Schedules'!$E$3:$E$42)</f>
        <v>#N/A</v>
      </c>
      <c r="AM282" s="172" t="e">
        <f>LOOKUP(AM$2,'Depreciation Schedules'!$A$3:$A$42,'Depreciation Schedules'!$E$3:$E$42)</f>
        <v>#N/A</v>
      </c>
      <c r="AN282" s="172" t="e">
        <f>LOOKUP(AN$2,'Depreciation Schedules'!$A$3:$A$42,'Depreciation Schedules'!$E$3:$E$42)</f>
        <v>#N/A</v>
      </c>
      <c r="AO282" s="172" t="e">
        <f>LOOKUP(AO$2,'Depreciation Schedules'!$A$3:$A$42,'Depreciation Schedules'!$E$3:$E$42)</f>
        <v>#N/A</v>
      </c>
      <c r="AP282" s="172" t="e">
        <f>LOOKUP(AP$2,'Depreciation Schedules'!$A$3:$A$42,'Depreciation Schedules'!$E$3:$E$42)</f>
        <v>#N/A</v>
      </c>
    </row>
    <row r="283" spans="1:42" x14ac:dyDescent="0.2">
      <c r="A283" s="23" t="str">
        <f t="shared" si="105"/>
        <v>20-yr SL</v>
      </c>
      <c r="B283" s="171" cm="1">
        <f t="array" ref="B283">SUM(IF(ISNUMBER(C283:AP283),C283:AP283))</f>
        <v>100</v>
      </c>
      <c r="C283" s="172">
        <f>LOOKUP(C$2,'Depreciation Schedules'!$A$3:$A$42,'Depreciation Schedules'!$F$3:$F$42)</f>
        <v>2.5</v>
      </c>
      <c r="D283" s="172">
        <f>LOOKUP(D$2,'Depreciation Schedules'!$A$3:$A$42,'Depreciation Schedules'!$F$3:$F$42)</f>
        <v>5</v>
      </c>
      <c r="E283" s="172">
        <f>LOOKUP(E$2,'Depreciation Schedules'!$A$3:$A$42,'Depreciation Schedules'!$F$3:$F$42)</f>
        <v>5</v>
      </c>
      <c r="F283" s="172">
        <f>LOOKUP(F$2,'Depreciation Schedules'!$A$3:$A$42,'Depreciation Schedules'!$F$3:$F$42)</f>
        <v>5</v>
      </c>
      <c r="G283" s="172">
        <f>LOOKUP(G$2,'Depreciation Schedules'!$A$3:$A$42,'Depreciation Schedules'!$F$3:$F$42)</f>
        <v>5</v>
      </c>
      <c r="H283" s="172">
        <f>LOOKUP(H$2,'Depreciation Schedules'!$A$3:$A$42,'Depreciation Schedules'!$F$3:$F$42)</f>
        <v>5</v>
      </c>
      <c r="I283" s="172">
        <f>LOOKUP(I$2,'Depreciation Schedules'!$A$3:$A$42,'Depreciation Schedules'!$F$3:$F$42)</f>
        <v>5</v>
      </c>
      <c r="J283" s="172">
        <f>LOOKUP(J$2,'Depreciation Schedules'!$A$3:$A$42,'Depreciation Schedules'!$F$3:$F$42)</f>
        <v>5</v>
      </c>
      <c r="K283" s="172">
        <f>LOOKUP(K$2,'Depreciation Schedules'!$A$3:$A$42,'Depreciation Schedules'!$F$3:$F$42)</f>
        <v>5</v>
      </c>
      <c r="L283" s="172">
        <f>LOOKUP(L$2,'Depreciation Schedules'!$A$3:$A$42,'Depreciation Schedules'!$F$3:$F$42)</f>
        <v>5</v>
      </c>
      <c r="M283" s="172">
        <f>LOOKUP(M$2,'Depreciation Schedules'!$A$3:$A$42,'Depreciation Schedules'!$F$3:$F$42)</f>
        <v>5</v>
      </c>
      <c r="N283" s="172">
        <f>LOOKUP(N$2,'Depreciation Schedules'!$A$3:$A$42,'Depreciation Schedules'!$F$3:$F$42)</f>
        <v>5</v>
      </c>
      <c r="O283" s="172">
        <f>LOOKUP(O$2,'Depreciation Schedules'!$A$3:$A$42,'Depreciation Schedules'!$F$3:$F$42)</f>
        <v>5</v>
      </c>
      <c r="P283" s="172">
        <f>LOOKUP(P$2,'Depreciation Schedules'!$A$3:$A$42,'Depreciation Schedules'!$F$3:$F$42)</f>
        <v>5</v>
      </c>
      <c r="Q283" s="172">
        <f>LOOKUP(Q$2,'Depreciation Schedules'!$A$3:$A$42,'Depreciation Schedules'!$F$3:$F$42)</f>
        <v>5</v>
      </c>
      <c r="R283" s="172">
        <f>LOOKUP(R$2,'Depreciation Schedules'!$A$3:$A$42,'Depreciation Schedules'!$F$3:$F$42)</f>
        <v>5</v>
      </c>
      <c r="S283" s="172">
        <f>LOOKUP(S$2,'Depreciation Schedules'!$A$3:$A$42,'Depreciation Schedules'!$F$3:$F$42)</f>
        <v>5</v>
      </c>
      <c r="T283" s="172">
        <f>LOOKUP(T$2,'Depreciation Schedules'!$A$3:$A$42,'Depreciation Schedules'!$F$3:$F$42)</f>
        <v>5</v>
      </c>
      <c r="U283" s="172">
        <f>LOOKUP(U$2,'Depreciation Schedules'!$A$3:$A$42,'Depreciation Schedules'!$F$3:$F$42)</f>
        <v>5</v>
      </c>
      <c r="V283" s="172">
        <f>LOOKUP(V$2,'Depreciation Schedules'!$A$3:$A$42,'Depreciation Schedules'!$F$3:$F$42)</f>
        <v>5</v>
      </c>
      <c r="W283" s="172">
        <f>LOOKUP(W$2,'Depreciation Schedules'!$A$3:$A$42,'Depreciation Schedules'!$F$3:$F$42)</f>
        <v>2.5</v>
      </c>
      <c r="X283" s="172">
        <f>LOOKUP(X$2,'Depreciation Schedules'!$A$3:$A$42,'Depreciation Schedules'!$F$3:$F$42)</f>
        <v>0</v>
      </c>
      <c r="Y283" s="172">
        <f>LOOKUP(Y$2,'Depreciation Schedules'!$A$3:$A$42,'Depreciation Schedules'!$F$3:$F$42)</f>
        <v>0</v>
      </c>
      <c r="Z283" s="172">
        <f>LOOKUP(Z$2,'Depreciation Schedules'!$A$3:$A$42,'Depreciation Schedules'!$F$3:$F$42)</f>
        <v>0</v>
      </c>
      <c r="AA283" s="172">
        <f>LOOKUP(AA$2,'Depreciation Schedules'!$A$3:$A$42,'Depreciation Schedules'!$F$3:$F$42)</f>
        <v>0</v>
      </c>
      <c r="AB283" s="172" t="e">
        <f>LOOKUP(AB$2,'Depreciation Schedules'!$A$3:$A$42,'Depreciation Schedules'!$F$3:$F$42)</f>
        <v>#N/A</v>
      </c>
      <c r="AC283" s="172" t="e">
        <f>LOOKUP(AC$2,'Depreciation Schedules'!$A$3:$A$42,'Depreciation Schedules'!$F$3:$F$42)</f>
        <v>#N/A</v>
      </c>
      <c r="AD283" s="172" t="e">
        <f>LOOKUP(AD$2,'Depreciation Schedules'!$A$3:$A$42,'Depreciation Schedules'!$F$3:$F$42)</f>
        <v>#N/A</v>
      </c>
      <c r="AE283" s="172" t="e">
        <f>LOOKUP(AE$2,'Depreciation Schedules'!$A$3:$A$42,'Depreciation Schedules'!$F$3:$F$42)</f>
        <v>#N/A</v>
      </c>
      <c r="AF283" s="172" t="e">
        <f>LOOKUP(AF$2,'Depreciation Schedules'!$A$3:$A$42,'Depreciation Schedules'!$F$3:$F$42)</f>
        <v>#N/A</v>
      </c>
      <c r="AG283" s="172" t="e">
        <f>LOOKUP(AG$2,'Depreciation Schedules'!$A$3:$A$42,'Depreciation Schedules'!$F$3:$F$42)</f>
        <v>#N/A</v>
      </c>
      <c r="AH283" s="172" t="e">
        <f>LOOKUP(AH$2,'Depreciation Schedules'!$A$3:$A$42,'Depreciation Schedules'!$F$3:$F$42)</f>
        <v>#N/A</v>
      </c>
      <c r="AI283" s="172" t="e">
        <f>LOOKUP(AI$2,'Depreciation Schedules'!$A$3:$A$42,'Depreciation Schedules'!$F$3:$F$42)</f>
        <v>#N/A</v>
      </c>
      <c r="AJ283" s="172" t="e">
        <f>LOOKUP(AJ$2,'Depreciation Schedules'!$A$3:$A$42,'Depreciation Schedules'!$F$3:$F$42)</f>
        <v>#N/A</v>
      </c>
      <c r="AK283" s="172" t="e">
        <f>LOOKUP(AK$2,'Depreciation Schedules'!$A$3:$A$42,'Depreciation Schedules'!$F$3:$F$42)</f>
        <v>#N/A</v>
      </c>
      <c r="AL283" s="172" t="e">
        <f>LOOKUP(AL$2,'Depreciation Schedules'!$A$3:$A$42,'Depreciation Schedules'!$F$3:$F$42)</f>
        <v>#N/A</v>
      </c>
      <c r="AM283" s="172" t="e">
        <f>LOOKUP(AM$2,'Depreciation Schedules'!$A$3:$A$42,'Depreciation Schedules'!$F$3:$F$42)</f>
        <v>#N/A</v>
      </c>
      <c r="AN283" s="172" t="e">
        <f>LOOKUP(AN$2,'Depreciation Schedules'!$A$3:$A$42,'Depreciation Schedules'!$F$3:$F$42)</f>
        <v>#N/A</v>
      </c>
      <c r="AO283" s="172" t="e">
        <f>LOOKUP(AO$2,'Depreciation Schedules'!$A$3:$A$42,'Depreciation Schedules'!$F$3:$F$42)</f>
        <v>#N/A</v>
      </c>
      <c r="AP283" s="172" t="e">
        <f>LOOKUP(AP$2,'Depreciation Schedules'!$A$3:$A$42,'Depreciation Schedules'!$F$3:$F$42)</f>
        <v>#N/A</v>
      </c>
    </row>
    <row r="284" spans="1:42" x14ac:dyDescent="0.2">
      <c r="A284" s="23" t="str">
        <f t="shared" si="105"/>
        <v>39-yr SL</v>
      </c>
      <c r="B284" s="171" cm="1">
        <f t="array" ref="B284">SUM(IF(ISNUMBER(C284:AP284),C284:AP284))</f>
        <v>62.820512820512739</v>
      </c>
      <c r="C284" s="172">
        <f>LOOKUP(C$2,'Depreciation Schedules'!$A$3:$A$42,'Depreciation Schedules'!$G$3:$G$42)</f>
        <v>1.2820512820512799</v>
      </c>
      <c r="D284" s="172">
        <f>LOOKUP(D$2,'Depreciation Schedules'!$A$3:$A$42,'Depreciation Schedules'!$G$3:$G$42)</f>
        <v>2.5641025641025599</v>
      </c>
      <c r="E284" s="172">
        <f>LOOKUP(E$2,'Depreciation Schedules'!$A$3:$A$42,'Depreciation Schedules'!$G$3:$G$42)</f>
        <v>2.5641025641025599</v>
      </c>
      <c r="F284" s="172">
        <f>LOOKUP(F$2,'Depreciation Schedules'!$A$3:$A$42,'Depreciation Schedules'!$G$3:$G$42)</f>
        <v>2.5641025641025599</v>
      </c>
      <c r="G284" s="172">
        <f>LOOKUP(G$2,'Depreciation Schedules'!$A$3:$A$42,'Depreciation Schedules'!$G$3:$G$42)</f>
        <v>2.5641025641025599</v>
      </c>
      <c r="H284" s="172">
        <f>LOOKUP(H$2,'Depreciation Schedules'!$A$3:$A$42,'Depreciation Schedules'!$G$3:$G$42)</f>
        <v>2.5641025641025599</v>
      </c>
      <c r="I284" s="172">
        <f>LOOKUP(I$2,'Depreciation Schedules'!$A$3:$A$42,'Depreciation Schedules'!$G$3:$G$42)</f>
        <v>2.5641025641025599</v>
      </c>
      <c r="J284" s="172">
        <f>LOOKUP(J$2,'Depreciation Schedules'!$A$3:$A$42,'Depreciation Schedules'!$G$3:$G$42)</f>
        <v>2.5641025641025599</v>
      </c>
      <c r="K284" s="172">
        <f>LOOKUP(K$2,'Depreciation Schedules'!$A$3:$A$42,'Depreciation Schedules'!$G$3:$G$42)</f>
        <v>2.5641025641025599</v>
      </c>
      <c r="L284" s="172">
        <f>LOOKUP(L$2,'Depreciation Schedules'!$A$3:$A$42,'Depreciation Schedules'!$G$3:$G$42)</f>
        <v>2.5641025641025599</v>
      </c>
      <c r="M284" s="172">
        <f>LOOKUP(M$2,'Depreciation Schedules'!$A$3:$A$42,'Depreciation Schedules'!$G$3:$G$42)</f>
        <v>2.5641025641025599</v>
      </c>
      <c r="N284" s="172">
        <f>LOOKUP(N$2,'Depreciation Schedules'!$A$3:$A$42,'Depreciation Schedules'!$G$3:$G$42)</f>
        <v>2.5641025641025599</v>
      </c>
      <c r="O284" s="172">
        <f>LOOKUP(O$2,'Depreciation Schedules'!$A$3:$A$42,'Depreciation Schedules'!$G$3:$G$42)</f>
        <v>2.5641025641025599</v>
      </c>
      <c r="P284" s="172">
        <f>LOOKUP(P$2,'Depreciation Schedules'!$A$3:$A$42,'Depreciation Schedules'!$G$3:$G$42)</f>
        <v>2.5641025641025599</v>
      </c>
      <c r="Q284" s="172">
        <f>LOOKUP(Q$2,'Depreciation Schedules'!$A$3:$A$42,'Depreciation Schedules'!$G$3:$G$42)</f>
        <v>2.5641025641025599</v>
      </c>
      <c r="R284" s="172">
        <f>LOOKUP(R$2,'Depreciation Schedules'!$A$3:$A$42,'Depreciation Schedules'!$G$3:$G$42)</f>
        <v>2.5641025641025599</v>
      </c>
      <c r="S284" s="172">
        <f>LOOKUP(S$2,'Depreciation Schedules'!$A$3:$A$42,'Depreciation Schedules'!$G$3:$G$42)</f>
        <v>2.5641025641025599</v>
      </c>
      <c r="T284" s="172">
        <f>LOOKUP(T$2,'Depreciation Schedules'!$A$3:$A$42,'Depreciation Schedules'!$G$3:$G$42)</f>
        <v>2.5641025641025599</v>
      </c>
      <c r="U284" s="172">
        <f>LOOKUP(U$2,'Depreciation Schedules'!$A$3:$A$42,'Depreciation Schedules'!$G$3:$G$42)</f>
        <v>2.5641025641025599</v>
      </c>
      <c r="V284" s="172">
        <f>LOOKUP(V$2,'Depreciation Schedules'!$A$3:$A$42,'Depreciation Schedules'!$G$3:$G$42)</f>
        <v>2.5641025641025599</v>
      </c>
      <c r="W284" s="172">
        <f>LOOKUP(W$2,'Depreciation Schedules'!$A$3:$A$42,'Depreciation Schedules'!$G$3:$G$42)</f>
        <v>2.5641025641025599</v>
      </c>
      <c r="X284" s="172">
        <f>LOOKUP(X$2,'Depreciation Schedules'!$A$3:$A$42,'Depreciation Schedules'!$G$3:$G$42)</f>
        <v>2.5641025641025599</v>
      </c>
      <c r="Y284" s="172">
        <f>LOOKUP(Y$2,'Depreciation Schedules'!$A$3:$A$42,'Depreciation Schedules'!$G$3:$G$42)</f>
        <v>2.5641025641025599</v>
      </c>
      <c r="Z284" s="172">
        <f>LOOKUP(Z$2,'Depreciation Schedules'!$A$3:$A$42,'Depreciation Schedules'!$G$3:$G$42)</f>
        <v>2.5641025641025599</v>
      </c>
      <c r="AA284" s="172">
        <f>LOOKUP(AA$2,'Depreciation Schedules'!$A$3:$A$42,'Depreciation Schedules'!$G$3:$G$42)</f>
        <v>2.5641025641025599</v>
      </c>
      <c r="AB284" s="172" t="e">
        <f>LOOKUP(AB$2,'Depreciation Schedules'!$A$3:$A$42,'Depreciation Schedules'!$G$3:$G$42)</f>
        <v>#N/A</v>
      </c>
      <c r="AC284" s="172" t="e">
        <f>LOOKUP(AC$2,'Depreciation Schedules'!$A$3:$A$42,'Depreciation Schedules'!$G$3:$G$42)</f>
        <v>#N/A</v>
      </c>
      <c r="AD284" s="172" t="e">
        <f>LOOKUP(AD$2,'Depreciation Schedules'!$A$3:$A$42,'Depreciation Schedules'!$G$3:$G$42)</f>
        <v>#N/A</v>
      </c>
      <c r="AE284" s="172" t="e">
        <f>LOOKUP(AE$2,'Depreciation Schedules'!$A$3:$A$42,'Depreciation Schedules'!$G$3:$G$42)</f>
        <v>#N/A</v>
      </c>
      <c r="AF284" s="172" t="e">
        <f>LOOKUP(AF$2,'Depreciation Schedules'!$A$3:$A$42,'Depreciation Schedules'!$G$3:$G$42)</f>
        <v>#N/A</v>
      </c>
      <c r="AG284" s="172" t="e">
        <f>LOOKUP(AG$2,'Depreciation Schedules'!$A$3:$A$42,'Depreciation Schedules'!$G$3:$G$42)</f>
        <v>#N/A</v>
      </c>
      <c r="AH284" s="172" t="e">
        <f>LOOKUP(AH$2,'Depreciation Schedules'!$A$3:$A$42,'Depreciation Schedules'!$G$3:$G$42)</f>
        <v>#N/A</v>
      </c>
      <c r="AI284" s="172" t="e">
        <f>LOOKUP(AI$2,'Depreciation Schedules'!$A$3:$A$42,'Depreciation Schedules'!$G$3:$G$42)</f>
        <v>#N/A</v>
      </c>
      <c r="AJ284" s="172" t="e">
        <f>LOOKUP(AJ$2,'Depreciation Schedules'!$A$3:$A$42,'Depreciation Schedules'!$G$3:$G$42)</f>
        <v>#N/A</v>
      </c>
      <c r="AK284" s="172" t="e">
        <f>LOOKUP(AK$2,'Depreciation Schedules'!$A$3:$A$42,'Depreciation Schedules'!$G$3:$G$42)</f>
        <v>#N/A</v>
      </c>
      <c r="AL284" s="172" t="e">
        <f>LOOKUP(AL$2,'Depreciation Schedules'!$A$3:$A$42,'Depreciation Schedules'!$G$3:$G$42)</f>
        <v>#N/A</v>
      </c>
      <c r="AM284" s="172" t="e">
        <f>LOOKUP(AM$2,'Depreciation Schedules'!$A$3:$A$42,'Depreciation Schedules'!$G$3:$G$42)</f>
        <v>#N/A</v>
      </c>
      <c r="AN284" s="172" t="e">
        <f>LOOKUP(AN$2,'Depreciation Schedules'!$A$3:$A$42,'Depreciation Schedules'!$G$3:$G$42)</f>
        <v>#N/A</v>
      </c>
      <c r="AO284" s="172" t="e">
        <f>LOOKUP(AO$2,'Depreciation Schedules'!$A$3:$A$42,'Depreciation Schedules'!$G$3:$G$42)</f>
        <v>#N/A</v>
      </c>
      <c r="AP284" s="172" t="e">
        <f>LOOKUP(AP$2,'Depreciation Schedules'!$A$3:$A$42,'Depreciation Schedules'!$G$3:$G$42)</f>
        <v>#N/A</v>
      </c>
    </row>
    <row r="285" spans="1:42" x14ac:dyDescent="0.2">
      <c r="A285" s="23" t="s">
        <v>324</v>
      </c>
      <c r="B285" s="175" cm="1">
        <f t="array" ref="B285">SUM(IF(ISNUMBER(C285:AP285),C285:AP285))</f>
        <v>0</v>
      </c>
      <c r="C285" s="172">
        <f t="array" ref="C285:AP285">Inputs!D207:AQ207</f>
        <v>0</v>
      </c>
      <c r="D285" s="172">
        <v>0</v>
      </c>
      <c r="E285" s="172">
        <v>0</v>
      </c>
      <c r="F285" s="172">
        <v>0</v>
      </c>
      <c r="G285" s="172">
        <v>0</v>
      </c>
      <c r="H285" s="172">
        <v>0</v>
      </c>
      <c r="I285" s="172">
        <v>0</v>
      </c>
      <c r="J285" s="172">
        <v>0</v>
      </c>
      <c r="K285" s="172">
        <v>0</v>
      </c>
      <c r="L285" s="172">
        <v>0</v>
      </c>
      <c r="M285" s="172">
        <v>0</v>
      </c>
      <c r="N285" s="172">
        <v>0</v>
      </c>
      <c r="O285" s="172">
        <v>0</v>
      </c>
      <c r="P285" s="172">
        <v>0</v>
      </c>
      <c r="Q285" s="172">
        <v>0</v>
      </c>
      <c r="R285" s="172">
        <v>0</v>
      </c>
      <c r="S285" s="172">
        <v>0</v>
      </c>
      <c r="T285" s="172">
        <v>0</v>
      </c>
      <c r="U285" s="172">
        <v>0</v>
      </c>
      <c r="V285" s="172">
        <v>0</v>
      </c>
      <c r="W285" s="172">
        <v>0</v>
      </c>
      <c r="X285" s="172">
        <v>0</v>
      </c>
      <c r="Y285" s="172">
        <v>0</v>
      </c>
      <c r="Z285" s="172">
        <v>0</v>
      </c>
      <c r="AA285" s="172">
        <v>0</v>
      </c>
      <c r="AB285" s="172">
        <v>0</v>
      </c>
      <c r="AC285" s="172">
        <v>0</v>
      </c>
      <c r="AD285" s="172">
        <v>0</v>
      </c>
      <c r="AE285" s="172">
        <v>0</v>
      </c>
      <c r="AF285" s="172">
        <v>0</v>
      </c>
      <c r="AG285" s="172">
        <v>0</v>
      </c>
      <c r="AH285" s="172">
        <v>0</v>
      </c>
      <c r="AI285" s="172">
        <v>0</v>
      </c>
      <c r="AJ285" s="172">
        <v>0</v>
      </c>
      <c r="AK285" s="172">
        <v>0</v>
      </c>
      <c r="AL285" s="172">
        <v>0</v>
      </c>
      <c r="AM285" s="172">
        <v>0</v>
      </c>
      <c r="AN285" s="172">
        <v>0</v>
      </c>
      <c r="AO285" s="172">
        <v>0</v>
      </c>
      <c r="AP285" s="172">
        <v>0</v>
      </c>
    </row>
    <row r="286" spans="1:42" x14ac:dyDescent="0.2">
      <c r="A286" s="22" t="s">
        <v>3</v>
      </c>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row>
    <row r="287" spans="1:42" x14ac:dyDescent="0.2">
      <c r="A287" s="23" t="str">
        <f t="shared" ref="A287:A292" si="106">A279</f>
        <v>5-yr MACRS</v>
      </c>
      <c r="B287" s="171" cm="1">
        <f t="array" ref="B287">SUM(IF(ISNUMBER(C287:AP287),C287:AP287))</f>
        <v>86952307.837500006</v>
      </c>
      <c r="C287" s="123">
        <f>C279/100*$Q$246</f>
        <v>17390461.567500003</v>
      </c>
      <c r="D287" s="123">
        <f t="shared" ref="D287:AP287" si="107">D279/100*$Q$246</f>
        <v>27824738.508000001</v>
      </c>
      <c r="E287" s="123">
        <f t="shared" si="107"/>
        <v>16694843.104800001</v>
      </c>
      <c r="F287" s="123">
        <f t="shared" si="107"/>
        <v>10016905.862880001</v>
      </c>
      <c r="G287" s="123">
        <f t="shared" si="107"/>
        <v>10016905.862880001</v>
      </c>
      <c r="H287" s="123">
        <f t="shared" si="107"/>
        <v>5008452.9314400004</v>
      </c>
      <c r="I287" s="123">
        <f t="shared" si="107"/>
        <v>0</v>
      </c>
      <c r="J287" s="123">
        <f t="shared" si="107"/>
        <v>0</v>
      </c>
      <c r="K287" s="123">
        <f t="shared" si="107"/>
        <v>0</v>
      </c>
      <c r="L287" s="123">
        <f t="shared" si="107"/>
        <v>0</v>
      </c>
      <c r="M287" s="123">
        <f t="shared" si="107"/>
        <v>0</v>
      </c>
      <c r="N287" s="123">
        <f t="shared" si="107"/>
        <v>0</v>
      </c>
      <c r="O287" s="123">
        <f t="shared" si="107"/>
        <v>0</v>
      </c>
      <c r="P287" s="123">
        <f t="shared" si="107"/>
        <v>0</v>
      </c>
      <c r="Q287" s="123">
        <f t="shared" si="107"/>
        <v>0</v>
      </c>
      <c r="R287" s="123">
        <f t="shared" si="107"/>
        <v>0</v>
      </c>
      <c r="S287" s="123">
        <f t="shared" si="107"/>
        <v>0</v>
      </c>
      <c r="T287" s="123">
        <f t="shared" si="107"/>
        <v>0</v>
      </c>
      <c r="U287" s="123">
        <f t="shared" si="107"/>
        <v>0</v>
      </c>
      <c r="V287" s="123">
        <f t="shared" si="107"/>
        <v>0</v>
      </c>
      <c r="W287" s="123">
        <f t="shared" si="107"/>
        <v>0</v>
      </c>
      <c r="X287" s="123">
        <f t="shared" si="107"/>
        <v>0</v>
      </c>
      <c r="Y287" s="123">
        <f t="shared" si="107"/>
        <v>0</v>
      </c>
      <c r="Z287" s="123">
        <f t="shared" si="107"/>
        <v>0</v>
      </c>
      <c r="AA287" s="123">
        <f t="shared" si="107"/>
        <v>0</v>
      </c>
      <c r="AB287" s="123" t="e">
        <f t="shared" si="107"/>
        <v>#N/A</v>
      </c>
      <c r="AC287" s="123" t="e">
        <f t="shared" si="107"/>
        <v>#N/A</v>
      </c>
      <c r="AD287" s="123" t="e">
        <f t="shared" si="107"/>
        <v>#N/A</v>
      </c>
      <c r="AE287" s="123" t="e">
        <f t="shared" si="107"/>
        <v>#N/A</v>
      </c>
      <c r="AF287" s="123" t="e">
        <f t="shared" si="107"/>
        <v>#N/A</v>
      </c>
      <c r="AG287" s="123" t="e">
        <f t="shared" si="107"/>
        <v>#N/A</v>
      </c>
      <c r="AH287" s="123" t="e">
        <f t="shared" si="107"/>
        <v>#N/A</v>
      </c>
      <c r="AI287" s="123" t="e">
        <f t="shared" si="107"/>
        <v>#N/A</v>
      </c>
      <c r="AJ287" s="123" t="e">
        <f t="shared" si="107"/>
        <v>#N/A</v>
      </c>
      <c r="AK287" s="123" t="e">
        <f t="shared" si="107"/>
        <v>#N/A</v>
      </c>
      <c r="AL287" s="123" t="e">
        <f t="shared" si="107"/>
        <v>#N/A</v>
      </c>
      <c r="AM287" s="123" t="e">
        <f t="shared" si="107"/>
        <v>#N/A</v>
      </c>
      <c r="AN287" s="123" t="e">
        <f t="shared" si="107"/>
        <v>#N/A</v>
      </c>
      <c r="AO287" s="123" t="e">
        <f t="shared" si="107"/>
        <v>#N/A</v>
      </c>
      <c r="AP287" s="123" t="e">
        <f t="shared" si="107"/>
        <v>#N/A</v>
      </c>
    </row>
    <row r="288" spans="1:42" x14ac:dyDescent="0.2">
      <c r="A288" s="23" t="str">
        <f t="shared" si="106"/>
        <v>15-yr MACRS</v>
      </c>
      <c r="B288" s="171" cm="1">
        <f t="array" ref="B288">SUM(IF(ISNUMBER(C288:AP288),C288:AP288))</f>
        <v>1704776.71777875</v>
      </c>
      <c r="C288" s="123">
        <f>C280/100*$Q$247</f>
        <v>85247.360625000001</v>
      </c>
      <c r="D288" s="123">
        <f t="shared" ref="D288:AP288" si="108">D280/100*$Q$247</f>
        <v>161969.98518749999</v>
      </c>
      <c r="E288" s="123">
        <f t="shared" si="108"/>
        <v>145772.98666875</v>
      </c>
      <c r="F288" s="123">
        <f t="shared" si="108"/>
        <v>131280.93536249999</v>
      </c>
      <c r="G288" s="123">
        <f t="shared" si="108"/>
        <v>118152.84182624999</v>
      </c>
      <c r="H288" s="123">
        <f t="shared" si="108"/>
        <v>106218.21133875</v>
      </c>
      <c r="I288" s="123">
        <f t="shared" si="108"/>
        <v>100591.8855375</v>
      </c>
      <c r="J288" s="123">
        <f t="shared" si="108"/>
        <v>100591.8855375</v>
      </c>
      <c r="K288" s="123">
        <f t="shared" si="108"/>
        <v>100762.38025875</v>
      </c>
      <c r="L288" s="123">
        <f t="shared" si="108"/>
        <v>100591.8855375</v>
      </c>
      <c r="M288" s="123">
        <f t="shared" si="108"/>
        <v>100762.38025875</v>
      </c>
      <c r="N288" s="123">
        <f t="shared" si="108"/>
        <v>100591.8855375</v>
      </c>
      <c r="O288" s="123">
        <f t="shared" si="108"/>
        <v>100762.38025875</v>
      </c>
      <c r="P288" s="123">
        <f t="shared" si="108"/>
        <v>100591.8855375</v>
      </c>
      <c r="Q288" s="123">
        <f t="shared" si="108"/>
        <v>100591.8855375</v>
      </c>
      <c r="R288" s="123">
        <f t="shared" si="108"/>
        <v>50295.942768749999</v>
      </c>
      <c r="S288" s="123">
        <f t="shared" si="108"/>
        <v>0</v>
      </c>
      <c r="T288" s="123">
        <f t="shared" si="108"/>
        <v>0</v>
      </c>
      <c r="U288" s="123">
        <f t="shared" si="108"/>
        <v>0</v>
      </c>
      <c r="V288" s="123">
        <f t="shared" si="108"/>
        <v>0</v>
      </c>
      <c r="W288" s="123">
        <f t="shared" si="108"/>
        <v>0</v>
      </c>
      <c r="X288" s="123">
        <f t="shared" si="108"/>
        <v>0</v>
      </c>
      <c r="Y288" s="123">
        <f t="shared" si="108"/>
        <v>0</v>
      </c>
      <c r="Z288" s="123">
        <f t="shared" si="108"/>
        <v>0</v>
      </c>
      <c r="AA288" s="123">
        <f t="shared" si="108"/>
        <v>0</v>
      </c>
      <c r="AB288" s="123" t="e">
        <f t="shared" si="108"/>
        <v>#N/A</v>
      </c>
      <c r="AC288" s="123" t="e">
        <f t="shared" si="108"/>
        <v>#N/A</v>
      </c>
      <c r="AD288" s="123" t="e">
        <f t="shared" si="108"/>
        <v>#N/A</v>
      </c>
      <c r="AE288" s="123" t="e">
        <f t="shared" si="108"/>
        <v>#N/A</v>
      </c>
      <c r="AF288" s="123" t="e">
        <f t="shared" si="108"/>
        <v>#N/A</v>
      </c>
      <c r="AG288" s="123" t="e">
        <f t="shared" si="108"/>
        <v>#N/A</v>
      </c>
      <c r="AH288" s="123" t="e">
        <f t="shared" si="108"/>
        <v>#N/A</v>
      </c>
      <c r="AI288" s="123" t="e">
        <f t="shared" si="108"/>
        <v>#N/A</v>
      </c>
      <c r="AJ288" s="123" t="e">
        <f t="shared" si="108"/>
        <v>#N/A</v>
      </c>
      <c r="AK288" s="123" t="e">
        <f t="shared" si="108"/>
        <v>#N/A</v>
      </c>
      <c r="AL288" s="123" t="e">
        <f t="shared" si="108"/>
        <v>#N/A</v>
      </c>
      <c r="AM288" s="123" t="e">
        <f t="shared" si="108"/>
        <v>#N/A</v>
      </c>
      <c r="AN288" s="123" t="e">
        <f t="shared" si="108"/>
        <v>#N/A</v>
      </c>
      <c r="AO288" s="123" t="e">
        <f t="shared" si="108"/>
        <v>#N/A</v>
      </c>
      <c r="AP288" s="123" t="e">
        <f t="shared" si="108"/>
        <v>#N/A</v>
      </c>
    </row>
    <row r="289" spans="1:42" x14ac:dyDescent="0.2">
      <c r="A289" s="23" t="str">
        <f t="shared" si="106"/>
        <v>5-yr SL</v>
      </c>
      <c r="B289" s="171" cm="1">
        <f t="array" ref="B289">SUM(IF(ISNUMBER(C289:AP289),C289:AP289))</f>
        <v>0</v>
      </c>
      <c r="C289" s="123">
        <f>C281/100*$Q$248</f>
        <v>0</v>
      </c>
      <c r="D289" s="123">
        <f t="shared" ref="D289:AP289" si="109">D281/100*$Q$248</f>
        <v>0</v>
      </c>
      <c r="E289" s="123">
        <f t="shared" si="109"/>
        <v>0</v>
      </c>
      <c r="F289" s="123">
        <f t="shared" si="109"/>
        <v>0</v>
      </c>
      <c r="G289" s="123">
        <f t="shared" si="109"/>
        <v>0</v>
      </c>
      <c r="H289" s="123">
        <f t="shared" si="109"/>
        <v>0</v>
      </c>
      <c r="I289" s="123">
        <f t="shared" si="109"/>
        <v>0</v>
      </c>
      <c r="J289" s="123">
        <f t="shared" si="109"/>
        <v>0</v>
      </c>
      <c r="K289" s="123">
        <f t="shared" si="109"/>
        <v>0</v>
      </c>
      <c r="L289" s="123">
        <f t="shared" si="109"/>
        <v>0</v>
      </c>
      <c r="M289" s="123">
        <f t="shared" si="109"/>
        <v>0</v>
      </c>
      <c r="N289" s="123">
        <f t="shared" si="109"/>
        <v>0</v>
      </c>
      <c r="O289" s="123">
        <f t="shared" si="109"/>
        <v>0</v>
      </c>
      <c r="P289" s="123">
        <f t="shared" si="109"/>
        <v>0</v>
      </c>
      <c r="Q289" s="123">
        <f t="shared" si="109"/>
        <v>0</v>
      </c>
      <c r="R289" s="123">
        <f t="shared" si="109"/>
        <v>0</v>
      </c>
      <c r="S289" s="123">
        <f t="shared" si="109"/>
        <v>0</v>
      </c>
      <c r="T289" s="123">
        <f t="shared" si="109"/>
        <v>0</v>
      </c>
      <c r="U289" s="123">
        <f t="shared" si="109"/>
        <v>0</v>
      </c>
      <c r="V289" s="123">
        <f t="shared" si="109"/>
        <v>0</v>
      </c>
      <c r="W289" s="123">
        <f t="shared" si="109"/>
        <v>0</v>
      </c>
      <c r="X289" s="123">
        <f t="shared" si="109"/>
        <v>0</v>
      </c>
      <c r="Y289" s="123">
        <f t="shared" si="109"/>
        <v>0</v>
      </c>
      <c r="Z289" s="123">
        <f t="shared" si="109"/>
        <v>0</v>
      </c>
      <c r="AA289" s="123">
        <f t="shared" si="109"/>
        <v>0</v>
      </c>
      <c r="AB289" s="123" t="e">
        <f t="shared" si="109"/>
        <v>#N/A</v>
      </c>
      <c r="AC289" s="123" t="e">
        <f t="shared" si="109"/>
        <v>#N/A</v>
      </c>
      <c r="AD289" s="123" t="e">
        <f t="shared" si="109"/>
        <v>#N/A</v>
      </c>
      <c r="AE289" s="123" t="e">
        <f t="shared" si="109"/>
        <v>#N/A</v>
      </c>
      <c r="AF289" s="123" t="e">
        <f t="shared" si="109"/>
        <v>#N/A</v>
      </c>
      <c r="AG289" s="123" t="e">
        <f t="shared" si="109"/>
        <v>#N/A</v>
      </c>
      <c r="AH289" s="123" t="e">
        <f t="shared" si="109"/>
        <v>#N/A</v>
      </c>
      <c r="AI289" s="123" t="e">
        <f t="shared" si="109"/>
        <v>#N/A</v>
      </c>
      <c r="AJ289" s="123" t="e">
        <f t="shared" si="109"/>
        <v>#N/A</v>
      </c>
      <c r="AK289" s="123" t="e">
        <f t="shared" si="109"/>
        <v>#N/A</v>
      </c>
      <c r="AL289" s="123" t="e">
        <f t="shared" si="109"/>
        <v>#N/A</v>
      </c>
      <c r="AM289" s="123" t="e">
        <f t="shared" si="109"/>
        <v>#N/A</v>
      </c>
      <c r="AN289" s="123" t="e">
        <f t="shared" si="109"/>
        <v>#N/A</v>
      </c>
      <c r="AO289" s="123" t="e">
        <f t="shared" si="109"/>
        <v>#N/A</v>
      </c>
      <c r="AP289" s="123" t="e">
        <f t="shared" si="109"/>
        <v>#N/A</v>
      </c>
    </row>
    <row r="290" spans="1:42" x14ac:dyDescent="0.2">
      <c r="A290" s="23" t="str">
        <f t="shared" si="106"/>
        <v>15-yr SL</v>
      </c>
      <c r="B290" s="171" cm="1">
        <f t="array" ref="B290">SUM(IF(ISNUMBER(C290:AP290),C290:AP290))</f>
        <v>2842147.0032375003</v>
      </c>
      <c r="C290" s="123">
        <f>C282/100*$Q$249</f>
        <v>94624.570293750003</v>
      </c>
      <c r="D290" s="123">
        <f t="shared" ref="D290:AP290" si="110">D282/100*$Q$249</f>
        <v>189533.29845624999</v>
      </c>
      <c r="E290" s="123">
        <f t="shared" si="110"/>
        <v>189533.29845624999</v>
      </c>
      <c r="F290" s="123">
        <f t="shared" si="110"/>
        <v>189533.29845624999</v>
      </c>
      <c r="G290" s="123">
        <f t="shared" si="110"/>
        <v>189533.29845624999</v>
      </c>
      <c r="H290" s="123">
        <f t="shared" si="110"/>
        <v>189533.29845624999</v>
      </c>
      <c r="I290" s="123">
        <f t="shared" si="110"/>
        <v>189533.29845624999</v>
      </c>
      <c r="J290" s="123">
        <f t="shared" si="110"/>
        <v>189533.29845624999</v>
      </c>
      <c r="K290" s="123">
        <f t="shared" si="110"/>
        <v>189533.29845624999</v>
      </c>
      <c r="L290" s="123">
        <f t="shared" si="110"/>
        <v>189533.29845624999</v>
      </c>
      <c r="M290" s="123">
        <f t="shared" si="110"/>
        <v>189533.29845624999</v>
      </c>
      <c r="N290" s="123">
        <f t="shared" si="110"/>
        <v>189249.14058750001</v>
      </c>
      <c r="O290" s="123">
        <f t="shared" si="110"/>
        <v>189533.29845624999</v>
      </c>
      <c r="P290" s="123">
        <f t="shared" si="110"/>
        <v>189249.14058750001</v>
      </c>
      <c r="Q290" s="123">
        <f t="shared" si="110"/>
        <v>189533.29845624999</v>
      </c>
      <c r="R290" s="123">
        <f t="shared" si="110"/>
        <v>94624.570293750003</v>
      </c>
      <c r="S290" s="123">
        <f t="shared" si="110"/>
        <v>0</v>
      </c>
      <c r="T290" s="123">
        <f t="shared" si="110"/>
        <v>0</v>
      </c>
      <c r="U290" s="123">
        <f t="shared" si="110"/>
        <v>0</v>
      </c>
      <c r="V290" s="123">
        <f t="shared" si="110"/>
        <v>0</v>
      </c>
      <c r="W290" s="123">
        <f t="shared" si="110"/>
        <v>0</v>
      </c>
      <c r="X290" s="123">
        <f t="shared" si="110"/>
        <v>0</v>
      </c>
      <c r="Y290" s="123">
        <f t="shared" si="110"/>
        <v>0</v>
      </c>
      <c r="Z290" s="123">
        <f t="shared" si="110"/>
        <v>0</v>
      </c>
      <c r="AA290" s="123">
        <f t="shared" si="110"/>
        <v>0</v>
      </c>
      <c r="AB290" s="123" t="e">
        <f t="shared" si="110"/>
        <v>#N/A</v>
      </c>
      <c r="AC290" s="123" t="e">
        <f t="shared" si="110"/>
        <v>#N/A</v>
      </c>
      <c r="AD290" s="123" t="e">
        <f t="shared" si="110"/>
        <v>#N/A</v>
      </c>
      <c r="AE290" s="123" t="e">
        <f t="shared" si="110"/>
        <v>#N/A</v>
      </c>
      <c r="AF290" s="123" t="e">
        <f t="shared" si="110"/>
        <v>#N/A</v>
      </c>
      <c r="AG290" s="123" t="e">
        <f t="shared" si="110"/>
        <v>#N/A</v>
      </c>
      <c r="AH290" s="123" t="e">
        <f t="shared" si="110"/>
        <v>#N/A</v>
      </c>
      <c r="AI290" s="123" t="e">
        <f t="shared" si="110"/>
        <v>#N/A</v>
      </c>
      <c r="AJ290" s="123" t="e">
        <f t="shared" si="110"/>
        <v>#N/A</v>
      </c>
      <c r="AK290" s="123" t="e">
        <f t="shared" si="110"/>
        <v>#N/A</v>
      </c>
      <c r="AL290" s="123" t="e">
        <f t="shared" si="110"/>
        <v>#N/A</v>
      </c>
      <c r="AM290" s="123" t="e">
        <f t="shared" si="110"/>
        <v>#N/A</v>
      </c>
      <c r="AN290" s="123" t="e">
        <f t="shared" si="110"/>
        <v>#N/A</v>
      </c>
      <c r="AO290" s="123" t="e">
        <f t="shared" si="110"/>
        <v>#N/A</v>
      </c>
      <c r="AP290" s="123" t="e">
        <f t="shared" si="110"/>
        <v>#N/A</v>
      </c>
    </row>
    <row r="291" spans="1:42" x14ac:dyDescent="0.2">
      <c r="A291" s="23" t="str">
        <f t="shared" si="106"/>
        <v>20-yr SL</v>
      </c>
      <c r="B291" s="171" cm="1">
        <f t="array" ref="B291">SUM(IF(ISNUMBER(C291:AP291),C291:AP291))</f>
        <v>3409894.4249999993</v>
      </c>
      <c r="C291" s="123">
        <f>C283/100*$Q$250</f>
        <v>85247.360625000001</v>
      </c>
      <c r="D291" s="123">
        <f t="shared" ref="D291:AP291" si="111">D283/100*$Q$250</f>
        <v>170494.72125</v>
      </c>
      <c r="E291" s="123">
        <f t="shared" si="111"/>
        <v>170494.72125</v>
      </c>
      <c r="F291" s="123">
        <f t="shared" si="111"/>
        <v>170494.72125</v>
      </c>
      <c r="G291" s="123">
        <f t="shared" si="111"/>
        <v>170494.72125</v>
      </c>
      <c r="H291" s="123">
        <f t="shared" si="111"/>
        <v>170494.72125</v>
      </c>
      <c r="I291" s="123">
        <f t="shared" si="111"/>
        <v>170494.72125</v>
      </c>
      <c r="J291" s="123">
        <f t="shared" si="111"/>
        <v>170494.72125</v>
      </c>
      <c r="K291" s="123">
        <f t="shared" si="111"/>
        <v>170494.72125</v>
      </c>
      <c r="L291" s="123">
        <f t="shared" si="111"/>
        <v>170494.72125</v>
      </c>
      <c r="M291" s="123">
        <f t="shared" si="111"/>
        <v>170494.72125</v>
      </c>
      <c r="N291" s="123">
        <f t="shared" si="111"/>
        <v>170494.72125</v>
      </c>
      <c r="O291" s="123">
        <f t="shared" si="111"/>
        <v>170494.72125</v>
      </c>
      <c r="P291" s="123">
        <f t="shared" si="111"/>
        <v>170494.72125</v>
      </c>
      <c r="Q291" s="123">
        <f t="shared" si="111"/>
        <v>170494.72125</v>
      </c>
      <c r="R291" s="123">
        <f t="shared" si="111"/>
        <v>170494.72125</v>
      </c>
      <c r="S291" s="123">
        <f t="shared" si="111"/>
        <v>170494.72125</v>
      </c>
      <c r="T291" s="123">
        <f t="shared" si="111"/>
        <v>170494.72125</v>
      </c>
      <c r="U291" s="123">
        <f t="shared" si="111"/>
        <v>170494.72125</v>
      </c>
      <c r="V291" s="123">
        <f t="shared" si="111"/>
        <v>170494.72125</v>
      </c>
      <c r="W291" s="123">
        <f t="shared" si="111"/>
        <v>85247.360625000001</v>
      </c>
      <c r="X291" s="123">
        <f t="shared" si="111"/>
        <v>0</v>
      </c>
      <c r="Y291" s="123">
        <f t="shared" si="111"/>
        <v>0</v>
      </c>
      <c r="Z291" s="123">
        <f t="shared" si="111"/>
        <v>0</v>
      </c>
      <c r="AA291" s="123">
        <f t="shared" si="111"/>
        <v>0</v>
      </c>
      <c r="AB291" s="123" t="e">
        <f t="shared" si="111"/>
        <v>#N/A</v>
      </c>
      <c r="AC291" s="123" t="e">
        <f t="shared" si="111"/>
        <v>#N/A</v>
      </c>
      <c r="AD291" s="123" t="e">
        <f t="shared" si="111"/>
        <v>#N/A</v>
      </c>
      <c r="AE291" s="123" t="e">
        <f t="shared" si="111"/>
        <v>#N/A</v>
      </c>
      <c r="AF291" s="123" t="e">
        <f t="shared" si="111"/>
        <v>#N/A</v>
      </c>
      <c r="AG291" s="123" t="e">
        <f t="shared" si="111"/>
        <v>#N/A</v>
      </c>
      <c r="AH291" s="123" t="e">
        <f t="shared" si="111"/>
        <v>#N/A</v>
      </c>
      <c r="AI291" s="123" t="e">
        <f t="shared" si="111"/>
        <v>#N/A</v>
      </c>
      <c r="AJ291" s="123" t="e">
        <f t="shared" si="111"/>
        <v>#N/A</v>
      </c>
      <c r="AK291" s="123" t="e">
        <f t="shared" si="111"/>
        <v>#N/A</v>
      </c>
      <c r="AL291" s="123" t="e">
        <f t="shared" si="111"/>
        <v>#N/A</v>
      </c>
      <c r="AM291" s="123" t="e">
        <f t="shared" si="111"/>
        <v>#N/A</v>
      </c>
      <c r="AN291" s="123" t="e">
        <f t="shared" si="111"/>
        <v>#N/A</v>
      </c>
      <c r="AO291" s="123" t="e">
        <f t="shared" si="111"/>
        <v>#N/A</v>
      </c>
      <c r="AP291" s="123" t="e">
        <f t="shared" si="111"/>
        <v>#N/A</v>
      </c>
    </row>
    <row r="292" spans="1:42" x14ac:dyDescent="0.2">
      <c r="A292" s="23" t="str">
        <f t="shared" si="106"/>
        <v>39-yr SL</v>
      </c>
      <c r="B292" s="171" cm="1">
        <f t="array" ref="B292">SUM(IF(ISNUMBER(C292:AP292),C292:AP292))</f>
        <v>0</v>
      </c>
      <c r="C292" s="123">
        <f>C284/100*$Q$251</f>
        <v>0</v>
      </c>
      <c r="D292" s="123">
        <f t="shared" ref="D292:AP292" si="112">D284/100*$Q$251</f>
        <v>0</v>
      </c>
      <c r="E292" s="123">
        <f t="shared" si="112"/>
        <v>0</v>
      </c>
      <c r="F292" s="123">
        <f t="shared" si="112"/>
        <v>0</v>
      </c>
      <c r="G292" s="123">
        <f t="shared" si="112"/>
        <v>0</v>
      </c>
      <c r="H292" s="123">
        <f t="shared" si="112"/>
        <v>0</v>
      </c>
      <c r="I292" s="123">
        <f t="shared" si="112"/>
        <v>0</v>
      </c>
      <c r="J292" s="123">
        <f t="shared" si="112"/>
        <v>0</v>
      </c>
      <c r="K292" s="123">
        <f t="shared" si="112"/>
        <v>0</v>
      </c>
      <c r="L292" s="123">
        <f t="shared" si="112"/>
        <v>0</v>
      </c>
      <c r="M292" s="123">
        <f t="shared" si="112"/>
        <v>0</v>
      </c>
      <c r="N292" s="123">
        <f t="shared" si="112"/>
        <v>0</v>
      </c>
      <c r="O292" s="123">
        <f t="shared" si="112"/>
        <v>0</v>
      </c>
      <c r="P292" s="123">
        <f t="shared" si="112"/>
        <v>0</v>
      </c>
      <c r="Q292" s="123">
        <f t="shared" si="112"/>
        <v>0</v>
      </c>
      <c r="R292" s="123">
        <f t="shared" si="112"/>
        <v>0</v>
      </c>
      <c r="S292" s="123">
        <f t="shared" si="112"/>
        <v>0</v>
      </c>
      <c r="T292" s="123">
        <f t="shared" si="112"/>
        <v>0</v>
      </c>
      <c r="U292" s="123">
        <f t="shared" si="112"/>
        <v>0</v>
      </c>
      <c r="V292" s="123">
        <f t="shared" si="112"/>
        <v>0</v>
      </c>
      <c r="W292" s="123">
        <f t="shared" si="112"/>
        <v>0</v>
      </c>
      <c r="X292" s="123">
        <f t="shared" si="112"/>
        <v>0</v>
      </c>
      <c r="Y292" s="123">
        <f t="shared" si="112"/>
        <v>0</v>
      </c>
      <c r="Z292" s="123">
        <f t="shared" si="112"/>
        <v>0</v>
      </c>
      <c r="AA292" s="123">
        <f t="shared" si="112"/>
        <v>0</v>
      </c>
      <c r="AB292" s="123" t="e">
        <f t="shared" si="112"/>
        <v>#N/A</v>
      </c>
      <c r="AC292" s="123" t="e">
        <f t="shared" si="112"/>
        <v>#N/A</v>
      </c>
      <c r="AD292" s="123" t="e">
        <f t="shared" si="112"/>
        <v>#N/A</v>
      </c>
      <c r="AE292" s="123" t="e">
        <f t="shared" si="112"/>
        <v>#N/A</v>
      </c>
      <c r="AF292" s="123" t="e">
        <f t="shared" si="112"/>
        <v>#N/A</v>
      </c>
      <c r="AG292" s="123" t="e">
        <f t="shared" si="112"/>
        <v>#N/A</v>
      </c>
      <c r="AH292" s="123" t="e">
        <f t="shared" si="112"/>
        <v>#N/A</v>
      </c>
      <c r="AI292" s="123" t="e">
        <f t="shared" si="112"/>
        <v>#N/A</v>
      </c>
      <c r="AJ292" s="123" t="e">
        <f t="shared" si="112"/>
        <v>#N/A</v>
      </c>
      <c r="AK292" s="123" t="e">
        <f t="shared" si="112"/>
        <v>#N/A</v>
      </c>
      <c r="AL292" s="123" t="e">
        <f t="shared" si="112"/>
        <v>#N/A</v>
      </c>
      <c r="AM292" s="123" t="e">
        <f t="shared" si="112"/>
        <v>#N/A</v>
      </c>
      <c r="AN292" s="123" t="e">
        <f t="shared" si="112"/>
        <v>#N/A</v>
      </c>
      <c r="AO292" s="123" t="e">
        <f t="shared" si="112"/>
        <v>#N/A</v>
      </c>
      <c r="AP292" s="123" t="e">
        <f t="shared" si="112"/>
        <v>#N/A</v>
      </c>
    </row>
    <row r="293" spans="1:42" x14ac:dyDescent="0.2">
      <c r="A293" s="23" t="s">
        <v>324</v>
      </c>
      <c r="B293" s="171" cm="1">
        <f t="array" ref="B293">SUM(IF(ISNUMBER(C293:AP293),C293:AP293))</f>
        <v>0</v>
      </c>
      <c r="C293" s="123">
        <f t="shared" ref="C293:AP293" si="113">IF(C2&lt;=analysis_period,C285/100*$Q$252,0)</f>
        <v>0</v>
      </c>
      <c r="D293" s="123">
        <f t="shared" si="113"/>
        <v>0</v>
      </c>
      <c r="E293" s="123">
        <f t="shared" si="113"/>
        <v>0</v>
      </c>
      <c r="F293" s="123">
        <f t="shared" si="113"/>
        <v>0</v>
      </c>
      <c r="G293" s="123">
        <f t="shared" si="113"/>
        <v>0</v>
      </c>
      <c r="H293" s="123">
        <f t="shared" si="113"/>
        <v>0</v>
      </c>
      <c r="I293" s="123">
        <f t="shared" si="113"/>
        <v>0</v>
      </c>
      <c r="J293" s="123">
        <f t="shared" si="113"/>
        <v>0</v>
      </c>
      <c r="K293" s="123">
        <f t="shared" si="113"/>
        <v>0</v>
      </c>
      <c r="L293" s="123">
        <f t="shared" si="113"/>
        <v>0</v>
      </c>
      <c r="M293" s="123">
        <f t="shared" si="113"/>
        <v>0</v>
      </c>
      <c r="N293" s="123">
        <f t="shared" si="113"/>
        <v>0</v>
      </c>
      <c r="O293" s="123">
        <f t="shared" si="113"/>
        <v>0</v>
      </c>
      <c r="P293" s="123">
        <f t="shared" si="113"/>
        <v>0</v>
      </c>
      <c r="Q293" s="123">
        <f t="shared" si="113"/>
        <v>0</v>
      </c>
      <c r="R293" s="123">
        <f t="shared" si="113"/>
        <v>0</v>
      </c>
      <c r="S293" s="123">
        <f t="shared" si="113"/>
        <v>0</v>
      </c>
      <c r="T293" s="123">
        <f t="shared" si="113"/>
        <v>0</v>
      </c>
      <c r="U293" s="123">
        <f t="shared" si="113"/>
        <v>0</v>
      </c>
      <c r="V293" s="123">
        <f t="shared" si="113"/>
        <v>0</v>
      </c>
      <c r="W293" s="123">
        <f t="shared" si="113"/>
        <v>0</v>
      </c>
      <c r="X293" s="123">
        <f t="shared" si="113"/>
        <v>0</v>
      </c>
      <c r="Y293" s="123">
        <f t="shared" si="113"/>
        <v>0</v>
      </c>
      <c r="Z293" s="123">
        <f t="shared" si="113"/>
        <v>0</v>
      </c>
      <c r="AA293" s="123">
        <f t="shared" si="113"/>
        <v>0</v>
      </c>
      <c r="AB293" s="123">
        <f t="shared" si="113"/>
        <v>0</v>
      </c>
      <c r="AC293" s="123">
        <f t="shared" si="113"/>
        <v>0</v>
      </c>
      <c r="AD293" s="123">
        <f t="shared" si="113"/>
        <v>0</v>
      </c>
      <c r="AE293" s="123">
        <f t="shared" si="113"/>
        <v>0</v>
      </c>
      <c r="AF293" s="123">
        <f t="shared" si="113"/>
        <v>0</v>
      </c>
      <c r="AG293" s="123">
        <f t="shared" si="113"/>
        <v>0</v>
      </c>
      <c r="AH293" s="123">
        <f t="shared" si="113"/>
        <v>0</v>
      </c>
      <c r="AI293" s="123">
        <f t="shared" si="113"/>
        <v>0</v>
      </c>
      <c r="AJ293" s="123">
        <f t="shared" si="113"/>
        <v>0</v>
      </c>
      <c r="AK293" s="123">
        <f t="shared" si="113"/>
        <v>0</v>
      </c>
      <c r="AL293" s="123">
        <f t="shared" si="113"/>
        <v>0</v>
      </c>
      <c r="AM293" s="123">
        <f t="shared" si="113"/>
        <v>0</v>
      </c>
      <c r="AN293" s="123">
        <f t="shared" si="113"/>
        <v>0</v>
      </c>
      <c r="AO293" s="123">
        <f t="shared" si="113"/>
        <v>0</v>
      </c>
      <c r="AP293" s="123">
        <f t="shared" si="113"/>
        <v>0</v>
      </c>
    </row>
    <row r="294" spans="1:42" x14ac:dyDescent="0.2">
      <c r="A294" s="23" t="s">
        <v>87</v>
      </c>
      <c r="B294" s="171" cm="1">
        <f t="array" ref="B294">SUM(IF(ISNUMBER(C294:AP294),C294:AP294))</f>
        <v>0</v>
      </c>
      <c r="C294" s="124">
        <f>P253</f>
        <v>0</v>
      </c>
      <c r="D294" s="124">
        <v>0</v>
      </c>
      <c r="E294" s="124">
        <v>0</v>
      </c>
      <c r="F294" s="124">
        <v>0</v>
      </c>
      <c r="G294" s="124">
        <v>0</v>
      </c>
      <c r="H294" s="124">
        <v>0</v>
      </c>
      <c r="I294" s="124">
        <v>0</v>
      </c>
      <c r="J294" s="124">
        <v>0</v>
      </c>
      <c r="K294" s="124">
        <v>0</v>
      </c>
      <c r="L294" s="124">
        <v>0</v>
      </c>
      <c r="M294" s="124">
        <v>0</v>
      </c>
      <c r="N294" s="124">
        <v>0</v>
      </c>
      <c r="O294" s="124">
        <v>0</v>
      </c>
      <c r="P294" s="124">
        <v>0</v>
      </c>
      <c r="Q294" s="124">
        <v>0</v>
      </c>
      <c r="R294" s="124">
        <v>0</v>
      </c>
      <c r="S294" s="124">
        <v>0</v>
      </c>
      <c r="T294" s="124">
        <v>0</v>
      </c>
      <c r="U294" s="124">
        <v>0</v>
      </c>
      <c r="V294" s="124">
        <v>0</v>
      </c>
      <c r="W294" s="124">
        <v>0</v>
      </c>
      <c r="X294" s="124">
        <v>0</v>
      </c>
      <c r="Y294" s="124">
        <v>0</v>
      </c>
      <c r="Z294" s="124">
        <v>0</v>
      </c>
      <c r="AA294" s="124">
        <v>0</v>
      </c>
      <c r="AB294" s="124">
        <v>0</v>
      </c>
      <c r="AC294" s="124">
        <v>0</v>
      </c>
      <c r="AD294" s="124">
        <v>0</v>
      </c>
      <c r="AE294" s="124">
        <v>0</v>
      </c>
      <c r="AF294" s="124">
        <v>0</v>
      </c>
      <c r="AG294" s="124">
        <v>0</v>
      </c>
      <c r="AH294" s="124">
        <v>0</v>
      </c>
      <c r="AI294" s="124">
        <v>0</v>
      </c>
      <c r="AJ294" s="124">
        <v>0</v>
      </c>
      <c r="AK294" s="124">
        <v>0</v>
      </c>
      <c r="AL294" s="124">
        <v>0</v>
      </c>
      <c r="AM294" s="124">
        <v>0</v>
      </c>
      <c r="AN294" s="124">
        <v>0</v>
      </c>
      <c r="AO294" s="124">
        <v>0</v>
      </c>
      <c r="AP294" s="124">
        <v>0</v>
      </c>
    </row>
    <row r="295" spans="1:42" x14ac:dyDescent="0.2">
      <c r="A295" s="22"/>
      <c r="B295" s="175" cm="1">
        <f t="array" ref="B295">SUM(IF(ISNUMBER(C295:AP295),C295:AP295))</f>
        <v>94909125.983516276</v>
      </c>
      <c r="C295" s="123">
        <f>SUM(C287:C294)</f>
        <v>17655580.859043751</v>
      </c>
      <c r="D295" s="123">
        <f>SUM(D287:D294)</f>
        <v>28346736.512893755</v>
      </c>
      <c r="E295" s="123">
        <f t="shared" ref="E295:AP295" si="114">SUM(E287:E294)</f>
        <v>17200644.111175004</v>
      </c>
      <c r="F295" s="123">
        <f t="shared" si="114"/>
        <v>10508214.817948749</v>
      </c>
      <c r="G295" s="123">
        <f t="shared" si="114"/>
        <v>10495086.724412501</v>
      </c>
      <c r="H295" s="123">
        <f t="shared" si="114"/>
        <v>5474699.1624850007</v>
      </c>
      <c r="I295" s="123">
        <f t="shared" si="114"/>
        <v>460619.90524375002</v>
      </c>
      <c r="J295" s="123">
        <f t="shared" si="114"/>
        <v>460619.90524375002</v>
      </c>
      <c r="K295" s="123">
        <f t="shared" si="114"/>
        <v>460790.39996499999</v>
      </c>
      <c r="L295" s="123">
        <f t="shared" si="114"/>
        <v>460619.90524375002</v>
      </c>
      <c r="M295" s="123">
        <f t="shared" si="114"/>
        <v>460790.39996499999</v>
      </c>
      <c r="N295" s="123">
        <f t="shared" si="114"/>
        <v>460335.74737499998</v>
      </c>
      <c r="O295" s="123">
        <f t="shared" si="114"/>
        <v>460790.39996499999</v>
      </c>
      <c r="P295" s="123">
        <f t="shared" si="114"/>
        <v>460335.74737499998</v>
      </c>
      <c r="Q295" s="123">
        <f t="shared" si="114"/>
        <v>460619.90524375002</v>
      </c>
      <c r="R295" s="123">
        <f t="shared" si="114"/>
        <v>315415.23431249999</v>
      </c>
      <c r="S295" s="123">
        <f t="shared" si="114"/>
        <v>170494.72125</v>
      </c>
      <c r="T295" s="123">
        <f t="shared" si="114"/>
        <v>170494.72125</v>
      </c>
      <c r="U295" s="123">
        <f t="shared" si="114"/>
        <v>170494.72125</v>
      </c>
      <c r="V295" s="123">
        <f t="shared" si="114"/>
        <v>170494.72125</v>
      </c>
      <c r="W295" s="123">
        <f t="shared" si="114"/>
        <v>85247.360625000001</v>
      </c>
      <c r="X295" s="123">
        <f t="shared" si="114"/>
        <v>0</v>
      </c>
      <c r="Y295" s="123">
        <f t="shared" si="114"/>
        <v>0</v>
      </c>
      <c r="Z295" s="123">
        <f t="shared" si="114"/>
        <v>0</v>
      </c>
      <c r="AA295" s="123">
        <f t="shared" si="114"/>
        <v>0</v>
      </c>
      <c r="AB295" s="123" t="e">
        <f t="shared" si="114"/>
        <v>#N/A</v>
      </c>
      <c r="AC295" s="123" t="e">
        <f t="shared" si="114"/>
        <v>#N/A</v>
      </c>
      <c r="AD295" s="123" t="e">
        <f t="shared" si="114"/>
        <v>#N/A</v>
      </c>
      <c r="AE295" s="123" t="e">
        <f t="shared" si="114"/>
        <v>#N/A</v>
      </c>
      <c r="AF295" s="123" t="e">
        <f t="shared" si="114"/>
        <v>#N/A</v>
      </c>
      <c r="AG295" s="123" t="e">
        <f t="shared" si="114"/>
        <v>#N/A</v>
      </c>
      <c r="AH295" s="123" t="e">
        <f t="shared" si="114"/>
        <v>#N/A</v>
      </c>
      <c r="AI295" s="123" t="e">
        <f t="shared" si="114"/>
        <v>#N/A</v>
      </c>
      <c r="AJ295" s="123" t="e">
        <f t="shared" si="114"/>
        <v>#N/A</v>
      </c>
      <c r="AK295" s="123" t="e">
        <f t="shared" si="114"/>
        <v>#N/A</v>
      </c>
      <c r="AL295" s="123" t="e">
        <f t="shared" si="114"/>
        <v>#N/A</v>
      </c>
      <c r="AM295" s="123" t="e">
        <f t="shared" si="114"/>
        <v>#N/A</v>
      </c>
      <c r="AN295" s="123" t="e">
        <f t="shared" si="114"/>
        <v>#N/A</v>
      </c>
      <c r="AO295" s="123" t="e">
        <f t="shared" si="114"/>
        <v>#N/A</v>
      </c>
      <c r="AP295" s="123" t="e">
        <f t="shared" si="114"/>
        <v>#N/A</v>
      </c>
    </row>
    <row r="296" spans="1:42" x14ac:dyDescent="0.2">
      <c r="A296" s="22"/>
    </row>
    <row r="297" spans="1:42" x14ac:dyDescent="0.2">
      <c r="A297" s="18" t="s">
        <v>74</v>
      </c>
    </row>
    <row r="298" spans="1:42" x14ac:dyDescent="0.2">
      <c r="A298" s="22" t="s">
        <v>76</v>
      </c>
      <c r="B298" s="27" t="str">
        <f>equip_reserve_depr_sta</f>
        <v>5-yr MACRS</v>
      </c>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row>
    <row r="299" spans="1:42" x14ac:dyDescent="0.2">
      <c r="A299" s="22" t="s">
        <v>77</v>
      </c>
      <c r="B299" s="177">
        <f t="shared" ref="B299:AP299" si="115">B2</f>
        <v>0</v>
      </c>
      <c r="C299" s="177">
        <f t="shared" si="115"/>
        <v>1</v>
      </c>
      <c r="D299" s="177">
        <f t="shared" si="115"/>
        <v>2</v>
      </c>
      <c r="E299" s="177">
        <f t="shared" si="115"/>
        <v>3</v>
      </c>
      <c r="F299" s="177">
        <f t="shared" si="115"/>
        <v>4</v>
      </c>
      <c r="G299" s="177">
        <f t="shared" si="115"/>
        <v>5</v>
      </c>
      <c r="H299" s="177">
        <f t="shared" si="115"/>
        <v>6</v>
      </c>
      <c r="I299" s="177">
        <f t="shared" si="115"/>
        <v>7</v>
      </c>
      <c r="J299" s="177">
        <f t="shared" si="115"/>
        <v>8</v>
      </c>
      <c r="K299" s="177">
        <f t="shared" si="115"/>
        <v>9</v>
      </c>
      <c r="L299" s="177">
        <f t="shared" si="115"/>
        <v>10</v>
      </c>
      <c r="M299" s="177">
        <f t="shared" si="115"/>
        <v>11</v>
      </c>
      <c r="N299" s="177">
        <f t="shared" si="115"/>
        <v>12</v>
      </c>
      <c r="O299" s="177">
        <f t="shared" si="115"/>
        <v>13</v>
      </c>
      <c r="P299" s="177">
        <f t="shared" si="115"/>
        <v>14</v>
      </c>
      <c r="Q299" s="177">
        <f t="shared" si="115"/>
        <v>15</v>
      </c>
      <c r="R299" s="177">
        <f t="shared" si="115"/>
        <v>16</v>
      </c>
      <c r="S299" s="177">
        <f t="shared" si="115"/>
        <v>17</v>
      </c>
      <c r="T299" s="177">
        <f t="shared" si="115"/>
        <v>18</v>
      </c>
      <c r="U299" s="177">
        <f t="shared" si="115"/>
        <v>19</v>
      </c>
      <c r="V299" s="177">
        <f t="shared" si="115"/>
        <v>20</v>
      </c>
      <c r="W299" s="177">
        <f t="shared" si="115"/>
        <v>21</v>
      </c>
      <c r="X299" s="177">
        <f t="shared" si="115"/>
        <v>22</v>
      </c>
      <c r="Y299" s="177">
        <f t="shared" si="115"/>
        <v>23</v>
      </c>
      <c r="Z299" s="177">
        <f t="shared" si="115"/>
        <v>24</v>
      </c>
      <c r="AA299" s="177">
        <f t="shared" si="115"/>
        <v>25</v>
      </c>
      <c r="AB299" s="177" t="str">
        <f t="shared" si="115"/>
        <v/>
      </c>
      <c r="AC299" s="177" t="str">
        <f t="shared" si="115"/>
        <v/>
      </c>
      <c r="AD299" s="177" t="str">
        <f t="shared" si="115"/>
        <v/>
      </c>
      <c r="AE299" s="177" t="str">
        <f t="shared" si="115"/>
        <v/>
      </c>
      <c r="AF299" s="177" t="str">
        <f t="shared" si="115"/>
        <v/>
      </c>
      <c r="AG299" s="177" t="str">
        <f t="shared" si="115"/>
        <v/>
      </c>
      <c r="AH299" s="177" t="str">
        <f t="shared" si="115"/>
        <v/>
      </c>
      <c r="AI299" s="177" t="str">
        <f t="shared" si="115"/>
        <v/>
      </c>
      <c r="AJ299" s="177" t="str">
        <f t="shared" si="115"/>
        <v/>
      </c>
      <c r="AK299" s="177" t="str">
        <f t="shared" si="115"/>
        <v/>
      </c>
      <c r="AL299" s="177" t="str">
        <f t="shared" si="115"/>
        <v/>
      </c>
      <c r="AM299" s="177" t="str">
        <f t="shared" si="115"/>
        <v/>
      </c>
      <c r="AN299" s="177" t="str">
        <f t="shared" si="115"/>
        <v/>
      </c>
      <c r="AO299" s="177" t="str">
        <f t="shared" si="115"/>
        <v/>
      </c>
      <c r="AP299" s="177" t="str">
        <f t="shared" si="115"/>
        <v/>
      </c>
    </row>
    <row r="300" spans="1:42" x14ac:dyDescent="0.2">
      <c r="A300" s="22" t="s">
        <v>190</v>
      </c>
      <c r="B300" s="176">
        <v>0</v>
      </c>
      <c r="C300" s="172">
        <f t="shared" ref="C300:AP300" si="116">IF($B$298=$A279,C279,0)+IF($B$298=$A280,C280,0)+IF($B$298=$A281,C281,0)+IF($B$298=$A282,C282,0)+IF($B$298=$A283,C283,0)+IF($B$298=$A284,C284,0)</f>
        <v>20</v>
      </c>
      <c r="D300" s="172">
        <f t="shared" si="116"/>
        <v>32</v>
      </c>
      <c r="E300" s="172">
        <f t="shared" si="116"/>
        <v>19.2</v>
      </c>
      <c r="F300" s="172">
        <f t="shared" si="116"/>
        <v>11.52</v>
      </c>
      <c r="G300" s="172">
        <f t="shared" si="116"/>
        <v>11.52</v>
      </c>
      <c r="H300" s="172">
        <f t="shared" si="116"/>
        <v>5.76</v>
      </c>
      <c r="I300" s="172">
        <f t="shared" si="116"/>
        <v>0</v>
      </c>
      <c r="J300" s="172">
        <f t="shared" si="116"/>
        <v>0</v>
      </c>
      <c r="K300" s="172">
        <f t="shared" si="116"/>
        <v>0</v>
      </c>
      <c r="L300" s="172">
        <f t="shared" si="116"/>
        <v>0</v>
      </c>
      <c r="M300" s="172">
        <f t="shared" si="116"/>
        <v>0</v>
      </c>
      <c r="N300" s="172">
        <f t="shared" si="116"/>
        <v>0</v>
      </c>
      <c r="O300" s="172">
        <f t="shared" si="116"/>
        <v>0</v>
      </c>
      <c r="P300" s="172">
        <f t="shared" si="116"/>
        <v>0</v>
      </c>
      <c r="Q300" s="172">
        <f t="shared" si="116"/>
        <v>0</v>
      </c>
      <c r="R300" s="172">
        <f t="shared" si="116"/>
        <v>0</v>
      </c>
      <c r="S300" s="172">
        <f t="shared" si="116"/>
        <v>0</v>
      </c>
      <c r="T300" s="172">
        <f t="shared" si="116"/>
        <v>0</v>
      </c>
      <c r="U300" s="172">
        <f t="shared" si="116"/>
        <v>0</v>
      </c>
      <c r="V300" s="172">
        <f t="shared" si="116"/>
        <v>0</v>
      </c>
      <c r="W300" s="172">
        <f t="shared" si="116"/>
        <v>0</v>
      </c>
      <c r="X300" s="172">
        <f t="shared" si="116"/>
        <v>0</v>
      </c>
      <c r="Y300" s="172">
        <f t="shared" si="116"/>
        <v>0</v>
      </c>
      <c r="Z300" s="172">
        <f t="shared" si="116"/>
        <v>0</v>
      </c>
      <c r="AA300" s="172">
        <f t="shared" si="116"/>
        <v>0</v>
      </c>
      <c r="AB300" s="172" t="e">
        <f t="shared" si="116"/>
        <v>#N/A</v>
      </c>
      <c r="AC300" s="172" t="e">
        <f t="shared" si="116"/>
        <v>#N/A</v>
      </c>
      <c r="AD300" s="172" t="e">
        <f t="shared" si="116"/>
        <v>#N/A</v>
      </c>
      <c r="AE300" s="172" t="e">
        <f t="shared" si="116"/>
        <v>#N/A</v>
      </c>
      <c r="AF300" s="172" t="e">
        <f t="shared" si="116"/>
        <v>#N/A</v>
      </c>
      <c r="AG300" s="172" t="e">
        <f t="shared" si="116"/>
        <v>#N/A</v>
      </c>
      <c r="AH300" s="172" t="e">
        <f t="shared" si="116"/>
        <v>#N/A</v>
      </c>
      <c r="AI300" s="172" t="e">
        <f t="shared" si="116"/>
        <v>#N/A</v>
      </c>
      <c r="AJ300" s="172" t="e">
        <f t="shared" si="116"/>
        <v>#N/A</v>
      </c>
      <c r="AK300" s="172" t="e">
        <f t="shared" si="116"/>
        <v>#N/A</v>
      </c>
      <c r="AL300" s="172" t="e">
        <f t="shared" si="116"/>
        <v>#N/A</v>
      </c>
      <c r="AM300" s="172" t="e">
        <f t="shared" si="116"/>
        <v>#N/A</v>
      </c>
      <c r="AN300" s="172" t="e">
        <f t="shared" si="116"/>
        <v>#N/A</v>
      </c>
      <c r="AO300" s="172" t="e">
        <f t="shared" si="116"/>
        <v>#N/A</v>
      </c>
      <c r="AP300" s="172" t="e">
        <f t="shared" si="116"/>
        <v>#N/A</v>
      </c>
    </row>
    <row r="301" spans="1:42" x14ac:dyDescent="0.2">
      <c r="A301" s="22"/>
      <c r="B301" s="28"/>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row>
    <row r="302" spans="1:42" x14ac:dyDescent="0.2">
      <c r="A302" s="18" t="s">
        <v>89</v>
      </c>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row>
    <row r="303" spans="1:42" x14ac:dyDescent="0.2">
      <c r="A303" s="22" t="s">
        <v>75</v>
      </c>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row>
    <row r="304" spans="1:42" x14ac:dyDescent="0.2">
      <c r="A304" s="4">
        <v>1</v>
      </c>
      <c r="B304" s="4">
        <v>0</v>
      </c>
      <c r="C304" s="163">
        <f>IF(C$2&lt;=analysis_period,IF(SUM($C639:C639)&gt;0,B304+1,0),0)</f>
        <v>0</v>
      </c>
      <c r="D304" s="163">
        <f>IF(D$2&lt;=analysis_period,IF(SUM($C639:D639)&gt;0,C304+1,0),0)</f>
        <v>0</v>
      </c>
      <c r="E304" s="163">
        <f>IF(E$2&lt;=analysis_period,IF(SUM($C639:E639)&gt;0,D304+1,0),0)</f>
        <v>0</v>
      </c>
      <c r="F304" s="163">
        <f>IF(F$2&lt;=analysis_period,IF(SUM($C639:F639)&gt;0,E304+1,0),0)</f>
        <v>0</v>
      </c>
      <c r="G304" s="163">
        <f>IF(G$2&lt;=analysis_period,IF(SUM($C639:G639)&gt;0,F304+1,0),0)</f>
        <v>0</v>
      </c>
      <c r="H304" s="163">
        <f>IF(H$2&lt;=analysis_period,IF(SUM($C639:H639)&gt;0,G304+1,0),0)</f>
        <v>0</v>
      </c>
      <c r="I304" s="163">
        <f>IF(I$2&lt;=analysis_period,IF(SUM($C639:I639)&gt;0,H304+1,0),0)</f>
        <v>0</v>
      </c>
      <c r="J304" s="163">
        <f>IF(J$2&lt;=analysis_period,IF(SUM($C639:J639)&gt;0,I304+1,0),0)</f>
        <v>0</v>
      </c>
      <c r="K304" s="163">
        <f>IF(K$2&lt;=analysis_period,IF(SUM($C639:K639)&gt;0,J304+1,0),0)</f>
        <v>0</v>
      </c>
      <c r="L304" s="163">
        <f>IF(L$2&lt;=analysis_period,IF(SUM($C639:L639)&gt;0,K304+1,0),0)</f>
        <v>0</v>
      </c>
      <c r="M304" s="163">
        <f>IF(M$2&lt;=analysis_period,IF(SUM($C639:M639)&gt;0,L304+1,0),0)</f>
        <v>0</v>
      </c>
      <c r="N304" s="163">
        <f>IF(N$2&lt;=analysis_period,IF(SUM($C639:N639)&gt;0,M304+1,0),0)</f>
        <v>0</v>
      </c>
      <c r="O304" s="163">
        <f>IF(O$2&lt;=analysis_period,IF(SUM($C639:O639)&gt;0,N304+1,0),0)</f>
        <v>0</v>
      </c>
      <c r="P304" s="163">
        <f>IF(P$2&lt;=analysis_period,IF(SUM($C639:P639)&gt;0,O304+1,0),0)</f>
        <v>0</v>
      </c>
      <c r="Q304" s="163">
        <f>IF(Q$2&lt;=analysis_period,IF(SUM($C639:Q639)&gt;0,P304+1,0),0)</f>
        <v>1</v>
      </c>
      <c r="R304" s="163">
        <f>IF(R$2&lt;=analysis_period,IF(SUM($C639:R639)&gt;0,Q304+1,0),0)</f>
        <v>2</v>
      </c>
      <c r="S304" s="163">
        <f>IF(S$2&lt;=analysis_period,IF(SUM($C639:S639)&gt;0,R304+1,0),0)</f>
        <v>3</v>
      </c>
      <c r="T304" s="163">
        <f>IF(T$2&lt;=analysis_period,IF(SUM($C639:T639)&gt;0,S304+1,0),0)</f>
        <v>4</v>
      </c>
      <c r="U304" s="163">
        <f>IF(U$2&lt;=analysis_period,IF(SUM($C639:U639)&gt;0,T304+1,0),0)</f>
        <v>5</v>
      </c>
      <c r="V304" s="163">
        <f>IF(V$2&lt;=analysis_period,IF(SUM($C639:V639)&gt;0,U304+1,0),0)</f>
        <v>6</v>
      </c>
      <c r="W304" s="163">
        <f>IF(W$2&lt;=analysis_period,IF(SUM($C639:W639)&gt;0,V304+1,0),0)</f>
        <v>7</v>
      </c>
      <c r="X304" s="163">
        <f>IF(X$2&lt;=analysis_period,IF(SUM($C639:X639)&gt;0,W304+1,0),0)</f>
        <v>8</v>
      </c>
      <c r="Y304" s="163">
        <f>IF(Y$2&lt;=analysis_period,IF(SUM($C639:Y639)&gt;0,X304+1,0),0)</f>
        <v>9</v>
      </c>
      <c r="Z304" s="163">
        <f>IF(Z$2&lt;=analysis_period,IF(SUM($C639:Z639)&gt;0,Y304+1,0),0)</f>
        <v>10</v>
      </c>
      <c r="AA304" s="163">
        <f>IF(AA$2&lt;=analysis_period,IF(SUM($C639:AA639)&gt;0,Z304+1,0),0)</f>
        <v>11</v>
      </c>
      <c r="AB304" s="163">
        <f>IF(AB$2&lt;=analysis_period,IF(SUM($C639:AB639)&gt;0,AA304+1,0),0)</f>
        <v>0</v>
      </c>
      <c r="AC304" s="163">
        <f>IF(AC$2&lt;=analysis_period,IF(SUM($C639:AC639)&gt;0,AB304+1,0),0)</f>
        <v>0</v>
      </c>
      <c r="AD304" s="163">
        <f>IF(AD$2&lt;=analysis_period,IF(SUM($C639:AD639)&gt;0,AC304+1,0),0)</f>
        <v>0</v>
      </c>
      <c r="AE304" s="163">
        <f>IF(AE$2&lt;=analysis_period,IF(SUM($C639:AE639)&gt;0,AD304+1,0),0)</f>
        <v>0</v>
      </c>
      <c r="AF304" s="163">
        <f>IF(AF$2&lt;=analysis_period,IF(SUM($C639:AF639)&gt;0,AE304+1,0),0)</f>
        <v>0</v>
      </c>
      <c r="AG304" s="163">
        <f>IF(AG$2&lt;=analysis_period,IF(SUM($C639:AG639)&gt;0,AF304+1,0),0)</f>
        <v>0</v>
      </c>
      <c r="AH304" s="163">
        <f>IF(AH$2&lt;=analysis_period,IF(SUM($C639:AH639)&gt;0,AG304+1,0),0)</f>
        <v>0</v>
      </c>
      <c r="AI304" s="163">
        <f>IF(AI$2&lt;=analysis_period,IF(SUM($C639:AI639)&gt;0,AH304+1,0),0)</f>
        <v>0</v>
      </c>
      <c r="AJ304" s="163">
        <f>IF(AJ$2&lt;=analysis_period,IF(SUM($C639:AJ639)&gt;0,AI304+1,0),0)</f>
        <v>0</v>
      </c>
      <c r="AK304" s="163">
        <f>IF(AK$2&lt;=analysis_period,IF(SUM($C639:AK639)&gt;0,AJ304+1,0),0)</f>
        <v>0</v>
      </c>
      <c r="AL304" s="163">
        <f>IF(AL$2&lt;=analysis_period,IF(SUM($C639:AL639)&gt;0,AK304+1,0),0)</f>
        <v>0</v>
      </c>
      <c r="AM304" s="163">
        <f>IF(AM$2&lt;=analysis_period,IF(SUM($C639:AM639)&gt;0,AL304+1,0),0)</f>
        <v>0</v>
      </c>
      <c r="AN304" s="163">
        <f>IF(AN$2&lt;=analysis_period,IF(SUM($C639:AN639)&gt;0,AM304+1,0),0)</f>
        <v>0</v>
      </c>
      <c r="AO304" s="163">
        <f>IF(AO$2&lt;=analysis_period,IF(SUM($C639:AO639)&gt;0,AN304+1,0),0)</f>
        <v>0</v>
      </c>
      <c r="AP304" s="163">
        <f>IF(AP$2&lt;=analysis_period,IF(SUM($C639:AP639)&gt;0,AO304+1,0),0)</f>
        <v>0</v>
      </c>
    </row>
    <row r="305" spans="1:42" x14ac:dyDescent="0.2">
      <c r="A305" s="4">
        <f>A304+1</f>
        <v>2</v>
      </c>
      <c r="B305" s="4">
        <v>0</v>
      </c>
      <c r="C305" s="163">
        <f>IF(C$2&lt;=analysis_period,IF(SUM($C640:C640)&gt;0,B305+1,0),0)</f>
        <v>0</v>
      </c>
      <c r="D305" s="163">
        <f>IF(D$2&lt;=analysis_period,IF(SUM($C640:D640)&gt;0,C305+1,0),0)</f>
        <v>0</v>
      </c>
      <c r="E305" s="163">
        <f>IF(E$2&lt;=analysis_period,IF(SUM($C640:E640)&gt;0,D305+1,0),0)</f>
        <v>0</v>
      </c>
      <c r="F305" s="163">
        <f>IF(F$2&lt;=analysis_period,IF(SUM($C640:F640)&gt;0,E305+1,0),0)</f>
        <v>0</v>
      </c>
      <c r="G305" s="163">
        <f>IF(G$2&lt;=analysis_period,IF(SUM($C640:G640)&gt;0,F305+1,0),0)</f>
        <v>0</v>
      </c>
      <c r="H305" s="163">
        <f>IF(H$2&lt;=analysis_period,IF(SUM($C640:H640)&gt;0,G305+1,0),0)</f>
        <v>0</v>
      </c>
      <c r="I305" s="163">
        <f>IF(I$2&lt;=analysis_period,IF(SUM($C640:I640)&gt;0,H305+1,0),0)</f>
        <v>0</v>
      </c>
      <c r="J305" s="163">
        <f>IF(J$2&lt;=analysis_period,IF(SUM($C640:J640)&gt;0,I305+1,0),0)</f>
        <v>0</v>
      </c>
      <c r="K305" s="163">
        <f>IF(K$2&lt;=analysis_period,IF(SUM($C640:K640)&gt;0,J305+1,0),0)</f>
        <v>0</v>
      </c>
      <c r="L305" s="163">
        <f>IF(L$2&lt;=analysis_period,IF(SUM($C640:L640)&gt;0,K305+1,0),0)</f>
        <v>0</v>
      </c>
      <c r="M305" s="163">
        <f>IF(M$2&lt;=analysis_period,IF(SUM($C640:M640)&gt;0,L305+1,0),0)</f>
        <v>0</v>
      </c>
      <c r="N305" s="163">
        <f>IF(N$2&lt;=analysis_period,IF(SUM($C640:N640)&gt;0,M305+1,0),0)</f>
        <v>0</v>
      </c>
      <c r="O305" s="163">
        <f>IF(O$2&lt;=analysis_period,IF(SUM($C640:O640)&gt;0,N305+1,0),0)</f>
        <v>0</v>
      </c>
      <c r="P305" s="163">
        <f>IF(P$2&lt;=analysis_period,IF(SUM($C640:P640)&gt;0,O305+1,0),0)</f>
        <v>0</v>
      </c>
      <c r="Q305" s="163">
        <f>IF(Q$2&lt;=analysis_period,IF(SUM($C640:Q640)&gt;0,P305+1,0),0)</f>
        <v>0</v>
      </c>
      <c r="R305" s="163">
        <f>IF(R$2&lt;=analysis_period,IF(SUM($C640:R640)&gt;0,Q305+1,0),0)</f>
        <v>0</v>
      </c>
      <c r="S305" s="163">
        <f>IF(S$2&lt;=analysis_period,IF(SUM($C640:S640)&gt;0,R305+1,0),0)</f>
        <v>0</v>
      </c>
      <c r="T305" s="163">
        <f>IF(T$2&lt;=analysis_period,IF(SUM($C640:T640)&gt;0,S305+1,0),0)</f>
        <v>0</v>
      </c>
      <c r="U305" s="163">
        <f>IF(U$2&lt;=analysis_period,IF(SUM($C640:U640)&gt;0,T305+1,0),0)</f>
        <v>0</v>
      </c>
      <c r="V305" s="163">
        <f>IF(V$2&lt;=analysis_period,IF(SUM($C640:V640)&gt;0,U305+1,0),0)</f>
        <v>0</v>
      </c>
      <c r="W305" s="163">
        <f>IF(W$2&lt;=analysis_period,IF(SUM($C640:W640)&gt;0,V305+1,0),0)</f>
        <v>0</v>
      </c>
      <c r="X305" s="163">
        <f>IF(X$2&lt;=analysis_period,IF(SUM($C640:X640)&gt;0,W305+1,0),0)</f>
        <v>0</v>
      </c>
      <c r="Y305" s="163">
        <f>IF(Y$2&lt;=analysis_period,IF(SUM($C640:Y640)&gt;0,X305+1,0),0)</f>
        <v>0</v>
      </c>
      <c r="Z305" s="163">
        <f>IF(Z$2&lt;=analysis_period,IF(SUM($C640:Z640)&gt;0,Y305+1,0),0)</f>
        <v>0</v>
      </c>
      <c r="AA305" s="163">
        <f>IF(AA$2&lt;=analysis_period,IF(SUM($C640:AA640)&gt;0,Z305+1,0),0)</f>
        <v>0</v>
      </c>
      <c r="AB305" s="163">
        <f>IF(AB$2&lt;=analysis_period,IF(SUM($C640:AB640)&gt;0,AA305+1,0),0)</f>
        <v>0</v>
      </c>
      <c r="AC305" s="163">
        <f>IF(AC$2&lt;=analysis_period,IF(SUM($C640:AC640)&gt;0,AB305+1,0),0)</f>
        <v>0</v>
      </c>
      <c r="AD305" s="163">
        <f>IF(AD$2&lt;=analysis_period,IF(SUM($C640:AD640)&gt;0,AC305+1,0),0)</f>
        <v>0</v>
      </c>
      <c r="AE305" s="163">
        <f>IF(AE$2&lt;=analysis_period,IF(SUM($C640:AE640)&gt;0,AD305+1,0),0)</f>
        <v>0</v>
      </c>
      <c r="AF305" s="163">
        <f>IF(AF$2&lt;=analysis_period,IF(SUM($C640:AF640)&gt;0,AE305+1,0),0)</f>
        <v>0</v>
      </c>
      <c r="AG305" s="163">
        <f>IF(AG$2&lt;=analysis_period,IF(SUM($C640:AG640)&gt;0,AF305+1,0),0)</f>
        <v>0</v>
      </c>
      <c r="AH305" s="163">
        <f>IF(AH$2&lt;=analysis_period,IF(SUM($C640:AH640)&gt;0,AG305+1,0),0)</f>
        <v>0</v>
      </c>
      <c r="AI305" s="163">
        <f>IF(AI$2&lt;=analysis_period,IF(SUM($C640:AI640)&gt;0,AH305+1,0),0)</f>
        <v>0</v>
      </c>
      <c r="AJ305" s="163">
        <f>IF(AJ$2&lt;=analysis_period,IF(SUM($C640:AJ640)&gt;0,AI305+1,0),0)</f>
        <v>0</v>
      </c>
      <c r="AK305" s="163">
        <f>IF(AK$2&lt;=analysis_period,IF(SUM($C640:AK640)&gt;0,AJ305+1,0),0)</f>
        <v>0</v>
      </c>
      <c r="AL305" s="163">
        <f>IF(AL$2&lt;=analysis_period,IF(SUM($C640:AL640)&gt;0,AK305+1,0),0)</f>
        <v>0</v>
      </c>
      <c r="AM305" s="163">
        <f>IF(AM$2&lt;=analysis_period,IF(SUM($C640:AM640)&gt;0,AL305+1,0),0)</f>
        <v>0</v>
      </c>
      <c r="AN305" s="163">
        <f>IF(AN$2&lt;=analysis_period,IF(SUM($C640:AN640)&gt;0,AM305+1,0),0)</f>
        <v>0</v>
      </c>
      <c r="AO305" s="163">
        <f>IF(AO$2&lt;=analysis_period,IF(SUM($C640:AO640)&gt;0,AN305+1,0),0)</f>
        <v>0</v>
      </c>
      <c r="AP305" s="163">
        <f>IF(AP$2&lt;=analysis_period,IF(SUM($C640:AP640)&gt;0,AO305+1,0),0)</f>
        <v>0</v>
      </c>
    </row>
    <row r="306" spans="1:42" x14ac:dyDescent="0.2">
      <c r="A306" s="4">
        <f t="shared" ref="A306:A313" si="117">A305+1</f>
        <v>3</v>
      </c>
      <c r="B306" s="4">
        <v>0</v>
      </c>
      <c r="C306" s="163">
        <f>IF(C$2&lt;=analysis_period,IF(SUM($C641:C641)&gt;0,B306+1,0),0)</f>
        <v>0</v>
      </c>
      <c r="D306" s="163">
        <f>IF(D$2&lt;=analysis_period,IF(SUM($C641:D641)&gt;0,C306+1,0),0)</f>
        <v>0</v>
      </c>
      <c r="E306" s="163">
        <f>IF(E$2&lt;=analysis_period,IF(SUM($C641:E641)&gt;0,D306+1,0),0)</f>
        <v>0</v>
      </c>
      <c r="F306" s="163">
        <f>IF(F$2&lt;=analysis_period,IF(SUM($C641:F641)&gt;0,E306+1,0),0)</f>
        <v>0</v>
      </c>
      <c r="G306" s="163">
        <f>IF(G$2&lt;=analysis_period,IF(SUM($C641:G641)&gt;0,F306+1,0),0)</f>
        <v>0</v>
      </c>
      <c r="H306" s="163">
        <f>IF(H$2&lt;=analysis_period,IF(SUM($C641:H641)&gt;0,G306+1,0),0)</f>
        <v>0</v>
      </c>
      <c r="I306" s="163">
        <f>IF(I$2&lt;=analysis_period,IF(SUM($C641:I641)&gt;0,H306+1,0),0)</f>
        <v>0</v>
      </c>
      <c r="J306" s="163">
        <f>IF(J$2&lt;=analysis_period,IF(SUM($C641:J641)&gt;0,I306+1,0),0)</f>
        <v>0</v>
      </c>
      <c r="K306" s="163">
        <f>IF(K$2&lt;=analysis_period,IF(SUM($C641:K641)&gt;0,J306+1,0),0)</f>
        <v>0</v>
      </c>
      <c r="L306" s="163">
        <f>IF(L$2&lt;=analysis_period,IF(SUM($C641:L641)&gt;0,K306+1,0),0)</f>
        <v>0</v>
      </c>
      <c r="M306" s="163">
        <f>IF(M$2&lt;=analysis_period,IF(SUM($C641:M641)&gt;0,L306+1,0),0)</f>
        <v>0</v>
      </c>
      <c r="N306" s="163">
        <f>IF(N$2&lt;=analysis_period,IF(SUM($C641:N641)&gt;0,M306+1,0),0)</f>
        <v>0</v>
      </c>
      <c r="O306" s="163">
        <f>IF(O$2&lt;=analysis_period,IF(SUM($C641:O641)&gt;0,N306+1,0),0)</f>
        <v>0</v>
      </c>
      <c r="P306" s="163">
        <f>IF(P$2&lt;=analysis_period,IF(SUM($C641:P641)&gt;0,O306+1,0),0)</f>
        <v>0</v>
      </c>
      <c r="Q306" s="163">
        <f>IF(Q$2&lt;=analysis_period,IF(SUM($C641:Q641)&gt;0,P306+1,0),0)</f>
        <v>0</v>
      </c>
      <c r="R306" s="163">
        <f>IF(R$2&lt;=analysis_period,IF(SUM($C641:R641)&gt;0,Q306+1,0),0)</f>
        <v>0</v>
      </c>
      <c r="S306" s="163">
        <f>IF(S$2&lt;=analysis_period,IF(SUM($C641:S641)&gt;0,R306+1,0),0)</f>
        <v>0</v>
      </c>
      <c r="T306" s="163">
        <f>IF(T$2&lt;=analysis_period,IF(SUM($C641:T641)&gt;0,S306+1,0),0)</f>
        <v>0</v>
      </c>
      <c r="U306" s="163">
        <f>IF(U$2&lt;=analysis_period,IF(SUM($C641:U641)&gt;0,T306+1,0),0)</f>
        <v>0</v>
      </c>
      <c r="V306" s="163">
        <f>IF(V$2&lt;=analysis_period,IF(SUM($C641:V641)&gt;0,U306+1,0),0)</f>
        <v>0</v>
      </c>
      <c r="W306" s="163">
        <f>IF(W$2&lt;=analysis_period,IF(SUM($C641:W641)&gt;0,V306+1,0),0)</f>
        <v>0</v>
      </c>
      <c r="X306" s="163">
        <f>IF(X$2&lt;=analysis_period,IF(SUM($C641:X641)&gt;0,W306+1,0),0)</f>
        <v>0</v>
      </c>
      <c r="Y306" s="163">
        <f>IF(Y$2&lt;=analysis_period,IF(SUM($C641:Y641)&gt;0,X306+1,0),0)</f>
        <v>0</v>
      </c>
      <c r="Z306" s="163">
        <f>IF(Z$2&lt;=analysis_period,IF(SUM($C641:Z641)&gt;0,Y306+1,0),0)</f>
        <v>0</v>
      </c>
      <c r="AA306" s="163">
        <f>IF(AA$2&lt;=analysis_period,IF(SUM($C641:AA641)&gt;0,Z306+1,0),0)</f>
        <v>0</v>
      </c>
      <c r="AB306" s="163">
        <f>IF(AB$2&lt;=analysis_period,IF(SUM($C641:AB641)&gt;0,AA306+1,0),0)</f>
        <v>0</v>
      </c>
      <c r="AC306" s="163">
        <f>IF(AC$2&lt;=analysis_period,IF(SUM($C641:AC641)&gt;0,AB306+1,0),0)</f>
        <v>0</v>
      </c>
      <c r="AD306" s="163">
        <f>IF(AD$2&lt;=analysis_period,IF(SUM($C641:AD641)&gt;0,AC306+1,0),0)</f>
        <v>0</v>
      </c>
      <c r="AE306" s="163">
        <f>IF(AE$2&lt;=analysis_period,IF(SUM($C641:AE641)&gt;0,AD306+1,0),0)</f>
        <v>0</v>
      </c>
      <c r="AF306" s="163">
        <f>IF(AF$2&lt;=analysis_period,IF(SUM($C641:AF641)&gt;0,AE306+1,0),0)</f>
        <v>0</v>
      </c>
      <c r="AG306" s="163">
        <f>IF(AG$2&lt;=analysis_period,IF(SUM($C641:AG641)&gt;0,AF306+1,0),0)</f>
        <v>0</v>
      </c>
      <c r="AH306" s="163">
        <f>IF(AH$2&lt;=analysis_period,IF(SUM($C641:AH641)&gt;0,AG306+1,0),0)</f>
        <v>0</v>
      </c>
      <c r="AI306" s="163">
        <f>IF(AI$2&lt;=analysis_period,IF(SUM($C641:AI641)&gt;0,AH306+1,0),0)</f>
        <v>0</v>
      </c>
      <c r="AJ306" s="163">
        <f>IF(AJ$2&lt;=analysis_period,IF(SUM($C641:AJ641)&gt;0,AI306+1,0),0)</f>
        <v>0</v>
      </c>
      <c r="AK306" s="163">
        <f>IF(AK$2&lt;=analysis_period,IF(SUM($C641:AK641)&gt;0,AJ306+1,0),0)</f>
        <v>0</v>
      </c>
      <c r="AL306" s="163">
        <f>IF(AL$2&lt;=analysis_period,IF(SUM($C641:AL641)&gt;0,AK306+1,0),0)</f>
        <v>0</v>
      </c>
      <c r="AM306" s="163">
        <f>IF(AM$2&lt;=analysis_period,IF(SUM($C641:AM641)&gt;0,AL306+1,0),0)</f>
        <v>0</v>
      </c>
      <c r="AN306" s="163">
        <f>IF(AN$2&lt;=analysis_period,IF(SUM($C641:AN641)&gt;0,AM306+1,0),0)</f>
        <v>0</v>
      </c>
      <c r="AO306" s="163">
        <f>IF(AO$2&lt;=analysis_period,IF(SUM($C641:AO641)&gt;0,AN306+1,0),0)</f>
        <v>0</v>
      </c>
      <c r="AP306" s="163">
        <f>IF(AP$2&lt;=analysis_period,IF(SUM($C641:AP641)&gt;0,AO306+1,0),0)</f>
        <v>0</v>
      </c>
    </row>
    <row r="307" spans="1:42" x14ac:dyDescent="0.2">
      <c r="A307" s="4">
        <f t="shared" si="117"/>
        <v>4</v>
      </c>
      <c r="B307" s="4">
        <v>0</v>
      </c>
      <c r="C307" s="163">
        <f>IF(C$2&lt;=analysis_period,IF(SUM($C642:C642)&gt;0,B307+1,0),0)</f>
        <v>0</v>
      </c>
      <c r="D307" s="163">
        <f>IF(D$2&lt;=analysis_period,IF(SUM($C642:D642)&gt;0,C307+1,0),0)</f>
        <v>0</v>
      </c>
      <c r="E307" s="163">
        <f>IF(E$2&lt;=analysis_period,IF(SUM($C642:E642)&gt;0,D307+1,0),0)</f>
        <v>0</v>
      </c>
      <c r="F307" s="163">
        <f>IF(F$2&lt;=analysis_period,IF(SUM($C642:F642)&gt;0,E307+1,0),0)</f>
        <v>0</v>
      </c>
      <c r="G307" s="163">
        <f>IF(G$2&lt;=analysis_period,IF(SUM($C642:G642)&gt;0,F307+1,0),0)</f>
        <v>0</v>
      </c>
      <c r="H307" s="163">
        <f>IF(H$2&lt;=analysis_period,IF(SUM($C642:H642)&gt;0,G307+1,0),0)</f>
        <v>0</v>
      </c>
      <c r="I307" s="163">
        <f>IF(I$2&lt;=analysis_period,IF(SUM($C642:I642)&gt;0,H307+1,0),0)</f>
        <v>0</v>
      </c>
      <c r="J307" s="163">
        <f>IF(J$2&lt;=analysis_period,IF(SUM($C642:J642)&gt;0,I307+1,0),0)</f>
        <v>0</v>
      </c>
      <c r="K307" s="163">
        <f>IF(K$2&lt;=analysis_period,IF(SUM($C642:K642)&gt;0,J307+1,0),0)</f>
        <v>0</v>
      </c>
      <c r="L307" s="163">
        <f>IF(L$2&lt;=analysis_period,IF(SUM($C642:L642)&gt;0,K307+1,0),0)</f>
        <v>0</v>
      </c>
      <c r="M307" s="163">
        <f>IF(M$2&lt;=analysis_period,IF(SUM($C642:M642)&gt;0,L307+1,0),0)</f>
        <v>0</v>
      </c>
      <c r="N307" s="163">
        <f>IF(N$2&lt;=analysis_period,IF(SUM($C642:N642)&gt;0,M307+1,0),0)</f>
        <v>0</v>
      </c>
      <c r="O307" s="163">
        <f>IF(O$2&lt;=analysis_period,IF(SUM($C642:O642)&gt;0,N307+1,0),0)</f>
        <v>0</v>
      </c>
      <c r="P307" s="163">
        <f>IF(P$2&lt;=analysis_period,IF(SUM($C642:P642)&gt;0,O307+1,0),0)</f>
        <v>0</v>
      </c>
      <c r="Q307" s="163">
        <f>IF(Q$2&lt;=analysis_period,IF(SUM($C642:Q642)&gt;0,P307+1,0),0)</f>
        <v>0</v>
      </c>
      <c r="R307" s="163">
        <f>IF(R$2&lt;=analysis_period,IF(SUM($C642:R642)&gt;0,Q307+1,0),0)</f>
        <v>0</v>
      </c>
      <c r="S307" s="163">
        <f>IF(S$2&lt;=analysis_period,IF(SUM($C642:S642)&gt;0,R307+1,0),0)</f>
        <v>0</v>
      </c>
      <c r="T307" s="163">
        <f>IF(T$2&lt;=analysis_period,IF(SUM($C642:T642)&gt;0,S307+1,0),0)</f>
        <v>0</v>
      </c>
      <c r="U307" s="163">
        <f>IF(U$2&lt;=analysis_period,IF(SUM($C642:U642)&gt;0,T307+1,0),0)</f>
        <v>0</v>
      </c>
      <c r="V307" s="163">
        <f>IF(V$2&lt;=analysis_period,IF(SUM($C642:V642)&gt;0,U307+1,0),0)</f>
        <v>0</v>
      </c>
      <c r="W307" s="163">
        <f>IF(W$2&lt;=analysis_period,IF(SUM($C642:W642)&gt;0,V307+1,0),0)</f>
        <v>0</v>
      </c>
      <c r="X307" s="163">
        <f>IF(X$2&lt;=analysis_period,IF(SUM($C642:X642)&gt;0,W307+1,0),0)</f>
        <v>0</v>
      </c>
      <c r="Y307" s="163">
        <f>IF(Y$2&lt;=analysis_period,IF(SUM($C642:Y642)&gt;0,X307+1,0),0)</f>
        <v>0</v>
      </c>
      <c r="Z307" s="163">
        <f>IF(Z$2&lt;=analysis_period,IF(SUM($C642:Z642)&gt;0,Y307+1,0),0)</f>
        <v>0</v>
      </c>
      <c r="AA307" s="163">
        <f>IF(AA$2&lt;=analysis_period,IF(SUM($C642:AA642)&gt;0,Z307+1,0),0)</f>
        <v>0</v>
      </c>
      <c r="AB307" s="163">
        <f>IF(AB$2&lt;=analysis_period,IF(SUM($C642:AB642)&gt;0,AA307+1,0),0)</f>
        <v>0</v>
      </c>
      <c r="AC307" s="163">
        <f>IF(AC$2&lt;=analysis_period,IF(SUM($C642:AC642)&gt;0,AB307+1,0),0)</f>
        <v>0</v>
      </c>
      <c r="AD307" s="163">
        <f>IF(AD$2&lt;=analysis_period,IF(SUM($C642:AD642)&gt;0,AC307+1,0),0)</f>
        <v>0</v>
      </c>
      <c r="AE307" s="163">
        <f>IF(AE$2&lt;=analysis_period,IF(SUM($C642:AE642)&gt;0,AD307+1,0),0)</f>
        <v>0</v>
      </c>
      <c r="AF307" s="163">
        <f>IF(AF$2&lt;=analysis_period,IF(SUM($C642:AF642)&gt;0,AE307+1,0),0)</f>
        <v>0</v>
      </c>
      <c r="AG307" s="163">
        <f>IF(AG$2&lt;=analysis_period,IF(SUM($C642:AG642)&gt;0,AF307+1,0),0)</f>
        <v>0</v>
      </c>
      <c r="AH307" s="163">
        <f>IF(AH$2&lt;=analysis_period,IF(SUM($C642:AH642)&gt;0,AG307+1,0),0)</f>
        <v>0</v>
      </c>
      <c r="AI307" s="163">
        <f>IF(AI$2&lt;=analysis_period,IF(SUM($C642:AI642)&gt;0,AH307+1,0),0)</f>
        <v>0</v>
      </c>
      <c r="AJ307" s="163">
        <f>IF(AJ$2&lt;=analysis_period,IF(SUM($C642:AJ642)&gt;0,AI307+1,0),0)</f>
        <v>0</v>
      </c>
      <c r="AK307" s="163">
        <f>IF(AK$2&lt;=analysis_period,IF(SUM($C642:AK642)&gt;0,AJ307+1,0),0)</f>
        <v>0</v>
      </c>
      <c r="AL307" s="163">
        <f>IF(AL$2&lt;=analysis_period,IF(SUM($C642:AL642)&gt;0,AK307+1,0),0)</f>
        <v>0</v>
      </c>
      <c r="AM307" s="163">
        <f>IF(AM$2&lt;=analysis_period,IF(SUM($C642:AM642)&gt;0,AL307+1,0),0)</f>
        <v>0</v>
      </c>
      <c r="AN307" s="163">
        <f>IF(AN$2&lt;=analysis_period,IF(SUM($C642:AN642)&gt;0,AM307+1,0),0)</f>
        <v>0</v>
      </c>
      <c r="AO307" s="163">
        <f>IF(AO$2&lt;=analysis_period,IF(SUM($C642:AO642)&gt;0,AN307+1,0),0)</f>
        <v>0</v>
      </c>
      <c r="AP307" s="163">
        <f>IF(AP$2&lt;=analysis_period,IF(SUM($C642:AP642)&gt;0,AO307+1,0),0)</f>
        <v>0</v>
      </c>
    </row>
    <row r="308" spans="1:42" x14ac:dyDescent="0.2">
      <c r="A308" s="4">
        <f t="shared" si="117"/>
        <v>5</v>
      </c>
      <c r="B308" s="4">
        <v>0</v>
      </c>
      <c r="C308" s="163">
        <f>IF(C$2&lt;=analysis_period,IF(SUM($C643:C643)&gt;0,B308+1,0),0)</f>
        <v>0</v>
      </c>
      <c r="D308" s="163">
        <f>IF(D$2&lt;=analysis_period,IF(SUM($C643:D643)&gt;0,C308+1,0),0)</f>
        <v>0</v>
      </c>
      <c r="E308" s="163">
        <f>IF(E$2&lt;=analysis_period,IF(SUM($C643:E643)&gt;0,D308+1,0),0)</f>
        <v>0</v>
      </c>
      <c r="F308" s="163">
        <f>IF(F$2&lt;=analysis_period,IF(SUM($C643:F643)&gt;0,E308+1,0),0)</f>
        <v>0</v>
      </c>
      <c r="G308" s="163">
        <f>IF(G$2&lt;=analysis_period,IF(SUM($C643:G643)&gt;0,F308+1,0),0)</f>
        <v>0</v>
      </c>
      <c r="H308" s="163">
        <f>IF(H$2&lt;=analysis_period,IF(SUM($C643:H643)&gt;0,G308+1,0),0)</f>
        <v>0</v>
      </c>
      <c r="I308" s="163">
        <f>IF(I$2&lt;=analysis_period,IF(SUM($C643:I643)&gt;0,H308+1,0),0)</f>
        <v>0</v>
      </c>
      <c r="J308" s="163">
        <f>IF(J$2&lt;=analysis_period,IF(SUM($C643:J643)&gt;0,I308+1,0),0)</f>
        <v>0</v>
      </c>
      <c r="K308" s="163">
        <f>IF(K$2&lt;=analysis_period,IF(SUM($C643:K643)&gt;0,J308+1,0),0)</f>
        <v>0</v>
      </c>
      <c r="L308" s="163">
        <f>IF(L$2&lt;=analysis_period,IF(SUM($C643:L643)&gt;0,K308+1,0),0)</f>
        <v>0</v>
      </c>
      <c r="M308" s="163">
        <f>IF(M$2&lt;=analysis_period,IF(SUM($C643:M643)&gt;0,L308+1,0),0)</f>
        <v>0</v>
      </c>
      <c r="N308" s="163">
        <f>IF(N$2&lt;=analysis_period,IF(SUM($C643:N643)&gt;0,M308+1,0),0)</f>
        <v>0</v>
      </c>
      <c r="O308" s="163">
        <f>IF(O$2&lt;=analysis_period,IF(SUM($C643:O643)&gt;0,N308+1,0),0)</f>
        <v>0</v>
      </c>
      <c r="P308" s="163">
        <f>IF(P$2&lt;=analysis_period,IF(SUM($C643:P643)&gt;0,O308+1,0),0)</f>
        <v>0</v>
      </c>
      <c r="Q308" s="163">
        <f>IF(Q$2&lt;=analysis_period,IF(SUM($C643:Q643)&gt;0,P308+1,0),0)</f>
        <v>0</v>
      </c>
      <c r="R308" s="163">
        <f>IF(R$2&lt;=analysis_period,IF(SUM($C643:R643)&gt;0,Q308+1,0),0)</f>
        <v>0</v>
      </c>
      <c r="S308" s="163">
        <f>IF(S$2&lt;=analysis_period,IF(SUM($C643:S643)&gt;0,R308+1,0),0)</f>
        <v>0</v>
      </c>
      <c r="T308" s="163">
        <f>IF(T$2&lt;=analysis_period,IF(SUM($C643:T643)&gt;0,S308+1,0),0)</f>
        <v>0</v>
      </c>
      <c r="U308" s="163">
        <f>IF(U$2&lt;=analysis_period,IF(SUM($C643:U643)&gt;0,T308+1,0),0)</f>
        <v>0</v>
      </c>
      <c r="V308" s="163">
        <f>IF(V$2&lt;=analysis_period,IF(SUM($C643:V643)&gt;0,U308+1,0),0)</f>
        <v>0</v>
      </c>
      <c r="W308" s="163">
        <f>IF(W$2&lt;=analysis_period,IF(SUM($C643:W643)&gt;0,V308+1,0),0)</f>
        <v>0</v>
      </c>
      <c r="X308" s="163">
        <f>IF(X$2&lt;=analysis_period,IF(SUM($C643:X643)&gt;0,W308+1,0),0)</f>
        <v>0</v>
      </c>
      <c r="Y308" s="163">
        <f>IF(Y$2&lt;=analysis_period,IF(SUM($C643:Y643)&gt;0,X308+1,0),0)</f>
        <v>0</v>
      </c>
      <c r="Z308" s="163">
        <f>IF(Z$2&lt;=analysis_period,IF(SUM($C643:Z643)&gt;0,Y308+1,0),0)</f>
        <v>0</v>
      </c>
      <c r="AA308" s="163">
        <f>IF(AA$2&lt;=analysis_period,IF(SUM($C643:AA643)&gt;0,Z308+1,0),0)</f>
        <v>0</v>
      </c>
      <c r="AB308" s="163">
        <f>IF(AB$2&lt;=analysis_period,IF(SUM($C643:AB643)&gt;0,AA308+1,0),0)</f>
        <v>0</v>
      </c>
      <c r="AC308" s="163">
        <f>IF(AC$2&lt;=analysis_period,IF(SUM($C643:AC643)&gt;0,AB308+1,0),0)</f>
        <v>0</v>
      </c>
      <c r="AD308" s="163">
        <f>IF(AD$2&lt;=analysis_period,IF(SUM($C643:AD643)&gt;0,AC308+1,0),0)</f>
        <v>0</v>
      </c>
      <c r="AE308" s="163">
        <f>IF(AE$2&lt;=analysis_period,IF(SUM($C643:AE643)&gt;0,AD308+1,0),0)</f>
        <v>0</v>
      </c>
      <c r="AF308" s="163">
        <f>IF(AF$2&lt;=analysis_period,IF(SUM($C643:AF643)&gt;0,AE308+1,0),0)</f>
        <v>0</v>
      </c>
      <c r="AG308" s="163">
        <f>IF(AG$2&lt;=analysis_period,IF(SUM($C643:AG643)&gt;0,AF308+1,0),0)</f>
        <v>0</v>
      </c>
      <c r="AH308" s="163">
        <f>IF(AH$2&lt;=analysis_period,IF(SUM($C643:AH643)&gt;0,AG308+1,0),0)</f>
        <v>0</v>
      </c>
      <c r="AI308" s="163">
        <f>IF(AI$2&lt;=analysis_period,IF(SUM($C643:AI643)&gt;0,AH308+1,0),0)</f>
        <v>0</v>
      </c>
      <c r="AJ308" s="163">
        <f>IF(AJ$2&lt;=analysis_period,IF(SUM($C643:AJ643)&gt;0,AI308+1,0),0)</f>
        <v>0</v>
      </c>
      <c r="AK308" s="163">
        <f>IF(AK$2&lt;=analysis_period,IF(SUM($C643:AK643)&gt;0,AJ308+1,0),0)</f>
        <v>0</v>
      </c>
      <c r="AL308" s="163">
        <f>IF(AL$2&lt;=analysis_period,IF(SUM($C643:AL643)&gt;0,AK308+1,0),0)</f>
        <v>0</v>
      </c>
      <c r="AM308" s="163">
        <f>IF(AM$2&lt;=analysis_period,IF(SUM($C643:AM643)&gt;0,AL308+1,0),0)</f>
        <v>0</v>
      </c>
      <c r="AN308" s="163">
        <f>IF(AN$2&lt;=analysis_period,IF(SUM($C643:AN643)&gt;0,AM308+1,0),0)</f>
        <v>0</v>
      </c>
      <c r="AO308" s="163">
        <f>IF(AO$2&lt;=analysis_period,IF(SUM($C643:AO643)&gt;0,AN308+1,0),0)</f>
        <v>0</v>
      </c>
      <c r="AP308" s="163">
        <f>IF(AP$2&lt;=analysis_period,IF(SUM($C643:AP643)&gt;0,AO308+1,0),0)</f>
        <v>0</v>
      </c>
    </row>
    <row r="309" spans="1:42" x14ac:dyDescent="0.2">
      <c r="A309" s="4">
        <f t="shared" si="117"/>
        <v>6</v>
      </c>
      <c r="B309" s="4">
        <v>0</v>
      </c>
      <c r="C309" s="163">
        <f>IF(C$2&lt;=analysis_period,IF(SUM($C644:C644)&gt;0,B309+1,0),0)</f>
        <v>0</v>
      </c>
      <c r="D309" s="163">
        <f>IF(D$2&lt;=analysis_period,IF(SUM($C644:D644)&gt;0,C309+1,0),0)</f>
        <v>0</v>
      </c>
      <c r="E309" s="163">
        <f>IF(E$2&lt;=analysis_period,IF(SUM($C644:E644)&gt;0,D309+1,0),0)</f>
        <v>0</v>
      </c>
      <c r="F309" s="163">
        <f>IF(F$2&lt;=analysis_period,IF(SUM($C644:F644)&gt;0,E309+1,0),0)</f>
        <v>0</v>
      </c>
      <c r="G309" s="163">
        <f>IF(G$2&lt;=analysis_period,IF(SUM($C644:G644)&gt;0,F309+1,0),0)</f>
        <v>0</v>
      </c>
      <c r="H309" s="163">
        <f>IF(H$2&lt;=analysis_period,IF(SUM($C644:H644)&gt;0,G309+1,0),0)</f>
        <v>0</v>
      </c>
      <c r="I309" s="163">
        <f>IF(I$2&lt;=analysis_period,IF(SUM($C644:I644)&gt;0,H309+1,0),0)</f>
        <v>0</v>
      </c>
      <c r="J309" s="163">
        <f>IF(J$2&lt;=analysis_period,IF(SUM($C644:J644)&gt;0,I309+1,0),0)</f>
        <v>0</v>
      </c>
      <c r="K309" s="163">
        <f>IF(K$2&lt;=analysis_period,IF(SUM($C644:K644)&gt;0,J309+1,0),0)</f>
        <v>0</v>
      </c>
      <c r="L309" s="163">
        <f>IF(L$2&lt;=analysis_period,IF(SUM($C644:L644)&gt;0,K309+1,0),0)</f>
        <v>0</v>
      </c>
      <c r="M309" s="163">
        <f>IF(M$2&lt;=analysis_period,IF(SUM($C644:M644)&gt;0,L309+1,0),0)</f>
        <v>0</v>
      </c>
      <c r="N309" s="163">
        <f>IF(N$2&lt;=analysis_period,IF(SUM($C644:N644)&gt;0,M309+1,0),0)</f>
        <v>0</v>
      </c>
      <c r="O309" s="163">
        <f>IF(O$2&lt;=analysis_period,IF(SUM($C644:O644)&gt;0,N309+1,0),0)</f>
        <v>0</v>
      </c>
      <c r="P309" s="163">
        <f>IF(P$2&lt;=analysis_period,IF(SUM($C644:P644)&gt;0,O309+1,0),0)</f>
        <v>0</v>
      </c>
      <c r="Q309" s="163">
        <f>IF(Q$2&lt;=analysis_period,IF(SUM($C644:Q644)&gt;0,P309+1,0),0)</f>
        <v>0</v>
      </c>
      <c r="R309" s="163">
        <f>IF(R$2&lt;=analysis_period,IF(SUM($C644:R644)&gt;0,Q309+1,0),0)</f>
        <v>0</v>
      </c>
      <c r="S309" s="163">
        <f>IF(S$2&lt;=analysis_period,IF(SUM($C644:S644)&gt;0,R309+1,0),0)</f>
        <v>0</v>
      </c>
      <c r="T309" s="163">
        <f>IF(T$2&lt;=analysis_period,IF(SUM($C644:T644)&gt;0,S309+1,0),0)</f>
        <v>0</v>
      </c>
      <c r="U309" s="163">
        <f>IF(U$2&lt;=analysis_period,IF(SUM($C644:U644)&gt;0,T309+1,0),0)</f>
        <v>0</v>
      </c>
      <c r="V309" s="163">
        <f>IF(V$2&lt;=analysis_period,IF(SUM($C644:V644)&gt;0,U309+1,0),0)</f>
        <v>0</v>
      </c>
      <c r="W309" s="163">
        <f>IF(W$2&lt;=analysis_period,IF(SUM($C644:W644)&gt;0,V309+1,0),0)</f>
        <v>0</v>
      </c>
      <c r="X309" s="163">
        <f>IF(X$2&lt;=analysis_period,IF(SUM($C644:X644)&gt;0,W309+1,0),0)</f>
        <v>0</v>
      </c>
      <c r="Y309" s="163">
        <f>IF(Y$2&lt;=analysis_period,IF(SUM($C644:Y644)&gt;0,X309+1,0),0)</f>
        <v>0</v>
      </c>
      <c r="Z309" s="163">
        <f>IF(Z$2&lt;=analysis_period,IF(SUM($C644:Z644)&gt;0,Y309+1,0),0)</f>
        <v>0</v>
      </c>
      <c r="AA309" s="163">
        <f>IF(AA$2&lt;=analysis_period,IF(SUM($C644:AA644)&gt;0,Z309+1,0),0)</f>
        <v>0</v>
      </c>
      <c r="AB309" s="163">
        <f>IF(AB$2&lt;=analysis_period,IF(SUM($C644:AB644)&gt;0,AA309+1,0),0)</f>
        <v>0</v>
      </c>
      <c r="AC309" s="163">
        <f>IF(AC$2&lt;=analysis_period,IF(SUM($C644:AC644)&gt;0,AB309+1,0),0)</f>
        <v>0</v>
      </c>
      <c r="AD309" s="163">
        <f>IF(AD$2&lt;=analysis_period,IF(SUM($C644:AD644)&gt;0,AC309+1,0),0)</f>
        <v>0</v>
      </c>
      <c r="AE309" s="163">
        <f>IF(AE$2&lt;=analysis_period,IF(SUM($C644:AE644)&gt;0,AD309+1,0),0)</f>
        <v>0</v>
      </c>
      <c r="AF309" s="163">
        <f>IF(AF$2&lt;=analysis_period,IF(SUM($C644:AF644)&gt;0,AE309+1,0),0)</f>
        <v>0</v>
      </c>
      <c r="AG309" s="163">
        <f>IF(AG$2&lt;=analysis_period,IF(SUM($C644:AG644)&gt;0,AF309+1,0),0)</f>
        <v>0</v>
      </c>
      <c r="AH309" s="163">
        <f>IF(AH$2&lt;=analysis_period,IF(SUM($C644:AH644)&gt;0,AG309+1,0),0)</f>
        <v>0</v>
      </c>
      <c r="AI309" s="163">
        <f>IF(AI$2&lt;=analysis_period,IF(SUM($C644:AI644)&gt;0,AH309+1,0),0)</f>
        <v>0</v>
      </c>
      <c r="AJ309" s="163">
        <f>IF(AJ$2&lt;=analysis_period,IF(SUM($C644:AJ644)&gt;0,AI309+1,0),0)</f>
        <v>0</v>
      </c>
      <c r="AK309" s="163">
        <f>IF(AK$2&lt;=analysis_period,IF(SUM($C644:AK644)&gt;0,AJ309+1,0),0)</f>
        <v>0</v>
      </c>
      <c r="AL309" s="163">
        <f>IF(AL$2&lt;=analysis_period,IF(SUM($C644:AL644)&gt;0,AK309+1,0),0)</f>
        <v>0</v>
      </c>
      <c r="AM309" s="163">
        <f>IF(AM$2&lt;=analysis_period,IF(SUM($C644:AM644)&gt;0,AL309+1,0),0)</f>
        <v>0</v>
      </c>
      <c r="AN309" s="163">
        <f>IF(AN$2&lt;=analysis_period,IF(SUM($C644:AN644)&gt;0,AM309+1,0),0)</f>
        <v>0</v>
      </c>
      <c r="AO309" s="163">
        <f>IF(AO$2&lt;=analysis_period,IF(SUM($C644:AO644)&gt;0,AN309+1,0),0)</f>
        <v>0</v>
      </c>
      <c r="AP309" s="163">
        <f>IF(AP$2&lt;=analysis_period,IF(SUM($C644:AP644)&gt;0,AO309+1,0),0)</f>
        <v>0</v>
      </c>
    </row>
    <row r="310" spans="1:42" x14ac:dyDescent="0.2">
      <c r="A310" s="4">
        <f t="shared" si="117"/>
        <v>7</v>
      </c>
      <c r="B310" s="4">
        <v>0</v>
      </c>
      <c r="C310" s="163">
        <f>IF(C$2&lt;=analysis_period,IF(SUM($C645:C645)&gt;0,B310+1,0),0)</f>
        <v>0</v>
      </c>
      <c r="D310" s="163">
        <f>IF(D$2&lt;=analysis_period,IF(SUM($C645:D645)&gt;0,C310+1,0),0)</f>
        <v>0</v>
      </c>
      <c r="E310" s="163">
        <f>IF(E$2&lt;=analysis_period,IF(SUM($C645:E645)&gt;0,D310+1,0),0)</f>
        <v>0</v>
      </c>
      <c r="F310" s="163">
        <f>IF(F$2&lt;=analysis_period,IF(SUM($C645:F645)&gt;0,E310+1,0),0)</f>
        <v>0</v>
      </c>
      <c r="G310" s="163">
        <f>IF(G$2&lt;=analysis_period,IF(SUM($C645:G645)&gt;0,F310+1,0),0)</f>
        <v>0</v>
      </c>
      <c r="H310" s="163">
        <f>IF(H$2&lt;=analysis_period,IF(SUM($C645:H645)&gt;0,G310+1,0),0)</f>
        <v>0</v>
      </c>
      <c r="I310" s="163">
        <f>IF(I$2&lt;=analysis_period,IF(SUM($C645:I645)&gt;0,H310+1,0),0)</f>
        <v>0</v>
      </c>
      <c r="J310" s="163">
        <f>IF(J$2&lt;=analysis_period,IF(SUM($C645:J645)&gt;0,I310+1,0),0)</f>
        <v>0</v>
      </c>
      <c r="K310" s="163">
        <f>IF(K$2&lt;=analysis_period,IF(SUM($C645:K645)&gt;0,J310+1,0),0)</f>
        <v>0</v>
      </c>
      <c r="L310" s="163">
        <f>IF(L$2&lt;=analysis_period,IF(SUM($C645:L645)&gt;0,K310+1,0),0)</f>
        <v>0</v>
      </c>
      <c r="M310" s="163">
        <f>IF(M$2&lt;=analysis_period,IF(SUM($C645:M645)&gt;0,L310+1,0),0)</f>
        <v>0</v>
      </c>
      <c r="N310" s="163">
        <f>IF(N$2&lt;=analysis_period,IF(SUM($C645:N645)&gt;0,M310+1,0),0)</f>
        <v>0</v>
      </c>
      <c r="O310" s="163">
        <f>IF(O$2&lt;=analysis_period,IF(SUM($C645:O645)&gt;0,N310+1,0),0)</f>
        <v>0</v>
      </c>
      <c r="P310" s="163">
        <f>IF(P$2&lt;=analysis_period,IF(SUM($C645:P645)&gt;0,O310+1,0),0)</f>
        <v>0</v>
      </c>
      <c r="Q310" s="163">
        <f>IF(Q$2&lt;=analysis_period,IF(SUM($C645:Q645)&gt;0,P310+1,0),0)</f>
        <v>0</v>
      </c>
      <c r="R310" s="163">
        <f>IF(R$2&lt;=analysis_period,IF(SUM($C645:R645)&gt;0,Q310+1,0),0)</f>
        <v>0</v>
      </c>
      <c r="S310" s="163">
        <f>IF(S$2&lt;=analysis_period,IF(SUM($C645:S645)&gt;0,R310+1,0),0)</f>
        <v>0</v>
      </c>
      <c r="T310" s="163">
        <f>IF(T$2&lt;=analysis_period,IF(SUM($C645:T645)&gt;0,S310+1,0),0)</f>
        <v>0</v>
      </c>
      <c r="U310" s="163">
        <f>IF(U$2&lt;=analysis_period,IF(SUM($C645:U645)&gt;0,T310+1,0),0)</f>
        <v>0</v>
      </c>
      <c r="V310" s="163">
        <f>IF(V$2&lt;=analysis_period,IF(SUM($C645:V645)&gt;0,U310+1,0),0)</f>
        <v>0</v>
      </c>
      <c r="W310" s="163">
        <f>IF(W$2&lt;=analysis_period,IF(SUM($C645:W645)&gt;0,V310+1,0),0)</f>
        <v>0</v>
      </c>
      <c r="X310" s="163">
        <f>IF(X$2&lt;=analysis_period,IF(SUM($C645:X645)&gt;0,W310+1,0),0)</f>
        <v>0</v>
      </c>
      <c r="Y310" s="163">
        <f>IF(Y$2&lt;=analysis_period,IF(SUM($C645:Y645)&gt;0,X310+1,0),0)</f>
        <v>0</v>
      </c>
      <c r="Z310" s="163">
        <f>IF(Z$2&lt;=analysis_period,IF(SUM($C645:Z645)&gt;0,Y310+1,0),0)</f>
        <v>0</v>
      </c>
      <c r="AA310" s="163">
        <f>IF(AA$2&lt;=analysis_period,IF(SUM($C645:AA645)&gt;0,Z310+1,0),0)</f>
        <v>0</v>
      </c>
      <c r="AB310" s="163">
        <f>IF(AB$2&lt;=analysis_period,IF(SUM($C645:AB645)&gt;0,AA310+1,0),0)</f>
        <v>0</v>
      </c>
      <c r="AC310" s="163">
        <f>IF(AC$2&lt;=analysis_period,IF(SUM($C645:AC645)&gt;0,AB310+1,0),0)</f>
        <v>0</v>
      </c>
      <c r="AD310" s="163">
        <f>IF(AD$2&lt;=analysis_period,IF(SUM($C645:AD645)&gt;0,AC310+1,0),0)</f>
        <v>0</v>
      </c>
      <c r="AE310" s="163">
        <f>IF(AE$2&lt;=analysis_period,IF(SUM($C645:AE645)&gt;0,AD310+1,0),0)</f>
        <v>0</v>
      </c>
      <c r="AF310" s="163">
        <f>IF(AF$2&lt;=analysis_period,IF(SUM($C645:AF645)&gt;0,AE310+1,0),0)</f>
        <v>0</v>
      </c>
      <c r="AG310" s="163">
        <f>IF(AG$2&lt;=analysis_period,IF(SUM($C645:AG645)&gt;0,AF310+1,0),0)</f>
        <v>0</v>
      </c>
      <c r="AH310" s="163">
        <f>IF(AH$2&lt;=analysis_period,IF(SUM($C645:AH645)&gt;0,AG310+1,0),0)</f>
        <v>0</v>
      </c>
      <c r="AI310" s="163">
        <f>IF(AI$2&lt;=analysis_period,IF(SUM($C645:AI645)&gt;0,AH310+1,0),0)</f>
        <v>0</v>
      </c>
      <c r="AJ310" s="163">
        <f>IF(AJ$2&lt;=analysis_period,IF(SUM($C645:AJ645)&gt;0,AI310+1,0),0)</f>
        <v>0</v>
      </c>
      <c r="AK310" s="163">
        <f>IF(AK$2&lt;=analysis_period,IF(SUM($C645:AK645)&gt;0,AJ310+1,0),0)</f>
        <v>0</v>
      </c>
      <c r="AL310" s="163">
        <f>IF(AL$2&lt;=analysis_period,IF(SUM($C645:AL645)&gt;0,AK310+1,0),0)</f>
        <v>0</v>
      </c>
      <c r="AM310" s="163">
        <f>IF(AM$2&lt;=analysis_period,IF(SUM($C645:AM645)&gt;0,AL310+1,0),0)</f>
        <v>0</v>
      </c>
      <c r="AN310" s="163">
        <f>IF(AN$2&lt;=analysis_period,IF(SUM($C645:AN645)&gt;0,AM310+1,0),0)</f>
        <v>0</v>
      </c>
      <c r="AO310" s="163">
        <f>IF(AO$2&lt;=analysis_period,IF(SUM($C645:AO645)&gt;0,AN310+1,0),0)</f>
        <v>0</v>
      </c>
      <c r="AP310" s="163">
        <f>IF(AP$2&lt;=analysis_period,IF(SUM($C645:AP645)&gt;0,AO310+1,0),0)</f>
        <v>0</v>
      </c>
    </row>
    <row r="311" spans="1:42" x14ac:dyDescent="0.2">
      <c r="A311" s="4">
        <f t="shared" si="117"/>
        <v>8</v>
      </c>
      <c r="B311" s="4">
        <v>0</v>
      </c>
      <c r="C311" s="163">
        <f>IF(C$2&lt;=analysis_period,IF(SUM($C646:C646)&gt;0,B311+1,0),0)</f>
        <v>0</v>
      </c>
      <c r="D311" s="163">
        <f>IF(D$2&lt;=analysis_period,IF(SUM($C646:D646)&gt;0,C311+1,0),0)</f>
        <v>0</v>
      </c>
      <c r="E311" s="163">
        <f>IF(E$2&lt;=analysis_period,IF(SUM($C646:E646)&gt;0,D311+1,0),0)</f>
        <v>0</v>
      </c>
      <c r="F311" s="163">
        <f>IF(F$2&lt;=analysis_period,IF(SUM($C646:F646)&gt;0,E311+1,0),0)</f>
        <v>0</v>
      </c>
      <c r="G311" s="163">
        <f>IF(G$2&lt;=analysis_period,IF(SUM($C646:G646)&gt;0,F311+1,0),0)</f>
        <v>0</v>
      </c>
      <c r="H311" s="163">
        <f>IF(H$2&lt;=analysis_period,IF(SUM($C646:H646)&gt;0,G311+1,0),0)</f>
        <v>0</v>
      </c>
      <c r="I311" s="163">
        <f>IF(I$2&lt;=analysis_period,IF(SUM($C646:I646)&gt;0,H311+1,0),0)</f>
        <v>0</v>
      </c>
      <c r="J311" s="163">
        <f>IF(J$2&lt;=analysis_period,IF(SUM($C646:J646)&gt;0,I311+1,0),0)</f>
        <v>0</v>
      </c>
      <c r="K311" s="163">
        <f>IF(K$2&lt;=analysis_period,IF(SUM($C646:K646)&gt;0,J311+1,0),0)</f>
        <v>0</v>
      </c>
      <c r="L311" s="163">
        <f>IF(L$2&lt;=analysis_period,IF(SUM($C646:L646)&gt;0,K311+1,0),0)</f>
        <v>0</v>
      </c>
      <c r="M311" s="163">
        <f>IF(M$2&lt;=analysis_period,IF(SUM($C646:M646)&gt;0,L311+1,0),0)</f>
        <v>0</v>
      </c>
      <c r="N311" s="163">
        <f>IF(N$2&lt;=analysis_period,IF(SUM($C646:N646)&gt;0,M311+1,0),0)</f>
        <v>0</v>
      </c>
      <c r="O311" s="163">
        <f>IF(O$2&lt;=analysis_period,IF(SUM($C646:O646)&gt;0,N311+1,0),0)</f>
        <v>0</v>
      </c>
      <c r="P311" s="163">
        <f>IF(P$2&lt;=analysis_period,IF(SUM($C646:P646)&gt;0,O311+1,0),0)</f>
        <v>0</v>
      </c>
      <c r="Q311" s="163">
        <f>IF(Q$2&lt;=analysis_period,IF(SUM($C646:Q646)&gt;0,P311+1,0),0)</f>
        <v>0</v>
      </c>
      <c r="R311" s="163">
        <f>IF(R$2&lt;=analysis_period,IF(SUM($C646:R646)&gt;0,Q311+1,0),0)</f>
        <v>0</v>
      </c>
      <c r="S311" s="163">
        <f>IF(S$2&lt;=analysis_period,IF(SUM($C646:S646)&gt;0,R311+1,0),0)</f>
        <v>0</v>
      </c>
      <c r="T311" s="163">
        <f>IF(T$2&lt;=analysis_period,IF(SUM($C646:T646)&gt;0,S311+1,0),0)</f>
        <v>0</v>
      </c>
      <c r="U311" s="163">
        <f>IF(U$2&lt;=analysis_period,IF(SUM($C646:U646)&gt;0,T311+1,0),0)</f>
        <v>0</v>
      </c>
      <c r="V311" s="163">
        <f>IF(V$2&lt;=analysis_period,IF(SUM($C646:V646)&gt;0,U311+1,0),0)</f>
        <v>0</v>
      </c>
      <c r="W311" s="163">
        <f>IF(W$2&lt;=analysis_period,IF(SUM($C646:W646)&gt;0,V311+1,0),0)</f>
        <v>0</v>
      </c>
      <c r="X311" s="163">
        <f>IF(X$2&lt;=analysis_period,IF(SUM($C646:X646)&gt;0,W311+1,0),0)</f>
        <v>0</v>
      </c>
      <c r="Y311" s="163">
        <f>IF(Y$2&lt;=analysis_period,IF(SUM($C646:Y646)&gt;0,X311+1,0),0)</f>
        <v>0</v>
      </c>
      <c r="Z311" s="163">
        <f>IF(Z$2&lt;=analysis_period,IF(SUM($C646:Z646)&gt;0,Y311+1,0),0)</f>
        <v>0</v>
      </c>
      <c r="AA311" s="163">
        <f>IF(AA$2&lt;=analysis_period,IF(SUM($C646:AA646)&gt;0,Z311+1,0),0)</f>
        <v>0</v>
      </c>
      <c r="AB311" s="163">
        <f>IF(AB$2&lt;=analysis_period,IF(SUM($C646:AB646)&gt;0,AA311+1,0),0)</f>
        <v>0</v>
      </c>
      <c r="AC311" s="163">
        <f>IF(AC$2&lt;=analysis_period,IF(SUM($C646:AC646)&gt;0,AB311+1,0),0)</f>
        <v>0</v>
      </c>
      <c r="AD311" s="163">
        <f>IF(AD$2&lt;=analysis_period,IF(SUM($C646:AD646)&gt;0,AC311+1,0),0)</f>
        <v>0</v>
      </c>
      <c r="AE311" s="163">
        <f>IF(AE$2&lt;=analysis_period,IF(SUM($C646:AE646)&gt;0,AD311+1,0),0)</f>
        <v>0</v>
      </c>
      <c r="AF311" s="163">
        <f>IF(AF$2&lt;=analysis_period,IF(SUM($C646:AF646)&gt;0,AE311+1,0),0)</f>
        <v>0</v>
      </c>
      <c r="AG311" s="163">
        <f>IF(AG$2&lt;=analysis_period,IF(SUM($C646:AG646)&gt;0,AF311+1,0),0)</f>
        <v>0</v>
      </c>
      <c r="AH311" s="163">
        <f>IF(AH$2&lt;=analysis_period,IF(SUM($C646:AH646)&gt;0,AG311+1,0),0)</f>
        <v>0</v>
      </c>
      <c r="AI311" s="163">
        <f>IF(AI$2&lt;=analysis_period,IF(SUM($C646:AI646)&gt;0,AH311+1,0),0)</f>
        <v>0</v>
      </c>
      <c r="AJ311" s="163">
        <f>IF(AJ$2&lt;=analysis_period,IF(SUM($C646:AJ646)&gt;0,AI311+1,0),0)</f>
        <v>0</v>
      </c>
      <c r="AK311" s="163">
        <f>IF(AK$2&lt;=analysis_period,IF(SUM($C646:AK646)&gt;0,AJ311+1,0),0)</f>
        <v>0</v>
      </c>
      <c r="AL311" s="163">
        <f>IF(AL$2&lt;=analysis_period,IF(SUM($C646:AL646)&gt;0,AK311+1,0),0)</f>
        <v>0</v>
      </c>
      <c r="AM311" s="163">
        <f>IF(AM$2&lt;=analysis_period,IF(SUM($C646:AM646)&gt;0,AL311+1,0),0)</f>
        <v>0</v>
      </c>
      <c r="AN311" s="163">
        <f>IF(AN$2&lt;=analysis_period,IF(SUM($C646:AN646)&gt;0,AM311+1,0),0)</f>
        <v>0</v>
      </c>
      <c r="AO311" s="163">
        <f>IF(AO$2&lt;=analysis_period,IF(SUM($C646:AO646)&gt;0,AN311+1,0),0)</f>
        <v>0</v>
      </c>
      <c r="AP311" s="163">
        <f>IF(AP$2&lt;=analysis_period,IF(SUM($C646:AP646)&gt;0,AO311+1,0),0)</f>
        <v>0</v>
      </c>
    </row>
    <row r="312" spans="1:42" x14ac:dyDescent="0.2">
      <c r="A312" s="4">
        <f>A311+1</f>
        <v>9</v>
      </c>
      <c r="B312" s="4">
        <v>0</v>
      </c>
      <c r="C312" s="163">
        <f>IF(C$2&lt;=analysis_period,IF(SUM($C647:C647)&gt;0,B312+1,0),0)</f>
        <v>0</v>
      </c>
      <c r="D312" s="163">
        <f>IF(D$2&lt;=analysis_period,IF(SUM($C647:D647)&gt;0,C312+1,0),0)</f>
        <v>0</v>
      </c>
      <c r="E312" s="163">
        <f>IF(E$2&lt;=analysis_period,IF(SUM($C647:E647)&gt;0,D312+1,0),0)</f>
        <v>0</v>
      </c>
      <c r="F312" s="163">
        <f>IF(F$2&lt;=analysis_period,IF(SUM($C647:F647)&gt;0,E312+1,0),0)</f>
        <v>0</v>
      </c>
      <c r="G312" s="163">
        <f>IF(G$2&lt;=analysis_period,IF(SUM($C647:G647)&gt;0,F312+1,0),0)</f>
        <v>0</v>
      </c>
      <c r="H312" s="163">
        <f>IF(H$2&lt;=analysis_period,IF(SUM($C647:H647)&gt;0,G312+1,0),0)</f>
        <v>0</v>
      </c>
      <c r="I312" s="163">
        <f>IF(I$2&lt;=analysis_period,IF(SUM($C647:I647)&gt;0,H312+1,0),0)</f>
        <v>0</v>
      </c>
      <c r="J312" s="163">
        <f>IF(J$2&lt;=analysis_period,IF(SUM($C647:J647)&gt;0,I312+1,0),0)</f>
        <v>0</v>
      </c>
      <c r="K312" s="163">
        <f>IF(K$2&lt;=analysis_period,IF(SUM($C647:K647)&gt;0,J312+1,0),0)</f>
        <v>0</v>
      </c>
      <c r="L312" s="163">
        <f>IF(L$2&lt;=analysis_period,IF(SUM($C647:L647)&gt;0,K312+1,0),0)</f>
        <v>0</v>
      </c>
      <c r="M312" s="163">
        <f>IF(M$2&lt;=analysis_period,IF(SUM($C647:M647)&gt;0,L312+1,0),0)</f>
        <v>0</v>
      </c>
      <c r="N312" s="163">
        <f>IF(N$2&lt;=analysis_period,IF(SUM($C647:N647)&gt;0,M312+1,0),0)</f>
        <v>0</v>
      </c>
      <c r="O312" s="163">
        <f>IF(O$2&lt;=analysis_period,IF(SUM($C647:O647)&gt;0,N312+1,0),0)</f>
        <v>0</v>
      </c>
      <c r="P312" s="163">
        <f>IF(P$2&lt;=analysis_period,IF(SUM($C647:P647)&gt;0,O312+1,0),0)</f>
        <v>0</v>
      </c>
      <c r="Q312" s="163">
        <f>IF(Q$2&lt;=analysis_period,IF(SUM($C647:Q647)&gt;0,P312+1,0),0)</f>
        <v>0</v>
      </c>
      <c r="R312" s="163">
        <f>IF(R$2&lt;=analysis_period,IF(SUM($C647:R647)&gt;0,Q312+1,0),0)</f>
        <v>0</v>
      </c>
      <c r="S312" s="163">
        <f>IF(S$2&lt;=analysis_period,IF(SUM($C647:S647)&gt;0,R312+1,0),0)</f>
        <v>0</v>
      </c>
      <c r="T312" s="163">
        <f>IF(T$2&lt;=analysis_period,IF(SUM($C647:T647)&gt;0,S312+1,0),0)</f>
        <v>0</v>
      </c>
      <c r="U312" s="163">
        <f>IF(U$2&lt;=analysis_period,IF(SUM($C647:U647)&gt;0,T312+1,0),0)</f>
        <v>0</v>
      </c>
      <c r="V312" s="163">
        <f>IF(V$2&lt;=analysis_period,IF(SUM($C647:V647)&gt;0,U312+1,0),0)</f>
        <v>0</v>
      </c>
      <c r="W312" s="163">
        <f>IF(W$2&lt;=analysis_period,IF(SUM($C647:W647)&gt;0,V312+1,0),0)</f>
        <v>0</v>
      </c>
      <c r="X312" s="163">
        <f>IF(X$2&lt;=analysis_period,IF(SUM($C647:X647)&gt;0,W312+1,0),0)</f>
        <v>0</v>
      </c>
      <c r="Y312" s="163">
        <f>IF(Y$2&lt;=analysis_period,IF(SUM($C647:Y647)&gt;0,X312+1,0),0)</f>
        <v>0</v>
      </c>
      <c r="Z312" s="163">
        <f>IF(Z$2&lt;=analysis_period,IF(SUM($C647:Z647)&gt;0,Y312+1,0),0)</f>
        <v>0</v>
      </c>
      <c r="AA312" s="163">
        <f>IF(AA$2&lt;=analysis_period,IF(SUM($C647:AA647)&gt;0,Z312+1,0),0)</f>
        <v>0</v>
      </c>
      <c r="AB312" s="163">
        <f>IF(AB$2&lt;=analysis_period,IF(SUM($C647:AB647)&gt;0,AA312+1,0),0)</f>
        <v>0</v>
      </c>
      <c r="AC312" s="163">
        <f>IF(AC$2&lt;=analysis_period,IF(SUM($C647:AC647)&gt;0,AB312+1,0),0)</f>
        <v>0</v>
      </c>
      <c r="AD312" s="163">
        <f>IF(AD$2&lt;=analysis_period,IF(SUM($C647:AD647)&gt;0,AC312+1,0),0)</f>
        <v>0</v>
      </c>
      <c r="AE312" s="163">
        <f>IF(AE$2&lt;=analysis_period,IF(SUM($C647:AE647)&gt;0,AD312+1,0),0)</f>
        <v>0</v>
      </c>
      <c r="AF312" s="163">
        <f>IF(AF$2&lt;=analysis_period,IF(SUM($C647:AF647)&gt;0,AE312+1,0),0)</f>
        <v>0</v>
      </c>
      <c r="AG312" s="163">
        <f>IF(AG$2&lt;=analysis_period,IF(SUM($C647:AG647)&gt;0,AF312+1,0),0)</f>
        <v>0</v>
      </c>
      <c r="AH312" s="163">
        <f>IF(AH$2&lt;=analysis_period,IF(SUM($C647:AH647)&gt;0,AG312+1,0),0)</f>
        <v>0</v>
      </c>
      <c r="AI312" s="163">
        <f>IF(AI$2&lt;=analysis_period,IF(SUM($C647:AI647)&gt;0,AH312+1,0),0)</f>
        <v>0</v>
      </c>
      <c r="AJ312" s="163">
        <f>IF(AJ$2&lt;=analysis_period,IF(SUM($C647:AJ647)&gt;0,AI312+1,0),0)</f>
        <v>0</v>
      </c>
      <c r="AK312" s="163">
        <f>IF(AK$2&lt;=analysis_period,IF(SUM($C647:AK647)&gt;0,AJ312+1,0),0)</f>
        <v>0</v>
      </c>
      <c r="AL312" s="163">
        <f>IF(AL$2&lt;=analysis_period,IF(SUM($C647:AL647)&gt;0,AK312+1,0),0)</f>
        <v>0</v>
      </c>
      <c r="AM312" s="163">
        <f>IF(AM$2&lt;=analysis_period,IF(SUM($C647:AM647)&gt;0,AL312+1,0),0)</f>
        <v>0</v>
      </c>
      <c r="AN312" s="163">
        <f>IF(AN$2&lt;=analysis_period,IF(SUM($C647:AN647)&gt;0,AM312+1,0),0)</f>
        <v>0</v>
      </c>
      <c r="AO312" s="163">
        <f>IF(AO$2&lt;=analysis_period,IF(SUM($C647:AO647)&gt;0,AN312+1,0),0)</f>
        <v>0</v>
      </c>
      <c r="AP312" s="163">
        <f>IF(AP$2&lt;=analysis_period,IF(SUM($C647:AP647)&gt;0,AO312+1,0),0)</f>
        <v>0</v>
      </c>
    </row>
    <row r="313" spans="1:42" x14ac:dyDescent="0.2">
      <c r="A313" s="4">
        <f t="shared" si="117"/>
        <v>10</v>
      </c>
      <c r="B313" s="4">
        <v>0</v>
      </c>
      <c r="C313" s="163">
        <f>IF(C$2&lt;=analysis_period,IF(SUM($C648:C648)&gt;0,B313+1,0),0)</f>
        <v>0</v>
      </c>
      <c r="D313" s="163">
        <f>IF(D$2&lt;=analysis_period,IF(SUM($C648:D648)&gt;0,C313+1,0),0)</f>
        <v>0</v>
      </c>
      <c r="E313" s="163">
        <f>IF(E$2&lt;=analysis_period,IF(SUM($C648:E648)&gt;0,D313+1,0),0)</f>
        <v>0</v>
      </c>
      <c r="F313" s="163">
        <f>IF(F$2&lt;=analysis_period,IF(SUM($C648:F648)&gt;0,E313+1,0),0)</f>
        <v>0</v>
      </c>
      <c r="G313" s="163">
        <f>IF(G$2&lt;=analysis_period,IF(SUM($C648:G648)&gt;0,F313+1,0),0)</f>
        <v>0</v>
      </c>
      <c r="H313" s="163">
        <f>IF(H$2&lt;=analysis_period,IF(SUM($C648:H648)&gt;0,G313+1,0),0)</f>
        <v>0</v>
      </c>
      <c r="I313" s="163">
        <f>IF(I$2&lt;=analysis_period,IF(SUM($C648:I648)&gt;0,H313+1,0),0)</f>
        <v>0</v>
      </c>
      <c r="J313" s="163">
        <f>IF(J$2&lt;=analysis_period,IF(SUM($C648:J648)&gt;0,I313+1,0),0)</f>
        <v>0</v>
      </c>
      <c r="K313" s="163">
        <f>IF(K$2&lt;=analysis_period,IF(SUM($C648:K648)&gt;0,J313+1,0),0)</f>
        <v>0</v>
      </c>
      <c r="L313" s="163">
        <f>IF(L$2&lt;=analysis_period,IF(SUM($C648:L648)&gt;0,K313+1,0),0)</f>
        <v>0</v>
      </c>
      <c r="M313" s="163">
        <f>IF(M$2&lt;=analysis_period,IF(SUM($C648:M648)&gt;0,L313+1,0),0)</f>
        <v>0</v>
      </c>
      <c r="N313" s="163">
        <f>IF(N$2&lt;=analysis_period,IF(SUM($C648:N648)&gt;0,M313+1,0),0)</f>
        <v>0</v>
      </c>
      <c r="O313" s="163">
        <f>IF(O$2&lt;=analysis_period,IF(SUM($C648:O648)&gt;0,N313+1,0),0)</f>
        <v>0</v>
      </c>
      <c r="P313" s="163">
        <f>IF(P$2&lt;=analysis_period,IF(SUM($C648:P648)&gt;0,O313+1,0),0)</f>
        <v>0</v>
      </c>
      <c r="Q313" s="163">
        <f>IF(Q$2&lt;=analysis_period,IF(SUM($C648:Q648)&gt;0,P313+1,0),0)</f>
        <v>0</v>
      </c>
      <c r="R313" s="163">
        <f>IF(R$2&lt;=analysis_period,IF(SUM($C648:R648)&gt;0,Q313+1,0),0)</f>
        <v>0</v>
      </c>
      <c r="S313" s="163">
        <f>IF(S$2&lt;=analysis_period,IF(SUM($C648:S648)&gt;0,R313+1,0),0)</f>
        <v>0</v>
      </c>
      <c r="T313" s="163">
        <f>IF(T$2&lt;=analysis_period,IF(SUM($C648:T648)&gt;0,S313+1,0),0)</f>
        <v>0</v>
      </c>
      <c r="U313" s="163">
        <f>IF(U$2&lt;=analysis_period,IF(SUM($C648:U648)&gt;0,T313+1,0),0)</f>
        <v>0</v>
      </c>
      <c r="V313" s="163">
        <f>IF(V$2&lt;=analysis_period,IF(SUM($C648:V648)&gt;0,U313+1,0),0)</f>
        <v>0</v>
      </c>
      <c r="W313" s="163">
        <f>IF(W$2&lt;=analysis_period,IF(SUM($C648:W648)&gt;0,V313+1,0),0)</f>
        <v>0</v>
      </c>
      <c r="X313" s="163">
        <f>IF(X$2&lt;=analysis_period,IF(SUM($C648:X648)&gt;0,W313+1,0),0)</f>
        <v>0</v>
      </c>
      <c r="Y313" s="163">
        <f>IF(Y$2&lt;=analysis_period,IF(SUM($C648:Y648)&gt;0,X313+1,0),0)</f>
        <v>0</v>
      </c>
      <c r="Z313" s="163">
        <f>IF(Z$2&lt;=analysis_period,IF(SUM($C648:Z648)&gt;0,Y313+1,0),0)</f>
        <v>0</v>
      </c>
      <c r="AA313" s="163">
        <f>IF(AA$2&lt;=analysis_period,IF(SUM($C648:AA648)&gt;0,Z313+1,0),0)</f>
        <v>0</v>
      </c>
      <c r="AB313" s="163">
        <f>IF(AB$2&lt;=analysis_period,IF(SUM($C648:AB648)&gt;0,AA313+1,0),0)</f>
        <v>0</v>
      </c>
      <c r="AC313" s="163">
        <f>IF(AC$2&lt;=analysis_period,IF(SUM($C648:AC648)&gt;0,AB313+1,0),0)</f>
        <v>0</v>
      </c>
      <c r="AD313" s="163">
        <f>IF(AD$2&lt;=analysis_period,IF(SUM($C648:AD648)&gt;0,AC313+1,0),0)</f>
        <v>0</v>
      </c>
      <c r="AE313" s="163">
        <f>IF(AE$2&lt;=analysis_period,IF(SUM($C648:AE648)&gt;0,AD313+1,0),0)</f>
        <v>0</v>
      </c>
      <c r="AF313" s="163">
        <f>IF(AF$2&lt;=analysis_period,IF(SUM($C648:AF648)&gt;0,AE313+1,0),0)</f>
        <v>0</v>
      </c>
      <c r="AG313" s="163">
        <f>IF(AG$2&lt;=analysis_period,IF(SUM($C648:AG648)&gt;0,AF313+1,0),0)</f>
        <v>0</v>
      </c>
      <c r="AH313" s="163">
        <f>IF(AH$2&lt;=analysis_period,IF(SUM($C648:AH648)&gt;0,AG313+1,0),0)</f>
        <v>0</v>
      </c>
      <c r="AI313" s="163">
        <f>IF(AI$2&lt;=analysis_period,IF(SUM($C648:AI648)&gt;0,AH313+1,0),0)</f>
        <v>0</v>
      </c>
      <c r="AJ313" s="163">
        <f>IF(AJ$2&lt;=analysis_period,IF(SUM($C648:AJ648)&gt;0,AI313+1,0),0)</f>
        <v>0</v>
      </c>
      <c r="AK313" s="163">
        <f>IF(AK$2&lt;=analysis_period,IF(SUM($C648:AK648)&gt;0,AJ313+1,0),0)</f>
        <v>0</v>
      </c>
      <c r="AL313" s="163">
        <f>IF(AL$2&lt;=analysis_period,IF(SUM($C648:AL648)&gt;0,AK313+1,0),0)</f>
        <v>0</v>
      </c>
      <c r="AM313" s="163">
        <f>IF(AM$2&lt;=analysis_period,IF(SUM($C648:AM648)&gt;0,AL313+1,0),0)</f>
        <v>0</v>
      </c>
      <c r="AN313" s="163">
        <f>IF(AN$2&lt;=analysis_period,IF(SUM($C648:AN648)&gt;0,AM313+1,0),0)</f>
        <v>0</v>
      </c>
      <c r="AO313" s="163">
        <f>IF(AO$2&lt;=analysis_period,IF(SUM($C648:AO648)&gt;0,AN313+1,0),0)</f>
        <v>0</v>
      </c>
      <c r="AP313" s="163">
        <f>IF(AP$2&lt;=analysis_period,IF(SUM($C648:AP648)&gt;0,AO313+1,0),0)</f>
        <v>0</v>
      </c>
    </row>
    <row r="314" spans="1:42" x14ac:dyDescent="0.2">
      <c r="A314" s="22" t="s">
        <v>79</v>
      </c>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row>
    <row r="315" spans="1:42" x14ac:dyDescent="0.2">
      <c r="A315" s="4">
        <v>1</v>
      </c>
      <c r="B315" s="178">
        <f>SUM(C315:AP315)</f>
        <v>14129738.209737662</v>
      </c>
      <c r="C315" s="163">
        <f t="shared" ref="C315:AP315" si="118">LOOKUP(C304,$B$299:$AP$299,$B$300:$AP$300)/100*$B639</f>
        <v>0</v>
      </c>
      <c r="D315" s="163">
        <f t="shared" si="118"/>
        <v>0</v>
      </c>
      <c r="E315" s="163">
        <f t="shared" si="118"/>
        <v>0</v>
      </c>
      <c r="F315" s="163">
        <f t="shared" si="118"/>
        <v>0</v>
      </c>
      <c r="G315" s="163">
        <f t="shared" si="118"/>
        <v>0</v>
      </c>
      <c r="H315" s="163">
        <f t="shared" si="118"/>
        <v>0</v>
      </c>
      <c r="I315" s="163">
        <f t="shared" si="118"/>
        <v>0</v>
      </c>
      <c r="J315" s="163">
        <f t="shared" si="118"/>
        <v>0</v>
      </c>
      <c r="K315" s="163">
        <f t="shared" si="118"/>
        <v>0</v>
      </c>
      <c r="L315" s="163">
        <f t="shared" si="118"/>
        <v>0</v>
      </c>
      <c r="M315" s="163">
        <f t="shared" si="118"/>
        <v>0</v>
      </c>
      <c r="N315" s="163">
        <f t="shared" si="118"/>
        <v>0</v>
      </c>
      <c r="O315" s="163">
        <f t="shared" si="118"/>
        <v>0</v>
      </c>
      <c r="P315" s="163">
        <f t="shared" si="118"/>
        <v>0</v>
      </c>
      <c r="Q315" s="163">
        <f t="shared" si="118"/>
        <v>2825947.6419475321</v>
      </c>
      <c r="R315" s="163">
        <f t="shared" si="118"/>
        <v>4521516.2271160511</v>
      </c>
      <c r="S315" s="163">
        <f t="shared" si="118"/>
        <v>2712909.736269631</v>
      </c>
      <c r="T315" s="163">
        <f t="shared" si="118"/>
        <v>1627745.8417617783</v>
      </c>
      <c r="U315" s="163">
        <f t="shared" si="118"/>
        <v>1627745.8417617783</v>
      </c>
      <c r="V315" s="163">
        <f t="shared" si="118"/>
        <v>813872.92088088917</v>
      </c>
      <c r="W315" s="163">
        <f t="shared" si="118"/>
        <v>0</v>
      </c>
      <c r="X315" s="163">
        <f t="shared" si="118"/>
        <v>0</v>
      </c>
      <c r="Y315" s="163">
        <f t="shared" si="118"/>
        <v>0</v>
      </c>
      <c r="Z315" s="163">
        <f t="shared" si="118"/>
        <v>0</v>
      </c>
      <c r="AA315" s="163">
        <f t="shared" si="118"/>
        <v>0</v>
      </c>
      <c r="AB315" s="163">
        <f t="shared" si="118"/>
        <v>0</v>
      </c>
      <c r="AC315" s="163">
        <f t="shared" si="118"/>
        <v>0</v>
      </c>
      <c r="AD315" s="163">
        <f t="shared" si="118"/>
        <v>0</v>
      </c>
      <c r="AE315" s="163">
        <f t="shared" si="118"/>
        <v>0</v>
      </c>
      <c r="AF315" s="163">
        <f t="shared" si="118"/>
        <v>0</v>
      </c>
      <c r="AG315" s="163">
        <f t="shared" si="118"/>
        <v>0</v>
      </c>
      <c r="AH315" s="163">
        <f t="shared" si="118"/>
        <v>0</v>
      </c>
      <c r="AI315" s="163">
        <f t="shared" si="118"/>
        <v>0</v>
      </c>
      <c r="AJ315" s="163">
        <f t="shared" si="118"/>
        <v>0</v>
      </c>
      <c r="AK315" s="163">
        <f t="shared" si="118"/>
        <v>0</v>
      </c>
      <c r="AL315" s="163">
        <f t="shared" si="118"/>
        <v>0</v>
      </c>
      <c r="AM315" s="163">
        <f t="shared" si="118"/>
        <v>0</v>
      </c>
      <c r="AN315" s="163">
        <f t="shared" si="118"/>
        <v>0</v>
      </c>
      <c r="AO315" s="163">
        <f t="shared" si="118"/>
        <v>0</v>
      </c>
      <c r="AP315" s="163">
        <f t="shared" si="118"/>
        <v>0</v>
      </c>
    </row>
    <row r="316" spans="1:42" x14ac:dyDescent="0.2">
      <c r="A316" s="4">
        <f>A315+1</f>
        <v>2</v>
      </c>
      <c r="B316" s="178">
        <f t="shared" ref="B316:B324" si="119">SUM(C316:AP316)</f>
        <v>0</v>
      </c>
      <c r="C316" s="163">
        <f t="shared" ref="C316:AP316" si="120">LOOKUP(C305,$B$299:$AP$299,$B$300:$AP$300)/100*$B640</f>
        <v>0</v>
      </c>
      <c r="D316" s="163">
        <f t="shared" si="120"/>
        <v>0</v>
      </c>
      <c r="E316" s="163">
        <f t="shared" si="120"/>
        <v>0</v>
      </c>
      <c r="F316" s="163">
        <f t="shared" si="120"/>
        <v>0</v>
      </c>
      <c r="G316" s="163">
        <f t="shared" si="120"/>
        <v>0</v>
      </c>
      <c r="H316" s="163">
        <f t="shared" si="120"/>
        <v>0</v>
      </c>
      <c r="I316" s="163">
        <f t="shared" si="120"/>
        <v>0</v>
      </c>
      <c r="J316" s="163">
        <f t="shared" si="120"/>
        <v>0</v>
      </c>
      <c r="K316" s="163">
        <f t="shared" si="120"/>
        <v>0</v>
      </c>
      <c r="L316" s="163">
        <f t="shared" si="120"/>
        <v>0</v>
      </c>
      <c r="M316" s="163">
        <f t="shared" si="120"/>
        <v>0</v>
      </c>
      <c r="N316" s="163">
        <f t="shared" si="120"/>
        <v>0</v>
      </c>
      <c r="O316" s="163">
        <f t="shared" si="120"/>
        <v>0</v>
      </c>
      <c r="P316" s="163">
        <f t="shared" si="120"/>
        <v>0</v>
      </c>
      <c r="Q316" s="163">
        <f t="shared" si="120"/>
        <v>0</v>
      </c>
      <c r="R316" s="163">
        <f t="shared" si="120"/>
        <v>0</v>
      </c>
      <c r="S316" s="163">
        <f t="shared" si="120"/>
        <v>0</v>
      </c>
      <c r="T316" s="163">
        <f t="shared" si="120"/>
        <v>0</v>
      </c>
      <c r="U316" s="163">
        <f t="shared" si="120"/>
        <v>0</v>
      </c>
      <c r="V316" s="163">
        <f t="shared" si="120"/>
        <v>0</v>
      </c>
      <c r="W316" s="163">
        <f t="shared" si="120"/>
        <v>0</v>
      </c>
      <c r="X316" s="163">
        <f t="shared" si="120"/>
        <v>0</v>
      </c>
      <c r="Y316" s="163">
        <f t="shared" si="120"/>
        <v>0</v>
      </c>
      <c r="Z316" s="163">
        <f t="shared" si="120"/>
        <v>0</v>
      </c>
      <c r="AA316" s="163">
        <f t="shared" si="120"/>
        <v>0</v>
      </c>
      <c r="AB316" s="163">
        <f t="shared" si="120"/>
        <v>0</v>
      </c>
      <c r="AC316" s="163">
        <f t="shared" si="120"/>
        <v>0</v>
      </c>
      <c r="AD316" s="163">
        <f t="shared" si="120"/>
        <v>0</v>
      </c>
      <c r="AE316" s="163">
        <f t="shared" si="120"/>
        <v>0</v>
      </c>
      <c r="AF316" s="163">
        <f t="shared" si="120"/>
        <v>0</v>
      </c>
      <c r="AG316" s="163">
        <f t="shared" si="120"/>
        <v>0</v>
      </c>
      <c r="AH316" s="163">
        <f t="shared" si="120"/>
        <v>0</v>
      </c>
      <c r="AI316" s="163">
        <f t="shared" si="120"/>
        <v>0</v>
      </c>
      <c r="AJ316" s="163">
        <f t="shared" si="120"/>
        <v>0</v>
      </c>
      <c r="AK316" s="163">
        <f t="shared" si="120"/>
        <v>0</v>
      </c>
      <c r="AL316" s="163">
        <f t="shared" si="120"/>
        <v>0</v>
      </c>
      <c r="AM316" s="163">
        <f t="shared" si="120"/>
        <v>0</v>
      </c>
      <c r="AN316" s="163">
        <f t="shared" si="120"/>
        <v>0</v>
      </c>
      <c r="AO316" s="163">
        <f t="shared" si="120"/>
        <v>0</v>
      </c>
      <c r="AP316" s="163">
        <f t="shared" si="120"/>
        <v>0</v>
      </c>
    </row>
    <row r="317" spans="1:42" x14ac:dyDescent="0.2">
      <c r="A317" s="4">
        <f t="shared" ref="A317:A324" si="121">A316+1</f>
        <v>3</v>
      </c>
      <c r="B317" s="178">
        <f t="shared" si="119"/>
        <v>0</v>
      </c>
      <c r="C317" s="163">
        <f t="shared" ref="C317:AP317" si="122">LOOKUP(C306,$B$299:$AP$299,$B$300:$AP$300)/100*$B641</f>
        <v>0</v>
      </c>
      <c r="D317" s="163">
        <f t="shared" si="122"/>
        <v>0</v>
      </c>
      <c r="E317" s="163">
        <f t="shared" si="122"/>
        <v>0</v>
      </c>
      <c r="F317" s="163">
        <f t="shared" si="122"/>
        <v>0</v>
      </c>
      <c r="G317" s="163">
        <f t="shared" si="122"/>
        <v>0</v>
      </c>
      <c r="H317" s="163">
        <f t="shared" si="122"/>
        <v>0</v>
      </c>
      <c r="I317" s="163">
        <f t="shared" si="122"/>
        <v>0</v>
      </c>
      <c r="J317" s="163">
        <f t="shared" si="122"/>
        <v>0</v>
      </c>
      <c r="K317" s="163">
        <f t="shared" si="122"/>
        <v>0</v>
      </c>
      <c r="L317" s="163">
        <f t="shared" si="122"/>
        <v>0</v>
      </c>
      <c r="M317" s="163">
        <f t="shared" si="122"/>
        <v>0</v>
      </c>
      <c r="N317" s="163">
        <f t="shared" si="122"/>
        <v>0</v>
      </c>
      <c r="O317" s="163">
        <f t="shared" si="122"/>
        <v>0</v>
      </c>
      <c r="P317" s="163">
        <f t="shared" si="122"/>
        <v>0</v>
      </c>
      <c r="Q317" s="163">
        <f t="shared" si="122"/>
        <v>0</v>
      </c>
      <c r="R317" s="163">
        <f t="shared" si="122"/>
        <v>0</v>
      </c>
      <c r="S317" s="163">
        <f t="shared" si="122"/>
        <v>0</v>
      </c>
      <c r="T317" s="163">
        <f t="shared" si="122"/>
        <v>0</v>
      </c>
      <c r="U317" s="163">
        <f t="shared" si="122"/>
        <v>0</v>
      </c>
      <c r="V317" s="163">
        <f t="shared" si="122"/>
        <v>0</v>
      </c>
      <c r="W317" s="163">
        <f t="shared" si="122"/>
        <v>0</v>
      </c>
      <c r="X317" s="163">
        <f t="shared" si="122"/>
        <v>0</v>
      </c>
      <c r="Y317" s="163">
        <f t="shared" si="122"/>
        <v>0</v>
      </c>
      <c r="Z317" s="163">
        <f t="shared" si="122"/>
        <v>0</v>
      </c>
      <c r="AA317" s="163">
        <f t="shared" si="122"/>
        <v>0</v>
      </c>
      <c r="AB317" s="163">
        <f t="shared" si="122"/>
        <v>0</v>
      </c>
      <c r="AC317" s="163">
        <f t="shared" si="122"/>
        <v>0</v>
      </c>
      <c r="AD317" s="163">
        <f t="shared" si="122"/>
        <v>0</v>
      </c>
      <c r="AE317" s="163">
        <f t="shared" si="122"/>
        <v>0</v>
      </c>
      <c r="AF317" s="163">
        <f t="shared" si="122"/>
        <v>0</v>
      </c>
      <c r="AG317" s="163">
        <f t="shared" si="122"/>
        <v>0</v>
      </c>
      <c r="AH317" s="163">
        <f t="shared" si="122"/>
        <v>0</v>
      </c>
      <c r="AI317" s="163">
        <f t="shared" si="122"/>
        <v>0</v>
      </c>
      <c r="AJ317" s="163">
        <f t="shared" si="122"/>
        <v>0</v>
      </c>
      <c r="AK317" s="163">
        <f t="shared" si="122"/>
        <v>0</v>
      </c>
      <c r="AL317" s="163">
        <f t="shared" si="122"/>
        <v>0</v>
      </c>
      <c r="AM317" s="163">
        <f t="shared" si="122"/>
        <v>0</v>
      </c>
      <c r="AN317" s="163">
        <f t="shared" si="122"/>
        <v>0</v>
      </c>
      <c r="AO317" s="163">
        <f t="shared" si="122"/>
        <v>0</v>
      </c>
      <c r="AP317" s="163">
        <f t="shared" si="122"/>
        <v>0</v>
      </c>
    </row>
    <row r="318" spans="1:42" x14ac:dyDescent="0.2">
      <c r="A318" s="4">
        <f t="shared" si="121"/>
        <v>4</v>
      </c>
      <c r="B318" s="178">
        <f t="shared" si="119"/>
        <v>0</v>
      </c>
      <c r="C318" s="163">
        <f t="shared" ref="C318:AP318" si="123">LOOKUP(C307,$B$299:$AP$299,$B$300:$AP$300)/100*$B642</f>
        <v>0</v>
      </c>
      <c r="D318" s="163">
        <f t="shared" si="123"/>
        <v>0</v>
      </c>
      <c r="E318" s="163">
        <f t="shared" si="123"/>
        <v>0</v>
      </c>
      <c r="F318" s="163">
        <f t="shared" si="123"/>
        <v>0</v>
      </c>
      <c r="G318" s="163">
        <f t="shared" si="123"/>
        <v>0</v>
      </c>
      <c r="H318" s="163">
        <f t="shared" si="123"/>
        <v>0</v>
      </c>
      <c r="I318" s="163">
        <f t="shared" si="123"/>
        <v>0</v>
      </c>
      <c r="J318" s="163">
        <f t="shared" si="123"/>
        <v>0</v>
      </c>
      <c r="K318" s="163">
        <f t="shared" si="123"/>
        <v>0</v>
      </c>
      <c r="L318" s="163">
        <f t="shared" si="123"/>
        <v>0</v>
      </c>
      <c r="M318" s="163">
        <f t="shared" si="123"/>
        <v>0</v>
      </c>
      <c r="N318" s="163">
        <f t="shared" si="123"/>
        <v>0</v>
      </c>
      <c r="O318" s="163">
        <f t="shared" si="123"/>
        <v>0</v>
      </c>
      <c r="P318" s="163">
        <f t="shared" si="123"/>
        <v>0</v>
      </c>
      <c r="Q318" s="163">
        <f t="shared" si="123"/>
        <v>0</v>
      </c>
      <c r="R318" s="163">
        <f t="shared" si="123"/>
        <v>0</v>
      </c>
      <c r="S318" s="163">
        <f t="shared" si="123"/>
        <v>0</v>
      </c>
      <c r="T318" s="163">
        <f t="shared" si="123"/>
        <v>0</v>
      </c>
      <c r="U318" s="163">
        <f t="shared" si="123"/>
        <v>0</v>
      </c>
      <c r="V318" s="163">
        <f t="shared" si="123"/>
        <v>0</v>
      </c>
      <c r="W318" s="163">
        <f t="shared" si="123"/>
        <v>0</v>
      </c>
      <c r="X318" s="163">
        <f t="shared" si="123"/>
        <v>0</v>
      </c>
      <c r="Y318" s="163">
        <f t="shared" si="123"/>
        <v>0</v>
      </c>
      <c r="Z318" s="163">
        <f t="shared" si="123"/>
        <v>0</v>
      </c>
      <c r="AA318" s="163">
        <f t="shared" si="123"/>
        <v>0</v>
      </c>
      <c r="AB318" s="163">
        <f t="shared" si="123"/>
        <v>0</v>
      </c>
      <c r="AC318" s="163">
        <f t="shared" si="123"/>
        <v>0</v>
      </c>
      <c r="AD318" s="163">
        <f t="shared" si="123"/>
        <v>0</v>
      </c>
      <c r="AE318" s="163">
        <f t="shared" si="123"/>
        <v>0</v>
      </c>
      <c r="AF318" s="163">
        <f t="shared" si="123"/>
        <v>0</v>
      </c>
      <c r="AG318" s="163">
        <f t="shared" si="123"/>
        <v>0</v>
      </c>
      <c r="AH318" s="163">
        <f t="shared" si="123"/>
        <v>0</v>
      </c>
      <c r="AI318" s="163">
        <f t="shared" si="123"/>
        <v>0</v>
      </c>
      <c r="AJ318" s="163">
        <f t="shared" si="123"/>
        <v>0</v>
      </c>
      <c r="AK318" s="163">
        <f t="shared" si="123"/>
        <v>0</v>
      </c>
      <c r="AL318" s="163">
        <f t="shared" si="123"/>
        <v>0</v>
      </c>
      <c r="AM318" s="163">
        <f t="shared" si="123"/>
        <v>0</v>
      </c>
      <c r="AN318" s="163">
        <f t="shared" si="123"/>
        <v>0</v>
      </c>
      <c r="AO318" s="163">
        <f t="shared" si="123"/>
        <v>0</v>
      </c>
      <c r="AP318" s="163">
        <f t="shared" si="123"/>
        <v>0</v>
      </c>
    </row>
    <row r="319" spans="1:42" x14ac:dyDescent="0.2">
      <c r="A319" s="4">
        <f t="shared" si="121"/>
        <v>5</v>
      </c>
      <c r="B319" s="178">
        <f t="shared" si="119"/>
        <v>0</v>
      </c>
      <c r="C319" s="163">
        <f t="shared" ref="C319:AP319" si="124">LOOKUP(C308,$B$299:$AP$299,$B$300:$AP$300)/100*$B643</f>
        <v>0</v>
      </c>
      <c r="D319" s="163">
        <f t="shared" si="124"/>
        <v>0</v>
      </c>
      <c r="E319" s="163">
        <f t="shared" si="124"/>
        <v>0</v>
      </c>
      <c r="F319" s="163">
        <f t="shared" si="124"/>
        <v>0</v>
      </c>
      <c r="G319" s="163">
        <f t="shared" si="124"/>
        <v>0</v>
      </c>
      <c r="H319" s="163">
        <f t="shared" si="124"/>
        <v>0</v>
      </c>
      <c r="I319" s="163">
        <f t="shared" si="124"/>
        <v>0</v>
      </c>
      <c r="J319" s="163">
        <f t="shared" si="124"/>
        <v>0</v>
      </c>
      <c r="K319" s="163">
        <f t="shared" si="124"/>
        <v>0</v>
      </c>
      <c r="L319" s="163">
        <f t="shared" si="124"/>
        <v>0</v>
      </c>
      <c r="M319" s="163">
        <f t="shared" si="124"/>
        <v>0</v>
      </c>
      <c r="N319" s="163">
        <f t="shared" si="124"/>
        <v>0</v>
      </c>
      <c r="O319" s="163">
        <f t="shared" si="124"/>
        <v>0</v>
      </c>
      <c r="P319" s="163">
        <f t="shared" si="124"/>
        <v>0</v>
      </c>
      <c r="Q319" s="163">
        <f t="shared" si="124"/>
        <v>0</v>
      </c>
      <c r="R319" s="163">
        <f t="shared" si="124"/>
        <v>0</v>
      </c>
      <c r="S319" s="163">
        <f t="shared" si="124"/>
        <v>0</v>
      </c>
      <c r="T319" s="163">
        <f t="shared" si="124"/>
        <v>0</v>
      </c>
      <c r="U319" s="163">
        <f t="shared" si="124"/>
        <v>0</v>
      </c>
      <c r="V319" s="163">
        <f t="shared" si="124"/>
        <v>0</v>
      </c>
      <c r="W319" s="163">
        <f t="shared" si="124"/>
        <v>0</v>
      </c>
      <c r="X319" s="163">
        <f t="shared" si="124"/>
        <v>0</v>
      </c>
      <c r="Y319" s="163">
        <f t="shared" si="124"/>
        <v>0</v>
      </c>
      <c r="Z319" s="163">
        <f t="shared" si="124"/>
        <v>0</v>
      </c>
      <c r="AA319" s="163">
        <f t="shared" si="124"/>
        <v>0</v>
      </c>
      <c r="AB319" s="163">
        <f t="shared" si="124"/>
        <v>0</v>
      </c>
      <c r="AC319" s="163">
        <f t="shared" si="124"/>
        <v>0</v>
      </c>
      <c r="AD319" s="163">
        <f t="shared" si="124"/>
        <v>0</v>
      </c>
      <c r="AE319" s="163">
        <f t="shared" si="124"/>
        <v>0</v>
      </c>
      <c r="AF319" s="163">
        <f t="shared" si="124"/>
        <v>0</v>
      </c>
      <c r="AG319" s="163">
        <f t="shared" si="124"/>
        <v>0</v>
      </c>
      <c r="AH319" s="163">
        <f t="shared" si="124"/>
        <v>0</v>
      </c>
      <c r="AI319" s="163">
        <f t="shared" si="124"/>
        <v>0</v>
      </c>
      <c r="AJ319" s="163">
        <f t="shared" si="124"/>
        <v>0</v>
      </c>
      <c r="AK319" s="163">
        <f t="shared" si="124"/>
        <v>0</v>
      </c>
      <c r="AL319" s="163">
        <f t="shared" si="124"/>
        <v>0</v>
      </c>
      <c r="AM319" s="163">
        <f t="shared" si="124"/>
        <v>0</v>
      </c>
      <c r="AN319" s="163">
        <f t="shared" si="124"/>
        <v>0</v>
      </c>
      <c r="AO319" s="163">
        <f t="shared" si="124"/>
        <v>0</v>
      </c>
      <c r="AP319" s="163">
        <f t="shared" si="124"/>
        <v>0</v>
      </c>
    </row>
    <row r="320" spans="1:42" x14ac:dyDescent="0.2">
      <c r="A320" s="4">
        <f t="shared" si="121"/>
        <v>6</v>
      </c>
      <c r="B320" s="178">
        <f t="shared" si="119"/>
        <v>0</v>
      </c>
      <c r="C320" s="163">
        <f t="shared" ref="C320:AP320" si="125">LOOKUP(C309,$B$299:$AP$299,$B$300:$AP$300)/100*$B644</f>
        <v>0</v>
      </c>
      <c r="D320" s="163">
        <f t="shared" si="125"/>
        <v>0</v>
      </c>
      <c r="E320" s="163">
        <f t="shared" si="125"/>
        <v>0</v>
      </c>
      <c r="F320" s="163">
        <f t="shared" si="125"/>
        <v>0</v>
      </c>
      <c r="G320" s="163">
        <f t="shared" si="125"/>
        <v>0</v>
      </c>
      <c r="H320" s="163">
        <f t="shared" si="125"/>
        <v>0</v>
      </c>
      <c r="I320" s="163">
        <f t="shared" si="125"/>
        <v>0</v>
      </c>
      <c r="J320" s="163">
        <f t="shared" si="125"/>
        <v>0</v>
      </c>
      <c r="K320" s="163">
        <f t="shared" si="125"/>
        <v>0</v>
      </c>
      <c r="L320" s="163">
        <f t="shared" si="125"/>
        <v>0</v>
      </c>
      <c r="M320" s="163">
        <f t="shared" si="125"/>
        <v>0</v>
      </c>
      <c r="N320" s="163">
        <f t="shared" si="125"/>
        <v>0</v>
      </c>
      <c r="O320" s="163">
        <f t="shared" si="125"/>
        <v>0</v>
      </c>
      <c r="P320" s="163">
        <f t="shared" si="125"/>
        <v>0</v>
      </c>
      <c r="Q320" s="163">
        <f t="shared" si="125"/>
        <v>0</v>
      </c>
      <c r="R320" s="163">
        <f t="shared" si="125"/>
        <v>0</v>
      </c>
      <c r="S320" s="163">
        <f t="shared" si="125"/>
        <v>0</v>
      </c>
      <c r="T320" s="163">
        <f t="shared" si="125"/>
        <v>0</v>
      </c>
      <c r="U320" s="163">
        <f t="shared" si="125"/>
        <v>0</v>
      </c>
      <c r="V320" s="163">
        <f t="shared" si="125"/>
        <v>0</v>
      </c>
      <c r="W320" s="163">
        <f t="shared" si="125"/>
        <v>0</v>
      </c>
      <c r="X320" s="163">
        <f t="shared" si="125"/>
        <v>0</v>
      </c>
      <c r="Y320" s="163">
        <f t="shared" si="125"/>
        <v>0</v>
      </c>
      <c r="Z320" s="163">
        <f t="shared" si="125"/>
        <v>0</v>
      </c>
      <c r="AA320" s="163">
        <f t="shared" si="125"/>
        <v>0</v>
      </c>
      <c r="AB320" s="163">
        <f t="shared" si="125"/>
        <v>0</v>
      </c>
      <c r="AC320" s="163">
        <f t="shared" si="125"/>
        <v>0</v>
      </c>
      <c r="AD320" s="163">
        <f t="shared" si="125"/>
        <v>0</v>
      </c>
      <c r="AE320" s="163">
        <f t="shared" si="125"/>
        <v>0</v>
      </c>
      <c r="AF320" s="163">
        <f t="shared" si="125"/>
        <v>0</v>
      </c>
      <c r="AG320" s="163">
        <f t="shared" si="125"/>
        <v>0</v>
      </c>
      <c r="AH320" s="163">
        <f t="shared" si="125"/>
        <v>0</v>
      </c>
      <c r="AI320" s="163">
        <f t="shared" si="125"/>
        <v>0</v>
      </c>
      <c r="AJ320" s="163">
        <f t="shared" si="125"/>
        <v>0</v>
      </c>
      <c r="AK320" s="163">
        <f t="shared" si="125"/>
        <v>0</v>
      </c>
      <c r="AL320" s="163">
        <f t="shared" si="125"/>
        <v>0</v>
      </c>
      <c r="AM320" s="163">
        <f t="shared" si="125"/>
        <v>0</v>
      </c>
      <c r="AN320" s="163">
        <f t="shared" si="125"/>
        <v>0</v>
      </c>
      <c r="AO320" s="163">
        <f t="shared" si="125"/>
        <v>0</v>
      </c>
      <c r="AP320" s="163">
        <f t="shared" si="125"/>
        <v>0</v>
      </c>
    </row>
    <row r="321" spans="1:42" x14ac:dyDescent="0.2">
      <c r="A321" s="4">
        <f t="shared" si="121"/>
        <v>7</v>
      </c>
      <c r="B321" s="178">
        <f t="shared" si="119"/>
        <v>0</v>
      </c>
      <c r="C321" s="163">
        <f t="shared" ref="C321:AP321" si="126">LOOKUP(C310,$B$299:$AP$299,$B$300:$AP$300)/100*$B645</f>
        <v>0</v>
      </c>
      <c r="D321" s="163">
        <f t="shared" si="126"/>
        <v>0</v>
      </c>
      <c r="E321" s="163">
        <f t="shared" si="126"/>
        <v>0</v>
      </c>
      <c r="F321" s="163">
        <f t="shared" si="126"/>
        <v>0</v>
      </c>
      <c r="G321" s="163">
        <f t="shared" si="126"/>
        <v>0</v>
      </c>
      <c r="H321" s="163">
        <f t="shared" si="126"/>
        <v>0</v>
      </c>
      <c r="I321" s="163">
        <f t="shared" si="126"/>
        <v>0</v>
      </c>
      <c r="J321" s="163">
        <f t="shared" si="126"/>
        <v>0</v>
      </c>
      <c r="K321" s="163">
        <f t="shared" si="126"/>
        <v>0</v>
      </c>
      <c r="L321" s="163">
        <f t="shared" si="126"/>
        <v>0</v>
      </c>
      <c r="M321" s="163">
        <f t="shared" si="126"/>
        <v>0</v>
      </c>
      <c r="N321" s="163">
        <f t="shared" si="126"/>
        <v>0</v>
      </c>
      <c r="O321" s="163">
        <f t="shared" si="126"/>
        <v>0</v>
      </c>
      <c r="P321" s="163">
        <f t="shared" si="126"/>
        <v>0</v>
      </c>
      <c r="Q321" s="163">
        <f t="shared" si="126"/>
        <v>0</v>
      </c>
      <c r="R321" s="163">
        <f t="shared" si="126"/>
        <v>0</v>
      </c>
      <c r="S321" s="163">
        <f t="shared" si="126"/>
        <v>0</v>
      </c>
      <c r="T321" s="163">
        <f t="shared" si="126"/>
        <v>0</v>
      </c>
      <c r="U321" s="163">
        <f t="shared" si="126"/>
        <v>0</v>
      </c>
      <c r="V321" s="163">
        <f t="shared" si="126"/>
        <v>0</v>
      </c>
      <c r="W321" s="163">
        <f t="shared" si="126"/>
        <v>0</v>
      </c>
      <c r="X321" s="163">
        <f t="shared" si="126"/>
        <v>0</v>
      </c>
      <c r="Y321" s="163">
        <f t="shared" si="126"/>
        <v>0</v>
      </c>
      <c r="Z321" s="163">
        <f t="shared" si="126"/>
        <v>0</v>
      </c>
      <c r="AA321" s="163">
        <f t="shared" si="126"/>
        <v>0</v>
      </c>
      <c r="AB321" s="163">
        <f t="shared" si="126"/>
        <v>0</v>
      </c>
      <c r="AC321" s="163">
        <f t="shared" si="126"/>
        <v>0</v>
      </c>
      <c r="AD321" s="163">
        <f t="shared" si="126"/>
        <v>0</v>
      </c>
      <c r="AE321" s="163">
        <f t="shared" si="126"/>
        <v>0</v>
      </c>
      <c r="AF321" s="163">
        <f t="shared" si="126"/>
        <v>0</v>
      </c>
      <c r="AG321" s="163">
        <f t="shared" si="126"/>
        <v>0</v>
      </c>
      <c r="AH321" s="163">
        <f t="shared" si="126"/>
        <v>0</v>
      </c>
      <c r="AI321" s="163">
        <f t="shared" si="126"/>
        <v>0</v>
      </c>
      <c r="AJ321" s="163">
        <f t="shared" si="126"/>
        <v>0</v>
      </c>
      <c r="AK321" s="163">
        <f t="shared" si="126"/>
        <v>0</v>
      </c>
      <c r="AL321" s="163">
        <f t="shared" si="126"/>
        <v>0</v>
      </c>
      <c r="AM321" s="163">
        <f t="shared" si="126"/>
        <v>0</v>
      </c>
      <c r="AN321" s="163">
        <f t="shared" si="126"/>
        <v>0</v>
      </c>
      <c r="AO321" s="163">
        <f t="shared" si="126"/>
        <v>0</v>
      </c>
      <c r="AP321" s="163">
        <f t="shared" si="126"/>
        <v>0</v>
      </c>
    </row>
    <row r="322" spans="1:42" x14ac:dyDescent="0.2">
      <c r="A322" s="4">
        <f t="shared" si="121"/>
        <v>8</v>
      </c>
      <c r="B322" s="178">
        <f t="shared" si="119"/>
        <v>0</v>
      </c>
      <c r="C322" s="163">
        <f t="shared" ref="C322:AP322" si="127">LOOKUP(C311,$B$299:$AP$299,$B$300:$AP$300)/100*$B646</f>
        <v>0</v>
      </c>
      <c r="D322" s="163">
        <f t="shared" si="127"/>
        <v>0</v>
      </c>
      <c r="E322" s="163">
        <f t="shared" si="127"/>
        <v>0</v>
      </c>
      <c r="F322" s="163">
        <f t="shared" si="127"/>
        <v>0</v>
      </c>
      <c r="G322" s="163">
        <f t="shared" si="127"/>
        <v>0</v>
      </c>
      <c r="H322" s="163">
        <f t="shared" si="127"/>
        <v>0</v>
      </c>
      <c r="I322" s="163">
        <f t="shared" si="127"/>
        <v>0</v>
      </c>
      <c r="J322" s="163">
        <f t="shared" si="127"/>
        <v>0</v>
      </c>
      <c r="K322" s="163">
        <f t="shared" si="127"/>
        <v>0</v>
      </c>
      <c r="L322" s="163">
        <f t="shared" si="127"/>
        <v>0</v>
      </c>
      <c r="M322" s="163">
        <f t="shared" si="127"/>
        <v>0</v>
      </c>
      <c r="N322" s="163">
        <f t="shared" si="127"/>
        <v>0</v>
      </c>
      <c r="O322" s="163">
        <f t="shared" si="127"/>
        <v>0</v>
      </c>
      <c r="P322" s="163">
        <f t="shared" si="127"/>
        <v>0</v>
      </c>
      <c r="Q322" s="163">
        <f t="shared" si="127"/>
        <v>0</v>
      </c>
      <c r="R322" s="163">
        <f t="shared" si="127"/>
        <v>0</v>
      </c>
      <c r="S322" s="163">
        <f t="shared" si="127"/>
        <v>0</v>
      </c>
      <c r="T322" s="163">
        <f t="shared" si="127"/>
        <v>0</v>
      </c>
      <c r="U322" s="163">
        <f t="shared" si="127"/>
        <v>0</v>
      </c>
      <c r="V322" s="163">
        <f t="shared" si="127"/>
        <v>0</v>
      </c>
      <c r="W322" s="163">
        <f t="shared" si="127"/>
        <v>0</v>
      </c>
      <c r="X322" s="163">
        <f t="shared" si="127"/>
        <v>0</v>
      </c>
      <c r="Y322" s="163">
        <f t="shared" si="127"/>
        <v>0</v>
      </c>
      <c r="Z322" s="163">
        <f t="shared" si="127"/>
        <v>0</v>
      </c>
      <c r="AA322" s="163">
        <f t="shared" si="127"/>
        <v>0</v>
      </c>
      <c r="AB322" s="163">
        <f t="shared" si="127"/>
        <v>0</v>
      </c>
      <c r="AC322" s="163">
        <f t="shared" si="127"/>
        <v>0</v>
      </c>
      <c r="AD322" s="163">
        <f t="shared" si="127"/>
        <v>0</v>
      </c>
      <c r="AE322" s="163">
        <f t="shared" si="127"/>
        <v>0</v>
      </c>
      <c r="AF322" s="163">
        <f t="shared" si="127"/>
        <v>0</v>
      </c>
      <c r="AG322" s="163">
        <f t="shared" si="127"/>
        <v>0</v>
      </c>
      <c r="AH322" s="163">
        <f t="shared" si="127"/>
        <v>0</v>
      </c>
      <c r="AI322" s="163">
        <f t="shared" si="127"/>
        <v>0</v>
      </c>
      <c r="AJ322" s="163">
        <f t="shared" si="127"/>
        <v>0</v>
      </c>
      <c r="AK322" s="163">
        <f t="shared" si="127"/>
        <v>0</v>
      </c>
      <c r="AL322" s="163">
        <f t="shared" si="127"/>
        <v>0</v>
      </c>
      <c r="AM322" s="163">
        <f t="shared" si="127"/>
        <v>0</v>
      </c>
      <c r="AN322" s="163">
        <f t="shared" si="127"/>
        <v>0</v>
      </c>
      <c r="AO322" s="163">
        <f t="shared" si="127"/>
        <v>0</v>
      </c>
      <c r="AP322" s="163">
        <f t="shared" si="127"/>
        <v>0</v>
      </c>
    </row>
    <row r="323" spans="1:42" x14ac:dyDescent="0.2">
      <c r="A323" s="4">
        <f>A322+1</f>
        <v>9</v>
      </c>
      <c r="B323" s="178">
        <f t="shared" si="119"/>
        <v>0</v>
      </c>
      <c r="C323" s="163">
        <f t="shared" ref="C323:AP323" si="128">LOOKUP(C312,$B$299:$AP$299,$B$300:$AP$300)/100*$B647</f>
        <v>0</v>
      </c>
      <c r="D323" s="163">
        <f t="shared" si="128"/>
        <v>0</v>
      </c>
      <c r="E323" s="163">
        <f t="shared" si="128"/>
        <v>0</v>
      </c>
      <c r="F323" s="163">
        <f t="shared" si="128"/>
        <v>0</v>
      </c>
      <c r="G323" s="163">
        <f t="shared" si="128"/>
        <v>0</v>
      </c>
      <c r="H323" s="163">
        <f t="shared" si="128"/>
        <v>0</v>
      </c>
      <c r="I323" s="163">
        <f t="shared" si="128"/>
        <v>0</v>
      </c>
      <c r="J323" s="163">
        <f t="shared" si="128"/>
        <v>0</v>
      </c>
      <c r="K323" s="163">
        <f t="shared" si="128"/>
        <v>0</v>
      </c>
      <c r="L323" s="163">
        <f t="shared" si="128"/>
        <v>0</v>
      </c>
      <c r="M323" s="163">
        <f t="shared" si="128"/>
        <v>0</v>
      </c>
      <c r="N323" s="163">
        <f t="shared" si="128"/>
        <v>0</v>
      </c>
      <c r="O323" s="163">
        <f t="shared" si="128"/>
        <v>0</v>
      </c>
      <c r="P323" s="163">
        <f t="shared" si="128"/>
        <v>0</v>
      </c>
      <c r="Q323" s="163">
        <f t="shared" si="128"/>
        <v>0</v>
      </c>
      <c r="R323" s="163">
        <f t="shared" si="128"/>
        <v>0</v>
      </c>
      <c r="S323" s="163">
        <f t="shared" si="128"/>
        <v>0</v>
      </c>
      <c r="T323" s="163">
        <f t="shared" si="128"/>
        <v>0</v>
      </c>
      <c r="U323" s="163">
        <f t="shared" si="128"/>
        <v>0</v>
      </c>
      <c r="V323" s="163">
        <f t="shared" si="128"/>
        <v>0</v>
      </c>
      <c r="W323" s="163">
        <f t="shared" si="128"/>
        <v>0</v>
      </c>
      <c r="X323" s="163">
        <f t="shared" si="128"/>
        <v>0</v>
      </c>
      <c r="Y323" s="163">
        <f t="shared" si="128"/>
        <v>0</v>
      </c>
      <c r="Z323" s="163">
        <f t="shared" si="128"/>
        <v>0</v>
      </c>
      <c r="AA323" s="163">
        <f t="shared" si="128"/>
        <v>0</v>
      </c>
      <c r="AB323" s="163">
        <f t="shared" si="128"/>
        <v>0</v>
      </c>
      <c r="AC323" s="163">
        <f t="shared" si="128"/>
        <v>0</v>
      </c>
      <c r="AD323" s="163">
        <f t="shared" si="128"/>
        <v>0</v>
      </c>
      <c r="AE323" s="163">
        <f t="shared" si="128"/>
        <v>0</v>
      </c>
      <c r="AF323" s="163">
        <f t="shared" si="128"/>
        <v>0</v>
      </c>
      <c r="AG323" s="163">
        <f t="shared" si="128"/>
        <v>0</v>
      </c>
      <c r="AH323" s="163">
        <f t="shared" si="128"/>
        <v>0</v>
      </c>
      <c r="AI323" s="163">
        <f t="shared" si="128"/>
        <v>0</v>
      </c>
      <c r="AJ323" s="163">
        <f t="shared" si="128"/>
        <v>0</v>
      </c>
      <c r="AK323" s="163">
        <f t="shared" si="128"/>
        <v>0</v>
      </c>
      <c r="AL323" s="163">
        <f t="shared" si="128"/>
        <v>0</v>
      </c>
      <c r="AM323" s="163">
        <f t="shared" si="128"/>
        <v>0</v>
      </c>
      <c r="AN323" s="163">
        <f t="shared" si="128"/>
        <v>0</v>
      </c>
      <c r="AO323" s="163">
        <f t="shared" si="128"/>
        <v>0</v>
      </c>
      <c r="AP323" s="163">
        <f t="shared" si="128"/>
        <v>0</v>
      </c>
    </row>
    <row r="324" spans="1:42" x14ac:dyDescent="0.2">
      <c r="A324" s="4">
        <f t="shared" si="121"/>
        <v>10</v>
      </c>
      <c r="B324" s="178">
        <f t="shared" si="119"/>
        <v>0</v>
      </c>
      <c r="C324" s="163">
        <f t="shared" ref="C324:AP324" si="129">LOOKUP(C313,$B$299:$AP$299,$B$300:$AP$300)/100*$B648</f>
        <v>0</v>
      </c>
      <c r="D324" s="163">
        <f t="shared" si="129"/>
        <v>0</v>
      </c>
      <c r="E324" s="163">
        <f t="shared" si="129"/>
        <v>0</v>
      </c>
      <c r="F324" s="163">
        <f t="shared" si="129"/>
        <v>0</v>
      </c>
      <c r="G324" s="163">
        <f t="shared" si="129"/>
        <v>0</v>
      </c>
      <c r="H324" s="163">
        <f t="shared" si="129"/>
        <v>0</v>
      </c>
      <c r="I324" s="163">
        <f t="shared" si="129"/>
        <v>0</v>
      </c>
      <c r="J324" s="163">
        <f t="shared" si="129"/>
        <v>0</v>
      </c>
      <c r="K324" s="163">
        <f t="shared" si="129"/>
        <v>0</v>
      </c>
      <c r="L324" s="163">
        <f t="shared" si="129"/>
        <v>0</v>
      </c>
      <c r="M324" s="163">
        <f t="shared" si="129"/>
        <v>0</v>
      </c>
      <c r="N324" s="163">
        <f t="shared" si="129"/>
        <v>0</v>
      </c>
      <c r="O324" s="163">
        <f t="shared" si="129"/>
        <v>0</v>
      </c>
      <c r="P324" s="163">
        <f t="shared" si="129"/>
        <v>0</v>
      </c>
      <c r="Q324" s="163">
        <f t="shared" si="129"/>
        <v>0</v>
      </c>
      <c r="R324" s="163">
        <f t="shared" si="129"/>
        <v>0</v>
      </c>
      <c r="S324" s="163">
        <f t="shared" si="129"/>
        <v>0</v>
      </c>
      <c r="T324" s="163">
        <f t="shared" si="129"/>
        <v>0</v>
      </c>
      <c r="U324" s="163">
        <f t="shared" si="129"/>
        <v>0</v>
      </c>
      <c r="V324" s="163">
        <f t="shared" si="129"/>
        <v>0</v>
      </c>
      <c r="W324" s="163">
        <f t="shared" si="129"/>
        <v>0</v>
      </c>
      <c r="X324" s="163">
        <f t="shared" si="129"/>
        <v>0</v>
      </c>
      <c r="Y324" s="163">
        <f t="shared" si="129"/>
        <v>0</v>
      </c>
      <c r="Z324" s="163">
        <f t="shared" si="129"/>
        <v>0</v>
      </c>
      <c r="AA324" s="163">
        <f t="shared" si="129"/>
        <v>0</v>
      </c>
      <c r="AB324" s="163">
        <f t="shared" si="129"/>
        <v>0</v>
      </c>
      <c r="AC324" s="163">
        <f t="shared" si="129"/>
        <v>0</v>
      </c>
      <c r="AD324" s="163">
        <f t="shared" si="129"/>
        <v>0</v>
      </c>
      <c r="AE324" s="163">
        <f t="shared" si="129"/>
        <v>0</v>
      </c>
      <c r="AF324" s="163">
        <f t="shared" si="129"/>
        <v>0</v>
      </c>
      <c r="AG324" s="163">
        <f t="shared" si="129"/>
        <v>0</v>
      </c>
      <c r="AH324" s="163">
        <f t="shared" si="129"/>
        <v>0</v>
      </c>
      <c r="AI324" s="163">
        <f t="shared" si="129"/>
        <v>0</v>
      </c>
      <c r="AJ324" s="163">
        <f t="shared" si="129"/>
        <v>0</v>
      </c>
      <c r="AK324" s="163">
        <f t="shared" si="129"/>
        <v>0</v>
      </c>
      <c r="AL324" s="163">
        <f t="shared" si="129"/>
        <v>0</v>
      </c>
      <c r="AM324" s="163">
        <f t="shared" si="129"/>
        <v>0</v>
      </c>
      <c r="AN324" s="163">
        <f t="shared" si="129"/>
        <v>0</v>
      </c>
      <c r="AO324" s="163">
        <f t="shared" si="129"/>
        <v>0</v>
      </c>
      <c r="AP324" s="163">
        <f t="shared" si="129"/>
        <v>0</v>
      </c>
    </row>
    <row r="325" spans="1:42" ht="12" customHeight="1" x14ac:dyDescent="0.2">
      <c r="A325" s="27" t="s">
        <v>13</v>
      </c>
      <c r="B325" s="163"/>
      <c r="C325" s="163">
        <f>SUM(C315:C324)</f>
        <v>0</v>
      </c>
      <c r="D325" s="163">
        <f t="shared" ref="D325:AP325" si="130">SUM(D315:D324)</f>
        <v>0</v>
      </c>
      <c r="E325" s="163">
        <f t="shared" si="130"/>
        <v>0</v>
      </c>
      <c r="F325" s="163">
        <f t="shared" si="130"/>
        <v>0</v>
      </c>
      <c r="G325" s="163">
        <f t="shared" si="130"/>
        <v>0</v>
      </c>
      <c r="H325" s="163">
        <f t="shared" si="130"/>
        <v>0</v>
      </c>
      <c r="I325" s="163">
        <f t="shared" si="130"/>
        <v>0</v>
      </c>
      <c r="J325" s="163">
        <f t="shared" si="130"/>
        <v>0</v>
      </c>
      <c r="K325" s="163">
        <f t="shared" si="130"/>
        <v>0</v>
      </c>
      <c r="L325" s="163">
        <f t="shared" si="130"/>
        <v>0</v>
      </c>
      <c r="M325" s="163">
        <f t="shared" si="130"/>
        <v>0</v>
      </c>
      <c r="N325" s="163">
        <f t="shared" si="130"/>
        <v>0</v>
      </c>
      <c r="O325" s="163">
        <f t="shared" si="130"/>
        <v>0</v>
      </c>
      <c r="P325" s="163">
        <f t="shared" si="130"/>
        <v>0</v>
      </c>
      <c r="Q325" s="163">
        <f t="shared" si="130"/>
        <v>2825947.6419475321</v>
      </c>
      <c r="R325" s="163">
        <f t="shared" si="130"/>
        <v>4521516.2271160511</v>
      </c>
      <c r="S325" s="163">
        <f t="shared" si="130"/>
        <v>2712909.736269631</v>
      </c>
      <c r="T325" s="163">
        <f t="shared" si="130"/>
        <v>1627745.8417617783</v>
      </c>
      <c r="U325" s="163">
        <f t="shared" si="130"/>
        <v>1627745.8417617783</v>
      </c>
      <c r="V325" s="163">
        <f t="shared" si="130"/>
        <v>813872.92088088917</v>
      </c>
      <c r="W325" s="163">
        <f t="shared" si="130"/>
        <v>0</v>
      </c>
      <c r="X325" s="163">
        <f t="shared" si="130"/>
        <v>0</v>
      </c>
      <c r="Y325" s="163">
        <f t="shared" si="130"/>
        <v>0</v>
      </c>
      <c r="Z325" s="163">
        <f t="shared" si="130"/>
        <v>0</v>
      </c>
      <c r="AA325" s="163">
        <f t="shared" si="130"/>
        <v>0</v>
      </c>
      <c r="AB325" s="163">
        <f t="shared" si="130"/>
        <v>0</v>
      </c>
      <c r="AC325" s="163">
        <f t="shared" si="130"/>
        <v>0</v>
      </c>
      <c r="AD325" s="163">
        <f t="shared" si="130"/>
        <v>0</v>
      </c>
      <c r="AE325" s="163">
        <f t="shared" si="130"/>
        <v>0</v>
      </c>
      <c r="AF325" s="163">
        <f t="shared" si="130"/>
        <v>0</v>
      </c>
      <c r="AG325" s="163">
        <f t="shared" si="130"/>
        <v>0</v>
      </c>
      <c r="AH325" s="163">
        <f t="shared" si="130"/>
        <v>0</v>
      </c>
      <c r="AI325" s="163">
        <f t="shared" si="130"/>
        <v>0</v>
      </c>
      <c r="AJ325" s="163">
        <f t="shared" si="130"/>
        <v>0</v>
      </c>
      <c r="AK325" s="163">
        <f t="shared" si="130"/>
        <v>0</v>
      </c>
      <c r="AL325" s="163">
        <f t="shared" si="130"/>
        <v>0</v>
      </c>
      <c r="AM325" s="163">
        <f t="shared" si="130"/>
        <v>0</v>
      </c>
      <c r="AN325" s="163">
        <f t="shared" si="130"/>
        <v>0</v>
      </c>
      <c r="AO325" s="163">
        <f t="shared" si="130"/>
        <v>0</v>
      </c>
      <c r="AP325" s="163">
        <f t="shared" si="130"/>
        <v>0</v>
      </c>
    </row>
    <row r="326" spans="1:42" x14ac:dyDescent="0.2">
      <c r="A326" s="22"/>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row>
    <row r="327" spans="1:42" x14ac:dyDescent="0.2">
      <c r="A327" s="18" t="s">
        <v>90</v>
      </c>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row>
    <row r="328" spans="1:42" x14ac:dyDescent="0.2">
      <c r="A328" s="22" t="s">
        <v>75</v>
      </c>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row>
    <row r="329" spans="1:42" x14ac:dyDescent="0.2">
      <c r="A329" s="4">
        <v>1</v>
      </c>
      <c r="B329" s="4">
        <v>0</v>
      </c>
      <c r="C329" s="163">
        <f>IF(C$2&lt;=analysis_period,IF(SUM($C671:C671)&gt;0,B329+1,0),0)</f>
        <v>0</v>
      </c>
      <c r="D329" s="163">
        <f>IF(D$2&lt;=analysis_period,IF(SUM($C671:D671)&gt;0,C329+1,0),0)</f>
        <v>0</v>
      </c>
      <c r="E329" s="163">
        <f>IF(E$2&lt;=analysis_period,IF(SUM($C671:E671)&gt;0,D329+1,0),0)</f>
        <v>0</v>
      </c>
      <c r="F329" s="163">
        <f>IF(F$2&lt;=analysis_period,IF(SUM($C671:F671)&gt;0,E329+1,0),0)</f>
        <v>0</v>
      </c>
      <c r="G329" s="163">
        <f>IF(G$2&lt;=analysis_period,IF(SUM($C671:G671)&gt;0,F329+1,0),0)</f>
        <v>0</v>
      </c>
      <c r="H329" s="163">
        <f>IF(H$2&lt;=analysis_period,IF(SUM($C671:H671)&gt;0,G329+1,0),0)</f>
        <v>0</v>
      </c>
      <c r="I329" s="163">
        <f>IF(I$2&lt;=analysis_period,IF(SUM($C671:I671)&gt;0,H329+1,0),0)</f>
        <v>0</v>
      </c>
      <c r="J329" s="163">
        <f>IF(J$2&lt;=analysis_period,IF(SUM($C671:J671)&gt;0,I329+1,0),0)</f>
        <v>0</v>
      </c>
      <c r="K329" s="163">
        <f>IF(K$2&lt;=analysis_period,IF(SUM($C671:K671)&gt;0,J329+1,0),0)</f>
        <v>0</v>
      </c>
      <c r="L329" s="163">
        <f>IF(L$2&lt;=analysis_period,IF(SUM($C671:L671)&gt;0,K329+1,0),0)</f>
        <v>0</v>
      </c>
      <c r="M329" s="163">
        <f>IF(M$2&lt;=analysis_period,IF(SUM($C671:M671)&gt;0,L329+1,0),0)</f>
        <v>0</v>
      </c>
      <c r="N329" s="163">
        <f>IF(N$2&lt;=analysis_period,IF(SUM($C671:N671)&gt;0,M329+1,0),0)</f>
        <v>0</v>
      </c>
      <c r="O329" s="163">
        <f>IF(O$2&lt;=analysis_period,IF(SUM($C671:O671)&gt;0,N329+1,0),0)</f>
        <v>0</v>
      </c>
      <c r="P329" s="163">
        <f>IF(P$2&lt;=analysis_period,IF(SUM($C671:P671)&gt;0,O329+1,0),0)</f>
        <v>0</v>
      </c>
      <c r="Q329" s="163">
        <f>IF(Q$2&lt;=analysis_period,IF(SUM($C671:Q671)&gt;0,P329+1,0),0)</f>
        <v>0</v>
      </c>
      <c r="R329" s="163">
        <f>IF(R$2&lt;=analysis_period,IF(SUM($C671:R671)&gt;0,Q329+1,0),0)</f>
        <v>0</v>
      </c>
      <c r="S329" s="163">
        <f>IF(S$2&lt;=analysis_period,IF(SUM($C671:S671)&gt;0,R329+1,0),0)</f>
        <v>0</v>
      </c>
      <c r="T329" s="163">
        <f>IF(T$2&lt;=analysis_period,IF(SUM($C671:T671)&gt;0,S329+1,0),0)</f>
        <v>0</v>
      </c>
      <c r="U329" s="163">
        <f>IF(U$2&lt;=analysis_period,IF(SUM($C671:U671)&gt;0,T329+1,0),0)</f>
        <v>0</v>
      </c>
      <c r="V329" s="163">
        <f>IF(V$2&lt;=analysis_period,IF(SUM($C671:V671)&gt;0,U329+1,0),0)</f>
        <v>0</v>
      </c>
      <c r="W329" s="163">
        <f>IF(W$2&lt;=analysis_period,IF(SUM($C671:W671)&gt;0,V329+1,0),0)</f>
        <v>0</v>
      </c>
      <c r="X329" s="163">
        <f>IF(X$2&lt;=analysis_period,IF(SUM($C671:X671)&gt;0,W329+1,0),0)</f>
        <v>0</v>
      </c>
      <c r="Y329" s="163">
        <f>IF(Y$2&lt;=analysis_period,IF(SUM($C671:Y671)&gt;0,X329+1,0),0)</f>
        <v>0</v>
      </c>
      <c r="Z329" s="163">
        <f>IF(Z$2&lt;=analysis_period,IF(SUM($C671:Z671)&gt;0,Y329+1,0),0)</f>
        <v>0</v>
      </c>
      <c r="AA329" s="163">
        <f>IF(AA$2&lt;=analysis_period,IF(SUM($C671:AA671)&gt;0,Z329+1,0),0)</f>
        <v>0</v>
      </c>
      <c r="AB329" s="163">
        <f>IF(AB$2&lt;=analysis_period,IF(SUM($C671:AB671)&gt;0,AA329+1,0),0)</f>
        <v>0</v>
      </c>
      <c r="AC329" s="163">
        <f>IF(AC$2&lt;=analysis_period,IF(SUM($C671:AC671)&gt;0,AB329+1,0),0)</f>
        <v>0</v>
      </c>
      <c r="AD329" s="163">
        <f>IF(AD$2&lt;=analysis_period,IF(SUM($C671:AD671)&gt;0,AC329+1,0),0)</f>
        <v>0</v>
      </c>
      <c r="AE329" s="163">
        <f>IF(AE$2&lt;=analysis_period,IF(SUM($C671:AE671)&gt;0,AD329+1,0),0)</f>
        <v>0</v>
      </c>
      <c r="AF329" s="163">
        <f>IF(AF$2&lt;=analysis_period,IF(SUM($C671:AF671)&gt;0,AE329+1,0),0)</f>
        <v>0</v>
      </c>
      <c r="AG329" s="163">
        <f>IF(AG$2&lt;=analysis_period,IF(SUM($C671:AG671)&gt;0,AF329+1,0),0)</f>
        <v>0</v>
      </c>
      <c r="AH329" s="163">
        <f>IF(AH$2&lt;=analysis_period,IF(SUM($C671:AH671)&gt;0,AG329+1,0),0)</f>
        <v>0</v>
      </c>
      <c r="AI329" s="163">
        <f>IF(AI$2&lt;=analysis_period,IF(SUM($C671:AI671)&gt;0,AH329+1,0),0)</f>
        <v>0</v>
      </c>
      <c r="AJ329" s="163">
        <f>IF(AJ$2&lt;=analysis_period,IF(SUM($C671:AJ671)&gt;0,AI329+1,0),0)</f>
        <v>0</v>
      </c>
      <c r="AK329" s="163">
        <f>IF(AK$2&lt;=analysis_period,IF(SUM($C671:AK671)&gt;0,AJ329+1,0),0)</f>
        <v>0</v>
      </c>
      <c r="AL329" s="163">
        <f>IF(AL$2&lt;=analysis_period,IF(SUM($C671:AL671)&gt;0,AK329+1,0),0)</f>
        <v>0</v>
      </c>
      <c r="AM329" s="163">
        <f>IF(AM$2&lt;=analysis_period,IF(SUM($C671:AM671)&gt;0,AL329+1,0),0)</f>
        <v>0</v>
      </c>
      <c r="AN329" s="163">
        <f>IF(AN$2&lt;=analysis_period,IF(SUM($C671:AN671)&gt;0,AM329+1,0),0)</f>
        <v>0</v>
      </c>
      <c r="AO329" s="163">
        <f>IF(AO$2&lt;=analysis_period,IF(SUM($C671:AO671)&gt;0,AN329+1,0),0)</f>
        <v>0</v>
      </c>
      <c r="AP329" s="163">
        <f>IF(AP$2&lt;=analysis_period,IF(SUM($C671:AP671)&gt;0,AO329+1,0),0)</f>
        <v>0</v>
      </c>
    </row>
    <row r="330" spans="1:42" x14ac:dyDescent="0.2">
      <c r="A330" s="4">
        <f>A329+1</f>
        <v>2</v>
      </c>
      <c r="B330" s="4">
        <v>0</v>
      </c>
      <c r="C330" s="163">
        <f>IF(C$2&lt;=analysis_period,IF(SUM($C672:C672)&gt;0,B330+1,0),0)</f>
        <v>0</v>
      </c>
      <c r="D330" s="163">
        <f>IF(D$2&lt;=analysis_period,IF(SUM($C672:D672)&gt;0,C330+1,0),0)</f>
        <v>0</v>
      </c>
      <c r="E330" s="163">
        <f>IF(E$2&lt;=analysis_period,IF(SUM($C672:E672)&gt;0,D330+1,0),0)</f>
        <v>0</v>
      </c>
      <c r="F330" s="163">
        <f>IF(F$2&lt;=analysis_period,IF(SUM($C672:F672)&gt;0,E330+1,0),0)</f>
        <v>0</v>
      </c>
      <c r="G330" s="163">
        <f>IF(G$2&lt;=analysis_period,IF(SUM($C672:G672)&gt;0,F330+1,0),0)</f>
        <v>0</v>
      </c>
      <c r="H330" s="163">
        <f>IF(H$2&lt;=analysis_period,IF(SUM($C672:H672)&gt;0,G330+1,0),0)</f>
        <v>0</v>
      </c>
      <c r="I330" s="163">
        <f>IF(I$2&lt;=analysis_period,IF(SUM($C672:I672)&gt;0,H330+1,0),0)</f>
        <v>0</v>
      </c>
      <c r="J330" s="163">
        <f>IF(J$2&lt;=analysis_period,IF(SUM($C672:J672)&gt;0,I330+1,0),0)</f>
        <v>0</v>
      </c>
      <c r="K330" s="163">
        <f>IF(K$2&lt;=analysis_period,IF(SUM($C672:K672)&gt;0,J330+1,0),0)</f>
        <v>0</v>
      </c>
      <c r="L330" s="163">
        <f>IF(L$2&lt;=analysis_period,IF(SUM($C672:L672)&gt;0,K330+1,0),0)</f>
        <v>0</v>
      </c>
      <c r="M330" s="163">
        <f>IF(M$2&lt;=analysis_period,IF(SUM($C672:M672)&gt;0,L330+1,0),0)</f>
        <v>0</v>
      </c>
      <c r="N330" s="163">
        <f>IF(N$2&lt;=analysis_period,IF(SUM($C672:N672)&gt;0,M330+1,0),0)</f>
        <v>0</v>
      </c>
      <c r="O330" s="163">
        <f>IF(O$2&lt;=analysis_period,IF(SUM($C672:O672)&gt;0,N330+1,0),0)</f>
        <v>0</v>
      </c>
      <c r="P330" s="163">
        <f>IF(P$2&lt;=analysis_period,IF(SUM($C672:P672)&gt;0,O330+1,0),0)</f>
        <v>0</v>
      </c>
      <c r="Q330" s="163">
        <f>IF(Q$2&lt;=analysis_period,IF(SUM($C672:Q672)&gt;0,P330+1,0),0)</f>
        <v>0</v>
      </c>
      <c r="R330" s="163">
        <f>IF(R$2&lt;=analysis_period,IF(SUM($C672:R672)&gt;0,Q330+1,0),0)</f>
        <v>0</v>
      </c>
      <c r="S330" s="163">
        <f>IF(S$2&lt;=analysis_period,IF(SUM($C672:S672)&gt;0,R330+1,0),0)</f>
        <v>0</v>
      </c>
      <c r="T330" s="163">
        <f>IF(T$2&lt;=analysis_period,IF(SUM($C672:T672)&gt;0,S330+1,0),0)</f>
        <v>0</v>
      </c>
      <c r="U330" s="163">
        <f>IF(U$2&lt;=analysis_period,IF(SUM($C672:U672)&gt;0,T330+1,0),0)</f>
        <v>0</v>
      </c>
      <c r="V330" s="163">
        <f>IF(V$2&lt;=analysis_period,IF(SUM($C672:V672)&gt;0,U330+1,0),0)</f>
        <v>0</v>
      </c>
      <c r="W330" s="163">
        <f>IF(W$2&lt;=analysis_period,IF(SUM($C672:W672)&gt;0,V330+1,0),0)</f>
        <v>0</v>
      </c>
      <c r="X330" s="163">
        <f>IF(X$2&lt;=analysis_period,IF(SUM($C672:X672)&gt;0,W330+1,0),0)</f>
        <v>0</v>
      </c>
      <c r="Y330" s="163">
        <f>IF(Y$2&lt;=analysis_period,IF(SUM($C672:Y672)&gt;0,X330+1,0),0)</f>
        <v>0</v>
      </c>
      <c r="Z330" s="163">
        <f>IF(Z$2&lt;=analysis_period,IF(SUM($C672:Z672)&gt;0,Y330+1,0),0)</f>
        <v>0</v>
      </c>
      <c r="AA330" s="163">
        <f>IF(AA$2&lt;=analysis_period,IF(SUM($C672:AA672)&gt;0,Z330+1,0),0)</f>
        <v>0</v>
      </c>
      <c r="AB330" s="163">
        <f>IF(AB$2&lt;=analysis_period,IF(SUM($C672:AB672)&gt;0,AA330+1,0),0)</f>
        <v>0</v>
      </c>
      <c r="AC330" s="163">
        <f>IF(AC$2&lt;=analysis_period,IF(SUM($C672:AC672)&gt;0,AB330+1,0),0)</f>
        <v>0</v>
      </c>
      <c r="AD330" s="163">
        <f>IF(AD$2&lt;=analysis_period,IF(SUM($C672:AD672)&gt;0,AC330+1,0),0)</f>
        <v>0</v>
      </c>
      <c r="AE330" s="163">
        <f>IF(AE$2&lt;=analysis_period,IF(SUM($C672:AE672)&gt;0,AD330+1,0),0)</f>
        <v>0</v>
      </c>
      <c r="AF330" s="163">
        <f>IF(AF$2&lt;=analysis_period,IF(SUM($C672:AF672)&gt;0,AE330+1,0),0)</f>
        <v>0</v>
      </c>
      <c r="AG330" s="163">
        <f>IF(AG$2&lt;=analysis_period,IF(SUM($C672:AG672)&gt;0,AF330+1,0),0)</f>
        <v>0</v>
      </c>
      <c r="AH330" s="163">
        <f>IF(AH$2&lt;=analysis_period,IF(SUM($C672:AH672)&gt;0,AG330+1,0),0)</f>
        <v>0</v>
      </c>
      <c r="AI330" s="163">
        <f>IF(AI$2&lt;=analysis_period,IF(SUM($C672:AI672)&gt;0,AH330+1,0),0)</f>
        <v>0</v>
      </c>
      <c r="AJ330" s="163">
        <f>IF(AJ$2&lt;=analysis_period,IF(SUM($C672:AJ672)&gt;0,AI330+1,0),0)</f>
        <v>0</v>
      </c>
      <c r="AK330" s="163">
        <f>IF(AK$2&lt;=analysis_period,IF(SUM($C672:AK672)&gt;0,AJ330+1,0),0)</f>
        <v>0</v>
      </c>
      <c r="AL330" s="163">
        <f>IF(AL$2&lt;=analysis_period,IF(SUM($C672:AL672)&gt;0,AK330+1,0),0)</f>
        <v>0</v>
      </c>
      <c r="AM330" s="163">
        <f>IF(AM$2&lt;=analysis_period,IF(SUM($C672:AM672)&gt;0,AL330+1,0),0)</f>
        <v>0</v>
      </c>
      <c r="AN330" s="163">
        <f>IF(AN$2&lt;=analysis_period,IF(SUM($C672:AN672)&gt;0,AM330+1,0),0)</f>
        <v>0</v>
      </c>
      <c r="AO330" s="163">
        <f>IF(AO$2&lt;=analysis_period,IF(SUM($C672:AO672)&gt;0,AN330+1,0),0)</f>
        <v>0</v>
      </c>
      <c r="AP330" s="163">
        <f>IF(AP$2&lt;=analysis_period,IF(SUM($C672:AP672)&gt;0,AO330+1,0),0)</f>
        <v>0</v>
      </c>
    </row>
    <row r="331" spans="1:42" x14ac:dyDescent="0.2">
      <c r="A331" s="4">
        <f t="shared" ref="A331:A338" si="131">A330+1</f>
        <v>3</v>
      </c>
      <c r="B331" s="4">
        <v>0</v>
      </c>
      <c r="C331" s="163">
        <f>IF(C$2&lt;=analysis_period,IF(SUM($C673:C673)&gt;0,B331+1,0),0)</f>
        <v>0</v>
      </c>
      <c r="D331" s="163">
        <f>IF(D$2&lt;=analysis_period,IF(SUM($C673:D673)&gt;0,C331+1,0),0)</f>
        <v>0</v>
      </c>
      <c r="E331" s="163">
        <f>IF(E$2&lt;=analysis_period,IF(SUM($C673:E673)&gt;0,D331+1,0),0)</f>
        <v>0</v>
      </c>
      <c r="F331" s="163">
        <f>IF(F$2&lt;=analysis_period,IF(SUM($C673:F673)&gt;0,E331+1,0),0)</f>
        <v>0</v>
      </c>
      <c r="G331" s="163">
        <f>IF(G$2&lt;=analysis_period,IF(SUM($C673:G673)&gt;0,F331+1,0),0)</f>
        <v>0</v>
      </c>
      <c r="H331" s="163">
        <f>IF(H$2&lt;=analysis_period,IF(SUM($C673:H673)&gt;0,G331+1,0),0)</f>
        <v>0</v>
      </c>
      <c r="I331" s="163">
        <f>IF(I$2&lt;=analysis_period,IF(SUM($C673:I673)&gt;0,H331+1,0),0)</f>
        <v>0</v>
      </c>
      <c r="J331" s="163">
        <f>IF(J$2&lt;=analysis_period,IF(SUM($C673:J673)&gt;0,I331+1,0),0)</f>
        <v>0</v>
      </c>
      <c r="K331" s="163">
        <f>IF(K$2&lt;=analysis_period,IF(SUM($C673:K673)&gt;0,J331+1,0),0)</f>
        <v>0</v>
      </c>
      <c r="L331" s="163">
        <f>IF(L$2&lt;=analysis_period,IF(SUM($C673:L673)&gt;0,K331+1,0),0)</f>
        <v>0</v>
      </c>
      <c r="M331" s="163">
        <f>IF(M$2&lt;=analysis_period,IF(SUM($C673:M673)&gt;0,L331+1,0),0)</f>
        <v>0</v>
      </c>
      <c r="N331" s="163">
        <f>IF(N$2&lt;=analysis_period,IF(SUM($C673:N673)&gt;0,M331+1,0),0)</f>
        <v>0</v>
      </c>
      <c r="O331" s="163">
        <f>IF(O$2&lt;=analysis_period,IF(SUM($C673:O673)&gt;0,N331+1,0),0)</f>
        <v>0</v>
      </c>
      <c r="P331" s="163">
        <f>IF(P$2&lt;=analysis_period,IF(SUM($C673:P673)&gt;0,O331+1,0),0)</f>
        <v>0</v>
      </c>
      <c r="Q331" s="163">
        <f>IF(Q$2&lt;=analysis_period,IF(SUM($C673:Q673)&gt;0,P331+1,0),0)</f>
        <v>0</v>
      </c>
      <c r="R331" s="163">
        <f>IF(R$2&lt;=analysis_period,IF(SUM($C673:R673)&gt;0,Q331+1,0),0)</f>
        <v>0</v>
      </c>
      <c r="S331" s="163">
        <f>IF(S$2&lt;=analysis_period,IF(SUM($C673:S673)&gt;0,R331+1,0),0)</f>
        <v>0</v>
      </c>
      <c r="T331" s="163">
        <f>IF(T$2&lt;=analysis_period,IF(SUM($C673:T673)&gt;0,S331+1,0),0)</f>
        <v>0</v>
      </c>
      <c r="U331" s="163">
        <f>IF(U$2&lt;=analysis_period,IF(SUM($C673:U673)&gt;0,T331+1,0),0)</f>
        <v>0</v>
      </c>
      <c r="V331" s="163">
        <f>IF(V$2&lt;=analysis_period,IF(SUM($C673:V673)&gt;0,U331+1,0),0)</f>
        <v>0</v>
      </c>
      <c r="W331" s="163">
        <f>IF(W$2&lt;=analysis_period,IF(SUM($C673:W673)&gt;0,V331+1,0),0)</f>
        <v>0</v>
      </c>
      <c r="X331" s="163">
        <f>IF(X$2&lt;=analysis_period,IF(SUM($C673:X673)&gt;0,W331+1,0),0)</f>
        <v>0</v>
      </c>
      <c r="Y331" s="163">
        <f>IF(Y$2&lt;=analysis_period,IF(SUM($C673:Y673)&gt;0,X331+1,0),0)</f>
        <v>0</v>
      </c>
      <c r="Z331" s="163">
        <f>IF(Z$2&lt;=analysis_period,IF(SUM($C673:Z673)&gt;0,Y331+1,0),0)</f>
        <v>0</v>
      </c>
      <c r="AA331" s="163">
        <f>IF(AA$2&lt;=analysis_period,IF(SUM($C673:AA673)&gt;0,Z331+1,0),0)</f>
        <v>0</v>
      </c>
      <c r="AB331" s="163">
        <f>IF(AB$2&lt;=analysis_period,IF(SUM($C673:AB673)&gt;0,AA331+1,0),0)</f>
        <v>0</v>
      </c>
      <c r="AC331" s="163">
        <f>IF(AC$2&lt;=analysis_period,IF(SUM($C673:AC673)&gt;0,AB331+1,0),0)</f>
        <v>0</v>
      </c>
      <c r="AD331" s="163">
        <f>IF(AD$2&lt;=analysis_period,IF(SUM($C673:AD673)&gt;0,AC331+1,0),0)</f>
        <v>0</v>
      </c>
      <c r="AE331" s="163">
        <f>IF(AE$2&lt;=analysis_period,IF(SUM($C673:AE673)&gt;0,AD331+1,0),0)</f>
        <v>0</v>
      </c>
      <c r="AF331" s="163">
        <f>IF(AF$2&lt;=analysis_period,IF(SUM($C673:AF673)&gt;0,AE331+1,0),0)</f>
        <v>0</v>
      </c>
      <c r="AG331" s="163">
        <f>IF(AG$2&lt;=analysis_period,IF(SUM($C673:AG673)&gt;0,AF331+1,0),0)</f>
        <v>0</v>
      </c>
      <c r="AH331" s="163">
        <f>IF(AH$2&lt;=analysis_period,IF(SUM($C673:AH673)&gt;0,AG331+1,0),0)</f>
        <v>0</v>
      </c>
      <c r="AI331" s="163">
        <f>IF(AI$2&lt;=analysis_period,IF(SUM($C673:AI673)&gt;0,AH331+1,0),0)</f>
        <v>0</v>
      </c>
      <c r="AJ331" s="163">
        <f>IF(AJ$2&lt;=analysis_period,IF(SUM($C673:AJ673)&gt;0,AI331+1,0),0)</f>
        <v>0</v>
      </c>
      <c r="AK331" s="163">
        <f>IF(AK$2&lt;=analysis_period,IF(SUM($C673:AK673)&gt;0,AJ331+1,0),0)</f>
        <v>0</v>
      </c>
      <c r="AL331" s="163">
        <f>IF(AL$2&lt;=analysis_period,IF(SUM($C673:AL673)&gt;0,AK331+1,0),0)</f>
        <v>0</v>
      </c>
      <c r="AM331" s="163">
        <f>IF(AM$2&lt;=analysis_period,IF(SUM($C673:AM673)&gt;0,AL331+1,0),0)</f>
        <v>0</v>
      </c>
      <c r="AN331" s="163">
        <f>IF(AN$2&lt;=analysis_period,IF(SUM($C673:AN673)&gt;0,AM331+1,0),0)</f>
        <v>0</v>
      </c>
      <c r="AO331" s="163">
        <f>IF(AO$2&lt;=analysis_period,IF(SUM($C673:AO673)&gt;0,AN331+1,0),0)</f>
        <v>0</v>
      </c>
      <c r="AP331" s="163">
        <f>IF(AP$2&lt;=analysis_period,IF(SUM($C673:AP673)&gt;0,AO331+1,0),0)</f>
        <v>0</v>
      </c>
    </row>
    <row r="332" spans="1:42" x14ac:dyDescent="0.2">
      <c r="A332" s="4">
        <f t="shared" si="131"/>
        <v>4</v>
      </c>
      <c r="B332" s="4">
        <v>0</v>
      </c>
      <c r="C332" s="163">
        <f>IF(C$2&lt;=analysis_period,IF(SUM($C674:C674)&gt;0,B332+1,0),0)</f>
        <v>0</v>
      </c>
      <c r="D332" s="163">
        <f>IF(D$2&lt;=analysis_period,IF(SUM($C674:D674)&gt;0,C332+1,0),0)</f>
        <v>0</v>
      </c>
      <c r="E332" s="163">
        <f>IF(E$2&lt;=analysis_period,IF(SUM($C674:E674)&gt;0,D332+1,0),0)</f>
        <v>0</v>
      </c>
      <c r="F332" s="163">
        <f>IF(F$2&lt;=analysis_period,IF(SUM($C674:F674)&gt;0,E332+1,0),0)</f>
        <v>0</v>
      </c>
      <c r="G332" s="163">
        <f>IF(G$2&lt;=analysis_period,IF(SUM($C674:G674)&gt;0,F332+1,0),0)</f>
        <v>0</v>
      </c>
      <c r="H332" s="163">
        <f>IF(H$2&lt;=analysis_period,IF(SUM($C674:H674)&gt;0,G332+1,0),0)</f>
        <v>0</v>
      </c>
      <c r="I332" s="163">
        <f>IF(I$2&lt;=analysis_period,IF(SUM($C674:I674)&gt;0,H332+1,0),0)</f>
        <v>0</v>
      </c>
      <c r="J332" s="163">
        <f>IF(J$2&lt;=analysis_period,IF(SUM($C674:J674)&gt;0,I332+1,0),0)</f>
        <v>0</v>
      </c>
      <c r="K332" s="163">
        <f>IF(K$2&lt;=analysis_period,IF(SUM($C674:K674)&gt;0,J332+1,0),0)</f>
        <v>0</v>
      </c>
      <c r="L332" s="163">
        <f>IF(L$2&lt;=analysis_period,IF(SUM($C674:L674)&gt;0,K332+1,0),0)</f>
        <v>0</v>
      </c>
      <c r="M332" s="163">
        <f>IF(M$2&lt;=analysis_period,IF(SUM($C674:M674)&gt;0,L332+1,0),0)</f>
        <v>0</v>
      </c>
      <c r="N332" s="163">
        <f>IF(N$2&lt;=analysis_period,IF(SUM($C674:N674)&gt;0,M332+1,0),0)</f>
        <v>0</v>
      </c>
      <c r="O332" s="163">
        <f>IF(O$2&lt;=analysis_period,IF(SUM($C674:O674)&gt;0,N332+1,0),0)</f>
        <v>0</v>
      </c>
      <c r="P332" s="163">
        <f>IF(P$2&lt;=analysis_period,IF(SUM($C674:P674)&gt;0,O332+1,0),0)</f>
        <v>0</v>
      </c>
      <c r="Q332" s="163">
        <f>IF(Q$2&lt;=analysis_period,IF(SUM($C674:Q674)&gt;0,P332+1,0),0)</f>
        <v>0</v>
      </c>
      <c r="R332" s="163">
        <f>IF(R$2&lt;=analysis_period,IF(SUM($C674:R674)&gt;0,Q332+1,0),0)</f>
        <v>0</v>
      </c>
      <c r="S332" s="163">
        <f>IF(S$2&lt;=analysis_period,IF(SUM($C674:S674)&gt;0,R332+1,0),0)</f>
        <v>0</v>
      </c>
      <c r="T332" s="163">
        <f>IF(T$2&lt;=analysis_period,IF(SUM($C674:T674)&gt;0,S332+1,0),0)</f>
        <v>0</v>
      </c>
      <c r="U332" s="163">
        <f>IF(U$2&lt;=analysis_period,IF(SUM($C674:U674)&gt;0,T332+1,0),0)</f>
        <v>0</v>
      </c>
      <c r="V332" s="163">
        <f>IF(V$2&lt;=analysis_period,IF(SUM($C674:V674)&gt;0,U332+1,0),0)</f>
        <v>0</v>
      </c>
      <c r="W332" s="163">
        <f>IF(W$2&lt;=analysis_period,IF(SUM($C674:W674)&gt;0,V332+1,0),0)</f>
        <v>0</v>
      </c>
      <c r="X332" s="163">
        <f>IF(X$2&lt;=analysis_period,IF(SUM($C674:X674)&gt;0,W332+1,0),0)</f>
        <v>0</v>
      </c>
      <c r="Y332" s="163">
        <f>IF(Y$2&lt;=analysis_period,IF(SUM($C674:Y674)&gt;0,X332+1,0),0)</f>
        <v>0</v>
      </c>
      <c r="Z332" s="163">
        <f>IF(Z$2&lt;=analysis_period,IF(SUM($C674:Z674)&gt;0,Y332+1,0),0)</f>
        <v>0</v>
      </c>
      <c r="AA332" s="163">
        <f>IF(AA$2&lt;=analysis_period,IF(SUM($C674:AA674)&gt;0,Z332+1,0),0)</f>
        <v>0</v>
      </c>
      <c r="AB332" s="163">
        <f>IF(AB$2&lt;=analysis_period,IF(SUM($C674:AB674)&gt;0,AA332+1,0),0)</f>
        <v>0</v>
      </c>
      <c r="AC332" s="163">
        <f>IF(AC$2&lt;=analysis_period,IF(SUM($C674:AC674)&gt;0,AB332+1,0),0)</f>
        <v>0</v>
      </c>
      <c r="AD332" s="163">
        <f>IF(AD$2&lt;=analysis_period,IF(SUM($C674:AD674)&gt;0,AC332+1,0),0)</f>
        <v>0</v>
      </c>
      <c r="AE332" s="163">
        <f>IF(AE$2&lt;=analysis_period,IF(SUM($C674:AE674)&gt;0,AD332+1,0),0)</f>
        <v>0</v>
      </c>
      <c r="AF332" s="163">
        <f>IF(AF$2&lt;=analysis_period,IF(SUM($C674:AF674)&gt;0,AE332+1,0),0)</f>
        <v>0</v>
      </c>
      <c r="AG332" s="163">
        <f>IF(AG$2&lt;=analysis_period,IF(SUM($C674:AG674)&gt;0,AF332+1,0),0)</f>
        <v>0</v>
      </c>
      <c r="AH332" s="163">
        <f>IF(AH$2&lt;=analysis_period,IF(SUM($C674:AH674)&gt;0,AG332+1,0),0)</f>
        <v>0</v>
      </c>
      <c r="AI332" s="163">
        <f>IF(AI$2&lt;=analysis_period,IF(SUM($C674:AI674)&gt;0,AH332+1,0),0)</f>
        <v>0</v>
      </c>
      <c r="AJ332" s="163">
        <f>IF(AJ$2&lt;=analysis_period,IF(SUM($C674:AJ674)&gt;0,AI332+1,0),0)</f>
        <v>0</v>
      </c>
      <c r="AK332" s="163">
        <f>IF(AK$2&lt;=analysis_period,IF(SUM($C674:AK674)&gt;0,AJ332+1,0),0)</f>
        <v>0</v>
      </c>
      <c r="AL332" s="163">
        <f>IF(AL$2&lt;=analysis_period,IF(SUM($C674:AL674)&gt;0,AK332+1,0),0)</f>
        <v>0</v>
      </c>
      <c r="AM332" s="163">
        <f>IF(AM$2&lt;=analysis_period,IF(SUM($C674:AM674)&gt;0,AL332+1,0),0)</f>
        <v>0</v>
      </c>
      <c r="AN332" s="163">
        <f>IF(AN$2&lt;=analysis_period,IF(SUM($C674:AN674)&gt;0,AM332+1,0),0)</f>
        <v>0</v>
      </c>
      <c r="AO332" s="163">
        <f>IF(AO$2&lt;=analysis_period,IF(SUM($C674:AO674)&gt;0,AN332+1,0),0)</f>
        <v>0</v>
      </c>
      <c r="AP332" s="163">
        <f>IF(AP$2&lt;=analysis_period,IF(SUM($C674:AP674)&gt;0,AO332+1,0),0)</f>
        <v>0</v>
      </c>
    </row>
    <row r="333" spans="1:42" x14ac:dyDescent="0.2">
      <c r="A333" s="4">
        <f t="shared" si="131"/>
        <v>5</v>
      </c>
      <c r="B333" s="4">
        <v>0</v>
      </c>
      <c r="C333" s="163">
        <f>IF(C$2&lt;=analysis_period,IF(SUM($C675:C675)&gt;0,B333+1,0),0)</f>
        <v>0</v>
      </c>
      <c r="D333" s="163">
        <f>IF(D$2&lt;=analysis_period,IF(SUM($C675:D675)&gt;0,C333+1,0),0)</f>
        <v>0</v>
      </c>
      <c r="E333" s="163">
        <f>IF(E$2&lt;=analysis_period,IF(SUM($C675:E675)&gt;0,D333+1,0),0)</f>
        <v>0</v>
      </c>
      <c r="F333" s="163">
        <f>IF(F$2&lt;=analysis_period,IF(SUM($C675:F675)&gt;0,E333+1,0),0)</f>
        <v>0</v>
      </c>
      <c r="G333" s="163">
        <f>IF(G$2&lt;=analysis_period,IF(SUM($C675:G675)&gt;0,F333+1,0),0)</f>
        <v>0</v>
      </c>
      <c r="H333" s="163">
        <f>IF(H$2&lt;=analysis_period,IF(SUM($C675:H675)&gt;0,G333+1,0),0)</f>
        <v>0</v>
      </c>
      <c r="I333" s="163">
        <f>IF(I$2&lt;=analysis_period,IF(SUM($C675:I675)&gt;0,H333+1,0),0)</f>
        <v>0</v>
      </c>
      <c r="J333" s="163">
        <f>IF(J$2&lt;=analysis_period,IF(SUM($C675:J675)&gt;0,I333+1,0),0)</f>
        <v>0</v>
      </c>
      <c r="K333" s="163">
        <f>IF(K$2&lt;=analysis_period,IF(SUM($C675:K675)&gt;0,J333+1,0),0)</f>
        <v>0</v>
      </c>
      <c r="L333" s="163">
        <f>IF(L$2&lt;=analysis_period,IF(SUM($C675:L675)&gt;0,K333+1,0),0)</f>
        <v>0</v>
      </c>
      <c r="M333" s="163">
        <f>IF(M$2&lt;=analysis_period,IF(SUM($C675:M675)&gt;0,L333+1,0),0)</f>
        <v>0</v>
      </c>
      <c r="N333" s="163">
        <f>IF(N$2&lt;=analysis_period,IF(SUM($C675:N675)&gt;0,M333+1,0),0)</f>
        <v>0</v>
      </c>
      <c r="O333" s="163">
        <f>IF(O$2&lt;=analysis_period,IF(SUM($C675:O675)&gt;0,N333+1,0),0)</f>
        <v>0</v>
      </c>
      <c r="P333" s="163">
        <f>IF(P$2&lt;=analysis_period,IF(SUM($C675:P675)&gt;0,O333+1,0),0)</f>
        <v>0</v>
      </c>
      <c r="Q333" s="163">
        <f>IF(Q$2&lt;=analysis_period,IF(SUM($C675:Q675)&gt;0,P333+1,0),0)</f>
        <v>0</v>
      </c>
      <c r="R333" s="163">
        <f>IF(R$2&lt;=analysis_period,IF(SUM($C675:R675)&gt;0,Q333+1,0),0)</f>
        <v>0</v>
      </c>
      <c r="S333" s="163">
        <f>IF(S$2&lt;=analysis_period,IF(SUM($C675:S675)&gt;0,R333+1,0),0)</f>
        <v>0</v>
      </c>
      <c r="T333" s="163">
        <f>IF(T$2&lt;=analysis_period,IF(SUM($C675:T675)&gt;0,S333+1,0),0)</f>
        <v>0</v>
      </c>
      <c r="U333" s="163">
        <f>IF(U$2&lt;=analysis_period,IF(SUM($C675:U675)&gt;0,T333+1,0),0)</f>
        <v>0</v>
      </c>
      <c r="V333" s="163">
        <f>IF(V$2&lt;=analysis_period,IF(SUM($C675:V675)&gt;0,U333+1,0),0)</f>
        <v>0</v>
      </c>
      <c r="W333" s="163">
        <f>IF(W$2&lt;=analysis_period,IF(SUM($C675:W675)&gt;0,V333+1,0),0)</f>
        <v>0</v>
      </c>
      <c r="X333" s="163">
        <f>IF(X$2&lt;=analysis_period,IF(SUM($C675:X675)&gt;0,W333+1,0),0)</f>
        <v>0</v>
      </c>
      <c r="Y333" s="163">
        <f>IF(Y$2&lt;=analysis_period,IF(SUM($C675:Y675)&gt;0,X333+1,0),0)</f>
        <v>0</v>
      </c>
      <c r="Z333" s="163">
        <f>IF(Z$2&lt;=analysis_period,IF(SUM($C675:Z675)&gt;0,Y333+1,0),0)</f>
        <v>0</v>
      </c>
      <c r="AA333" s="163">
        <f>IF(AA$2&lt;=analysis_period,IF(SUM($C675:AA675)&gt;0,Z333+1,0),0)</f>
        <v>0</v>
      </c>
      <c r="AB333" s="163">
        <f>IF(AB$2&lt;=analysis_period,IF(SUM($C675:AB675)&gt;0,AA333+1,0),0)</f>
        <v>0</v>
      </c>
      <c r="AC333" s="163">
        <f>IF(AC$2&lt;=analysis_period,IF(SUM($C675:AC675)&gt;0,AB333+1,0),0)</f>
        <v>0</v>
      </c>
      <c r="AD333" s="163">
        <f>IF(AD$2&lt;=analysis_period,IF(SUM($C675:AD675)&gt;0,AC333+1,0),0)</f>
        <v>0</v>
      </c>
      <c r="AE333" s="163">
        <f>IF(AE$2&lt;=analysis_period,IF(SUM($C675:AE675)&gt;0,AD333+1,0),0)</f>
        <v>0</v>
      </c>
      <c r="AF333" s="163">
        <f>IF(AF$2&lt;=analysis_period,IF(SUM($C675:AF675)&gt;0,AE333+1,0),0)</f>
        <v>0</v>
      </c>
      <c r="AG333" s="163">
        <f>IF(AG$2&lt;=analysis_period,IF(SUM($C675:AG675)&gt;0,AF333+1,0),0)</f>
        <v>0</v>
      </c>
      <c r="AH333" s="163">
        <f>IF(AH$2&lt;=analysis_period,IF(SUM($C675:AH675)&gt;0,AG333+1,0),0)</f>
        <v>0</v>
      </c>
      <c r="AI333" s="163">
        <f>IF(AI$2&lt;=analysis_period,IF(SUM($C675:AI675)&gt;0,AH333+1,0),0)</f>
        <v>0</v>
      </c>
      <c r="AJ333" s="163">
        <f>IF(AJ$2&lt;=analysis_period,IF(SUM($C675:AJ675)&gt;0,AI333+1,0),0)</f>
        <v>0</v>
      </c>
      <c r="AK333" s="163">
        <f>IF(AK$2&lt;=analysis_period,IF(SUM($C675:AK675)&gt;0,AJ333+1,0),0)</f>
        <v>0</v>
      </c>
      <c r="AL333" s="163">
        <f>IF(AL$2&lt;=analysis_period,IF(SUM($C675:AL675)&gt;0,AK333+1,0),0)</f>
        <v>0</v>
      </c>
      <c r="AM333" s="163">
        <f>IF(AM$2&lt;=analysis_period,IF(SUM($C675:AM675)&gt;0,AL333+1,0),0)</f>
        <v>0</v>
      </c>
      <c r="AN333" s="163">
        <f>IF(AN$2&lt;=analysis_period,IF(SUM($C675:AN675)&gt;0,AM333+1,0),0)</f>
        <v>0</v>
      </c>
      <c r="AO333" s="163">
        <f>IF(AO$2&lt;=analysis_period,IF(SUM($C675:AO675)&gt;0,AN333+1,0),0)</f>
        <v>0</v>
      </c>
      <c r="AP333" s="163">
        <f>IF(AP$2&lt;=analysis_period,IF(SUM($C675:AP675)&gt;0,AO333+1,0),0)</f>
        <v>0</v>
      </c>
    </row>
    <row r="334" spans="1:42" x14ac:dyDescent="0.2">
      <c r="A334" s="4">
        <f t="shared" si="131"/>
        <v>6</v>
      </c>
      <c r="B334" s="4">
        <v>0</v>
      </c>
      <c r="C334" s="163">
        <f>IF(C$2&lt;=analysis_period,IF(SUM($C676:C676)&gt;0,B334+1,0),0)</f>
        <v>0</v>
      </c>
      <c r="D334" s="163">
        <f>IF(D$2&lt;=analysis_period,IF(SUM($C676:D676)&gt;0,C334+1,0),0)</f>
        <v>0</v>
      </c>
      <c r="E334" s="163">
        <f>IF(E$2&lt;=analysis_period,IF(SUM($C676:E676)&gt;0,D334+1,0),0)</f>
        <v>0</v>
      </c>
      <c r="F334" s="163">
        <f>IF(F$2&lt;=analysis_period,IF(SUM($C676:F676)&gt;0,E334+1,0),0)</f>
        <v>0</v>
      </c>
      <c r="G334" s="163">
        <f>IF(G$2&lt;=analysis_period,IF(SUM($C676:G676)&gt;0,F334+1,0),0)</f>
        <v>0</v>
      </c>
      <c r="H334" s="163">
        <f>IF(H$2&lt;=analysis_period,IF(SUM($C676:H676)&gt;0,G334+1,0),0)</f>
        <v>0</v>
      </c>
      <c r="I334" s="163">
        <f>IF(I$2&lt;=analysis_period,IF(SUM($C676:I676)&gt;0,H334+1,0),0)</f>
        <v>0</v>
      </c>
      <c r="J334" s="163">
        <f>IF(J$2&lt;=analysis_period,IF(SUM($C676:J676)&gt;0,I334+1,0),0)</f>
        <v>0</v>
      </c>
      <c r="K334" s="163">
        <f>IF(K$2&lt;=analysis_period,IF(SUM($C676:K676)&gt;0,J334+1,0),0)</f>
        <v>0</v>
      </c>
      <c r="L334" s="163">
        <f>IF(L$2&lt;=analysis_period,IF(SUM($C676:L676)&gt;0,K334+1,0),0)</f>
        <v>0</v>
      </c>
      <c r="M334" s="163">
        <f>IF(M$2&lt;=analysis_period,IF(SUM($C676:M676)&gt;0,L334+1,0),0)</f>
        <v>0</v>
      </c>
      <c r="N334" s="163">
        <f>IF(N$2&lt;=analysis_period,IF(SUM($C676:N676)&gt;0,M334+1,0),0)</f>
        <v>0</v>
      </c>
      <c r="O334" s="163">
        <f>IF(O$2&lt;=analysis_period,IF(SUM($C676:O676)&gt;0,N334+1,0),0)</f>
        <v>0</v>
      </c>
      <c r="P334" s="163">
        <f>IF(P$2&lt;=analysis_period,IF(SUM($C676:P676)&gt;0,O334+1,0),0)</f>
        <v>0</v>
      </c>
      <c r="Q334" s="163">
        <f>IF(Q$2&lt;=analysis_period,IF(SUM($C676:Q676)&gt;0,P334+1,0),0)</f>
        <v>0</v>
      </c>
      <c r="R334" s="163">
        <f>IF(R$2&lt;=analysis_period,IF(SUM($C676:R676)&gt;0,Q334+1,0),0)</f>
        <v>0</v>
      </c>
      <c r="S334" s="163">
        <f>IF(S$2&lt;=analysis_period,IF(SUM($C676:S676)&gt;0,R334+1,0),0)</f>
        <v>0</v>
      </c>
      <c r="T334" s="163">
        <f>IF(T$2&lt;=analysis_period,IF(SUM($C676:T676)&gt;0,S334+1,0),0)</f>
        <v>0</v>
      </c>
      <c r="U334" s="163">
        <f>IF(U$2&lt;=analysis_period,IF(SUM($C676:U676)&gt;0,T334+1,0),0)</f>
        <v>0</v>
      </c>
      <c r="V334" s="163">
        <f>IF(V$2&lt;=analysis_period,IF(SUM($C676:V676)&gt;0,U334+1,0),0)</f>
        <v>0</v>
      </c>
      <c r="W334" s="163">
        <f>IF(W$2&lt;=analysis_period,IF(SUM($C676:W676)&gt;0,V334+1,0),0)</f>
        <v>0</v>
      </c>
      <c r="X334" s="163">
        <f>IF(X$2&lt;=analysis_period,IF(SUM($C676:X676)&gt;0,W334+1,0),0)</f>
        <v>0</v>
      </c>
      <c r="Y334" s="163">
        <f>IF(Y$2&lt;=analysis_period,IF(SUM($C676:Y676)&gt;0,X334+1,0),0)</f>
        <v>0</v>
      </c>
      <c r="Z334" s="163">
        <f>IF(Z$2&lt;=analysis_period,IF(SUM($C676:Z676)&gt;0,Y334+1,0),0)</f>
        <v>0</v>
      </c>
      <c r="AA334" s="163">
        <f>IF(AA$2&lt;=analysis_period,IF(SUM($C676:AA676)&gt;0,Z334+1,0),0)</f>
        <v>0</v>
      </c>
      <c r="AB334" s="163">
        <f>IF(AB$2&lt;=analysis_period,IF(SUM($C676:AB676)&gt;0,AA334+1,0),0)</f>
        <v>0</v>
      </c>
      <c r="AC334" s="163">
        <f>IF(AC$2&lt;=analysis_period,IF(SUM($C676:AC676)&gt;0,AB334+1,0),0)</f>
        <v>0</v>
      </c>
      <c r="AD334" s="163">
        <f>IF(AD$2&lt;=analysis_period,IF(SUM($C676:AD676)&gt;0,AC334+1,0),0)</f>
        <v>0</v>
      </c>
      <c r="AE334" s="163">
        <f>IF(AE$2&lt;=analysis_period,IF(SUM($C676:AE676)&gt;0,AD334+1,0),0)</f>
        <v>0</v>
      </c>
      <c r="AF334" s="163">
        <f>IF(AF$2&lt;=analysis_period,IF(SUM($C676:AF676)&gt;0,AE334+1,0),0)</f>
        <v>0</v>
      </c>
      <c r="AG334" s="163">
        <f>IF(AG$2&lt;=analysis_period,IF(SUM($C676:AG676)&gt;0,AF334+1,0),0)</f>
        <v>0</v>
      </c>
      <c r="AH334" s="163">
        <f>IF(AH$2&lt;=analysis_period,IF(SUM($C676:AH676)&gt;0,AG334+1,0),0)</f>
        <v>0</v>
      </c>
      <c r="AI334" s="163">
        <f>IF(AI$2&lt;=analysis_period,IF(SUM($C676:AI676)&gt;0,AH334+1,0),0)</f>
        <v>0</v>
      </c>
      <c r="AJ334" s="163">
        <f>IF(AJ$2&lt;=analysis_period,IF(SUM($C676:AJ676)&gt;0,AI334+1,0),0)</f>
        <v>0</v>
      </c>
      <c r="AK334" s="163">
        <f>IF(AK$2&lt;=analysis_period,IF(SUM($C676:AK676)&gt;0,AJ334+1,0),0)</f>
        <v>0</v>
      </c>
      <c r="AL334" s="163">
        <f>IF(AL$2&lt;=analysis_period,IF(SUM($C676:AL676)&gt;0,AK334+1,0),0)</f>
        <v>0</v>
      </c>
      <c r="AM334" s="163">
        <f>IF(AM$2&lt;=analysis_period,IF(SUM($C676:AM676)&gt;0,AL334+1,0),0)</f>
        <v>0</v>
      </c>
      <c r="AN334" s="163">
        <f>IF(AN$2&lt;=analysis_period,IF(SUM($C676:AN676)&gt;0,AM334+1,0),0)</f>
        <v>0</v>
      </c>
      <c r="AO334" s="163">
        <f>IF(AO$2&lt;=analysis_period,IF(SUM($C676:AO676)&gt;0,AN334+1,0),0)</f>
        <v>0</v>
      </c>
      <c r="AP334" s="163">
        <f>IF(AP$2&lt;=analysis_period,IF(SUM($C676:AP676)&gt;0,AO334+1,0),0)</f>
        <v>0</v>
      </c>
    </row>
    <row r="335" spans="1:42" x14ac:dyDescent="0.2">
      <c r="A335" s="4">
        <f t="shared" si="131"/>
        <v>7</v>
      </c>
      <c r="B335" s="4">
        <v>0</v>
      </c>
      <c r="C335" s="163">
        <f>IF(C$2&lt;=analysis_period,IF(SUM($C677:C677)&gt;0,B335+1,0),0)</f>
        <v>0</v>
      </c>
      <c r="D335" s="163">
        <f>IF(D$2&lt;=analysis_period,IF(SUM($C677:D677)&gt;0,C335+1,0),0)</f>
        <v>0</v>
      </c>
      <c r="E335" s="163">
        <f>IF(E$2&lt;=analysis_period,IF(SUM($C677:E677)&gt;0,D335+1,0),0)</f>
        <v>0</v>
      </c>
      <c r="F335" s="163">
        <f>IF(F$2&lt;=analysis_period,IF(SUM($C677:F677)&gt;0,E335+1,0),0)</f>
        <v>0</v>
      </c>
      <c r="G335" s="163">
        <f>IF(G$2&lt;=analysis_period,IF(SUM($C677:G677)&gt;0,F335+1,0),0)</f>
        <v>0</v>
      </c>
      <c r="H335" s="163">
        <f>IF(H$2&lt;=analysis_period,IF(SUM($C677:H677)&gt;0,G335+1,0),0)</f>
        <v>0</v>
      </c>
      <c r="I335" s="163">
        <f>IF(I$2&lt;=analysis_period,IF(SUM($C677:I677)&gt;0,H335+1,0),0)</f>
        <v>0</v>
      </c>
      <c r="J335" s="163">
        <f>IF(J$2&lt;=analysis_period,IF(SUM($C677:J677)&gt;0,I335+1,0),0)</f>
        <v>0</v>
      </c>
      <c r="K335" s="163">
        <f>IF(K$2&lt;=analysis_period,IF(SUM($C677:K677)&gt;0,J335+1,0),0)</f>
        <v>0</v>
      </c>
      <c r="L335" s="163">
        <f>IF(L$2&lt;=analysis_period,IF(SUM($C677:L677)&gt;0,K335+1,0),0)</f>
        <v>0</v>
      </c>
      <c r="M335" s="163">
        <f>IF(M$2&lt;=analysis_period,IF(SUM($C677:M677)&gt;0,L335+1,0),0)</f>
        <v>0</v>
      </c>
      <c r="N335" s="163">
        <f>IF(N$2&lt;=analysis_period,IF(SUM($C677:N677)&gt;0,M335+1,0),0)</f>
        <v>0</v>
      </c>
      <c r="O335" s="163">
        <f>IF(O$2&lt;=analysis_period,IF(SUM($C677:O677)&gt;0,N335+1,0),0)</f>
        <v>0</v>
      </c>
      <c r="P335" s="163">
        <f>IF(P$2&lt;=analysis_period,IF(SUM($C677:P677)&gt;0,O335+1,0),0)</f>
        <v>0</v>
      </c>
      <c r="Q335" s="163">
        <f>IF(Q$2&lt;=analysis_period,IF(SUM($C677:Q677)&gt;0,P335+1,0),0)</f>
        <v>0</v>
      </c>
      <c r="R335" s="163">
        <f>IF(R$2&lt;=analysis_period,IF(SUM($C677:R677)&gt;0,Q335+1,0),0)</f>
        <v>0</v>
      </c>
      <c r="S335" s="163">
        <f>IF(S$2&lt;=analysis_period,IF(SUM($C677:S677)&gt;0,R335+1,0),0)</f>
        <v>0</v>
      </c>
      <c r="T335" s="163">
        <f>IF(T$2&lt;=analysis_period,IF(SUM($C677:T677)&gt;0,S335+1,0),0)</f>
        <v>0</v>
      </c>
      <c r="U335" s="163">
        <f>IF(U$2&lt;=analysis_period,IF(SUM($C677:U677)&gt;0,T335+1,0),0)</f>
        <v>0</v>
      </c>
      <c r="V335" s="163">
        <f>IF(V$2&lt;=analysis_period,IF(SUM($C677:V677)&gt;0,U335+1,0),0)</f>
        <v>0</v>
      </c>
      <c r="W335" s="163">
        <f>IF(W$2&lt;=analysis_period,IF(SUM($C677:W677)&gt;0,V335+1,0),0)</f>
        <v>0</v>
      </c>
      <c r="X335" s="163">
        <f>IF(X$2&lt;=analysis_period,IF(SUM($C677:X677)&gt;0,W335+1,0),0)</f>
        <v>0</v>
      </c>
      <c r="Y335" s="163">
        <f>IF(Y$2&lt;=analysis_period,IF(SUM($C677:Y677)&gt;0,X335+1,0),0)</f>
        <v>0</v>
      </c>
      <c r="Z335" s="163">
        <f>IF(Z$2&lt;=analysis_period,IF(SUM($C677:Z677)&gt;0,Y335+1,0),0)</f>
        <v>0</v>
      </c>
      <c r="AA335" s="163">
        <f>IF(AA$2&lt;=analysis_period,IF(SUM($C677:AA677)&gt;0,Z335+1,0),0)</f>
        <v>0</v>
      </c>
      <c r="AB335" s="163">
        <f>IF(AB$2&lt;=analysis_period,IF(SUM($C677:AB677)&gt;0,AA335+1,0),0)</f>
        <v>0</v>
      </c>
      <c r="AC335" s="163">
        <f>IF(AC$2&lt;=analysis_period,IF(SUM($C677:AC677)&gt;0,AB335+1,0),0)</f>
        <v>0</v>
      </c>
      <c r="AD335" s="163">
        <f>IF(AD$2&lt;=analysis_period,IF(SUM($C677:AD677)&gt;0,AC335+1,0),0)</f>
        <v>0</v>
      </c>
      <c r="AE335" s="163">
        <f>IF(AE$2&lt;=analysis_period,IF(SUM($C677:AE677)&gt;0,AD335+1,0),0)</f>
        <v>0</v>
      </c>
      <c r="AF335" s="163">
        <f>IF(AF$2&lt;=analysis_period,IF(SUM($C677:AF677)&gt;0,AE335+1,0),0)</f>
        <v>0</v>
      </c>
      <c r="AG335" s="163">
        <f>IF(AG$2&lt;=analysis_period,IF(SUM($C677:AG677)&gt;0,AF335+1,0),0)</f>
        <v>0</v>
      </c>
      <c r="AH335" s="163">
        <f>IF(AH$2&lt;=analysis_period,IF(SUM($C677:AH677)&gt;0,AG335+1,0),0)</f>
        <v>0</v>
      </c>
      <c r="AI335" s="163">
        <f>IF(AI$2&lt;=analysis_period,IF(SUM($C677:AI677)&gt;0,AH335+1,0),0)</f>
        <v>0</v>
      </c>
      <c r="AJ335" s="163">
        <f>IF(AJ$2&lt;=analysis_period,IF(SUM($C677:AJ677)&gt;0,AI335+1,0),0)</f>
        <v>0</v>
      </c>
      <c r="AK335" s="163">
        <f>IF(AK$2&lt;=analysis_period,IF(SUM($C677:AK677)&gt;0,AJ335+1,0),0)</f>
        <v>0</v>
      </c>
      <c r="AL335" s="163">
        <f>IF(AL$2&lt;=analysis_period,IF(SUM($C677:AL677)&gt;0,AK335+1,0),0)</f>
        <v>0</v>
      </c>
      <c r="AM335" s="163">
        <f>IF(AM$2&lt;=analysis_period,IF(SUM($C677:AM677)&gt;0,AL335+1,0),0)</f>
        <v>0</v>
      </c>
      <c r="AN335" s="163">
        <f>IF(AN$2&lt;=analysis_period,IF(SUM($C677:AN677)&gt;0,AM335+1,0),0)</f>
        <v>0</v>
      </c>
      <c r="AO335" s="163">
        <f>IF(AO$2&lt;=analysis_period,IF(SUM($C677:AO677)&gt;0,AN335+1,0),0)</f>
        <v>0</v>
      </c>
      <c r="AP335" s="163">
        <f>IF(AP$2&lt;=analysis_period,IF(SUM($C677:AP677)&gt;0,AO335+1,0),0)</f>
        <v>0</v>
      </c>
    </row>
    <row r="336" spans="1:42" x14ac:dyDescent="0.2">
      <c r="A336" s="4">
        <f t="shared" si="131"/>
        <v>8</v>
      </c>
      <c r="B336" s="4">
        <v>0</v>
      </c>
      <c r="C336" s="163">
        <f>IF(C$2&lt;=analysis_period,IF(SUM($C678:C678)&gt;0,B336+1,0),0)</f>
        <v>0</v>
      </c>
      <c r="D336" s="163">
        <f>IF(D$2&lt;=analysis_period,IF(SUM($C678:D678)&gt;0,C336+1,0),0)</f>
        <v>0</v>
      </c>
      <c r="E336" s="163">
        <f>IF(E$2&lt;=analysis_period,IF(SUM($C678:E678)&gt;0,D336+1,0),0)</f>
        <v>0</v>
      </c>
      <c r="F336" s="163">
        <f>IF(F$2&lt;=analysis_period,IF(SUM($C678:F678)&gt;0,E336+1,0),0)</f>
        <v>0</v>
      </c>
      <c r="G336" s="163">
        <f>IF(G$2&lt;=analysis_period,IF(SUM($C678:G678)&gt;0,F336+1,0),0)</f>
        <v>0</v>
      </c>
      <c r="H336" s="163">
        <f>IF(H$2&lt;=analysis_period,IF(SUM($C678:H678)&gt;0,G336+1,0),0)</f>
        <v>0</v>
      </c>
      <c r="I336" s="163">
        <f>IF(I$2&lt;=analysis_period,IF(SUM($C678:I678)&gt;0,H336+1,0),0)</f>
        <v>0</v>
      </c>
      <c r="J336" s="163">
        <f>IF(J$2&lt;=analysis_period,IF(SUM($C678:J678)&gt;0,I336+1,0),0)</f>
        <v>0</v>
      </c>
      <c r="K336" s="163">
        <f>IF(K$2&lt;=analysis_period,IF(SUM($C678:K678)&gt;0,J336+1,0),0)</f>
        <v>0</v>
      </c>
      <c r="L336" s="163">
        <f>IF(L$2&lt;=analysis_period,IF(SUM($C678:L678)&gt;0,K336+1,0),0)</f>
        <v>0</v>
      </c>
      <c r="M336" s="163">
        <f>IF(M$2&lt;=analysis_period,IF(SUM($C678:M678)&gt;0,L336+1,0),0)</f>
        <v>0</v>
      </c>
      <c r="N336" s="163">
        <f>IF(N$2&lt;=analysis_period,IF(SUM($C678:N678)&gt;0,M336+1,0),0)</f>
        <v>0</v>
      </c>
      <c r="O336" s="163">
        <f>IF(O$2&lt;=analysis_period,IF(SUM($C678:O678)&gt;0,N336+1,0),0)</f>
        <v>0</v>
      </c>
      <c r="P336" s="163">
        <f>IF(P$2&lt;=analysis_period,IF(SUM($C678:P678)&gt;0,O336+1,0),0)</f>
        <v>0</v>
      </c>
      <c r="Q336" s="163">
        <f>IF(Q$2&lt;=analysis_period,IF(SUM($C678:Q678)&gt;0,P336+1,0),0)</f>
        <v>0</v>
      </c>
      <c r="R336" s="163">
        <f>IF(R$2&lt;=analysis_period,IF(SUM($C678:R678)&gt;0,Q336+1,0),0)</f>
        <v>0</v>
      </c>
      <c r="S336" s="163">
        <f>IF(S$2&lt;=analysis_period,IF(SUM($C678:S678)&gt;0,R336+1,0),0)</f>
        <v>0</v>
      </c>
      <c r="T336" s="163">
        <f>IF(T$2&lt;=analysis_period,IF(SUM($C678:T678)&gt;0,S336+1,0),0)</f>
        <v>0</v>
      </c>
      <c r="U336" s="163">
        <f>IF(U$2&lt;=analysis_period,IF(SUM($C678:U678)&gt;0,T336+1,0),0)</f>
        <v>0</v>
      </c>
      <c r="V336" s="163">
        <f>IF(V$2&lt;=analysis_period,IF(SUM($C678:V678)&gt;0,U336+1,0),0)</f>
        <v>0</v>
      </c>
      <c r="W336" s="163">
        <f>IF(W$2&lt;=analysis_period,IF(SUM($C678:W678)&gt;0,V336+1,0),0)</f>
        <v>0</v>
      </c>
      <c r="X336" s="163">
        <f>IF(X$2&lt;=analysis_period,IF(SUM($C678:X678)&gt;0,W336+1,0),0)</f>
        <v>0</v>
      </c>
      <c r="Y336" s="163">
        <f>IF(Y$2&lt;=analysis_period,IF(SUM($C678:Y678)&gt;0,X336+1,0),0)</f>
        <v>0</v>
      </c>
      <c r="Z336" s="163">
        <f>IF(Z$2&lt;=analysis_period,IF(SUM($C678:Z678)&gt;0,Y336+1,0),0)</f>
        <v>0</v>
      </c>
      <c r="AA336" s="163">
        <f>IF(AA$2&lt;=analysis_period,IF(SUM($C678:AA678)&gt;0,Z336+1,0),0)</f>
        <v>0</v>
      </c>
      <c r="AB336" s="163">
        <f>IF(AB$2&lt;=analysis_period,IF(SUM($C678:AB678)&gt;0,AA336+1,0),0)</f>
        <v>0</v>
      </c>
      <c r="AC336" s="163">
        <f>IF(AC$2&lt;=analysis_period,IF(SUM($C678:AC678)&gt;0,AB336+1,0),0)</f>
        <v>0</v>
      </c>
      <c r="AD336" s="163">
        <f>IF(AD$2&lt;=analysis_period,IF(SUM($C678:AD678)&gt;0,AC336+1,0),0)</f>
        <v>0</v>
      </c>
      <c r="AE336" s="163">
        <f>IF(AE$2&lt;=analysis_period,IF(SUM($C678:AE678)&gt;0,AD336+1,0),0)</f>
        <v>0</v>
      </c>
      <c r="AF336" s="163">
        <f>IF(AF$2&lt;=analysis_period,IF(SUM($C678:AF678)&gt;0,AE336+1,0),0)</f>
        <v>0</v>
      </c>
      <c r="AG336" s="163">
        <f>IF(AG$2&lt;=analysis_period,IF(SUM($C678:AG678)&gt;0,AF336+1,0),0)</f>
        <v>0</v>
      </c>
      <c r="AH336" s="163">
        <f>IF(AH$2&lt;=analysis_period,IF(SUM($C678:AH678)&gt;0,AG336+1,0),0)</f>
        <v>0</v>
      </c>
      <c r="AI336" s="163">
        <f>IF(AI$2&lt;=analysis_period,IF(SUM($C678:AI678)&gt;0,AH336+1,0),0)</f>
        <v>0</v>
      </c>
      <c r="AJ336" s="163">
        <f>IF(AJ$2&lt;=analysis_period,IF(SUM($C678:AJ678)&gt;0,AI336+1,0),0)</f>
        <v>0</v>
      </c>
      <c r="AK336" s="163">
        <f>IF(AK$2&lt;=analysis_period,IF(SUM($C678:AK678)&gt;0,AJ336+1,0),0)</f>
        <v>0</v>
      </c>
      <c r="AL336" s="163">
        <f>IF(AL$2&lt;=analysis_period,IF(SUM($C678:AL678)&gt;0,AK336+1,0),0)</f>
        <v>0</v>
      </c>
      <c r="AM336" s="163">
        <f>IF(AM$2&lt;=analysis_period,IF(SUM($C678:AM678)&gt;0,AL336+1,0),0)</f>
        <v>0</v>
      </c>
      <c r="AN336" s="163">
        <f>IF(AN$2&lt;=analysis_period,IF(SUM($C678:AN678)&gt;0,AM336+1,0),0)</f>
        <v>0</v>
      </c>
      <c r="AO336" s="163">
        <f>IF(AO$2&lt;=analysis_period,IF(SUM($C678:AO678)&gt;0,AN336+1,0),0)</f>
        <v>0</v>
      </c>
      <c r="AP336" s="163">
        <f>IF(AP$2&lt;=analysis_period,IF(SUM($C678:AP678)&gt;0,AO336+1,0),0)</f>
        <v>0</v>
      </c>
    </row>
    <row r="337" spans="1:42" x14ac:dyDescent="0.2">
      <c r="A337" s="4">
        <f>A336+1</f>
        <v>9</v>
      </c>
      <c r="B337" s="4">
        <v>0</v>
      </c>
      <c r="C337" s="163">
        <f>IF(C$2&lt;=analysis_period,IF(SUM($C679:C679)&gt;0,B337+1,0),0)</f>
        <v>0</v>
      </c>
      <c r="D337" s="163">
        <f>IF(D$2&lt;=analysis_period,IF(SUM($C679:D679)&gt;0,C337+1,0),0)</f>
        <v>0</v>
      </c>
      <c r="E337" s="163">
        <f>IF(E$2&lt;=analysis_period,IF(SUM($C679:E679)&gt;0,D337+1,0),0)</f>
        <v>0</v>
      </c>
      <c r="F337" s="163">
        <f>IF(F$2&lt;=analysis_period,IF(SUM($C679:F679)&gt;0,E337+1,0),0)</f>
        <v>0</v>
      </c>
      <c r="G337" s="163">
        <f>IF(G$2&lt;=analysis_period,IF(SUM($C679:G679)&gt;0,F337+1,0),0)</f>
        <v>0</v>
      </c>
      <c r="H337" s="163">
        <f>IF(H$2&lt;=analysis_period,IF(SUM($C679:H679)&gt;0,G337+1,0),0)</f>
        <v>0</v>
      </c>
      <c r="I337" s="163">
        <f>IF(I$2&lt;=analysis_period,IF(SUM($C679:I679)&gt;0,H337+1,0),0)</f>
        <v>0</v>
      </c>
      <c r="J337" s="163">
        <f>IF(J$2&lt;=analysis_period,IF(SUM($C679:J679)&gt;0,I337+1,0),0)</f>
        <v>0</v>
      </c>
      <c r="K337" s="163">
        <f>IF(K$2&lt;=analysis_period,IF(SUM($C679:K679)&gt;0,J337+1,0),0)</f>
        <v>0</v>
      </c>
      <c r="L337" s="163">
        <f>IF(L$2&lt;=analysis_period,IF(SUM($C679:L679)&gt;0,K337+1,0),0)</f>
        <v>0</v>
      </c>
      <c r="M337" s="163">
        <f>IF(M$2&lt;=analysis_period,IF(SUM($C679:M679)&gt;0,L337+1,0),0)</f>
        <v>0</v>
      </c>
      <c r="N337" s="163">
        <f>IF(N$2&lt;=analysis_period,IF(SUM($C679:N679)&gt;0,M337+1,0),0)</f>
        <v>0</v>
      </c>
      <c r="O337" s="163">
        <f>IF(O$2&lt;=analysis_period,IF(SUM($C679:O679)&gt;0,N337+1,0),0)</f>
        <v>0</v>
      </c>
      <c r="P337" s="163">
        <f>IF(P$2&lt;=analysis_period,IF(SUM($C679:P679)&gt;0,O337+1,0),0)</f>
        <v>0</v>
      </c>
      <c r="Q337" s="163">
        <f>IF(Q$2&lt;=analysis_period,IF(SUM($C679:Q679)&gt;0,P337+1,0),0)</f>
        <v>0</v>
      </c>
      <c r="R337" s="163">
        <f>IF(R$2&lt;=analysis_period,IF(SUM($C679:R679)&gt;0,Q337+1,0),0)</f>
        <v>0</v>
      </c>
      <c r="S337" s="163">
        <f>IF(S$2&lt;=analysis_period,IF(SUM($C679:S679)&gt;0,R337+1,0),0)</f>
        <v>0</v>
      </c>
      <c r="T337" s="163">
        <f>IF(T$2&lt;=analysis_period,IF(SUM($C679:T679)&gt;0,S337+1,0),0)</f>
        <v>0</v>
      </c>
      <c r="U337" s="163">
        <f>IF(U$2&lt;=analysis_period,IF(SUM($C679:U679)&gt;0,T337+1,0),0)</f>
        <v>0</v>
      </c>
      <c r="V337" s="163">
        <f>IF(V$2&lt;=analysis_period,IF(SUM($C679:V679)&gt;0,U337+1,0),0)</f>
        <v>0</v>
      </c>
      <c r="W337" s="163">
        <f>IF(W$2&lt;=analysis_period,IF(SUM($C679:W679)&gt;0,V337+1,0),0)</f>
        <v>0</v>
      </c>
      <c r="X337" s="163">
        <f>IF(X$2&lt;=analysis_period,IF(SUM($C679:X679)&gt;0,W337+1,0),0)</f>
        <v>0</v>
      </c>
      <c r="Y337" s="163">
        <f>IF(Y$2&lt;=analysis_period,IF(SUM($C679:Y679)&gt;0,X337+1,0),0)</f>
        <v>0</v>
      </c>
      <c r="Z337" s="163">
        <f>IF(Z$2&lt;=analysis_period,IF(SUM($C679:Z679)&gt;0,Y337+1,0),0)</f>
        <v>0</v>
      </c>
      <c r="AA337" s="163">
        <f>IF(AA$2&lt;=analysis_period,IF(SUM($C679:AA679)&gt;0,Z337+1,0),0)</f>
        <v>0</v>
      </c>
      <c r="AB337" s="163">
        <f>IF(AB$2&lt;=analysis_period,IF(SUM($C679:AB679)&gt;0,AA337+1,0),0)</f>
        <v>0</v>
      </c>
      <c r="AC337" s="163">
        <f>IF(AC$2&lt;=analysis_period,IF(SUM($C679:AC679)&gt;0,AB337+1,0),0)</f>
        <v>0</v>
      </c>
      <c r="AD337" s="163">
        <f>IF(AD$2&lt;=analysis_period,IF(SUM($C679:AD679)&gt;0,AC337+1,0),0)</f>
        <v>0</v>
      </c>
      <c r="AE337" s="163">
        <f>IF(AE$2&lt;=analysis_period,IF(SUM($C679:AE679)&gt;0,AD337+1,0),0)</f>
        <v>0</v>
      </c>
      <c r="AF337" s="163">
        <f>IF(AF$2&lt;=analysis_period,IF(SUM($C679:AF679)&gt;0,AE337+1,0),0)</f>
        <v>0</v>
      </c>
      <c r="AG337" s="163">
        <f>IF(AG$2&lt;=analysis_period,IF(SUM($C679:AG679)&gt;0,AF337+1,0),0)</f>
        <v>0</v>
      </c>
      <c r="AH337" s="163">
        <f>IF(AH$2&lt;=analysis_period,IF(SUM($C679:AH679)&gt;0,AG337+1,0),0)</f>
        <v>0</v>
      </c>
      <c r="AI337" s="163">
        <f>IF(AI$2&lt;=analysis_period,IF(SUM($C679:AI679)&gt;0,AH337+1,0),0)</f>
        <v>0</v>
      </c>
      <c r="AJ337" s="163">
        <f>IF(AJ$2&lt;=analysis_period,IF(SUM($C679:AJ679)&gt;0,AI337+1,0),0)</f>
        <v>0</v>
      </c>
      <c r="AK337" s="163">
        <f>IF(AK$2&lt;=analysis_period,IF(SUM($C679:AK679)&gt;0,AJ337+1,0),0)</f>
        <v>0</v>
      </c>
      <c r="AL337" s="163">
        <f>IF(AL$2&lt;=analysis_period,IF(SUM($C679:AL679)&gt;0,AK337+1,0),0)</f>
        <v>0</v>
      </c>
      <c r="AM337" s="163">
        <f>IF(AM$2&lt;=analysis_period,IF(SUM($C679:AM679)&gt;0,AL337+1,0),0)</f>
        <v>0</v>
      </c>
      <c r="AN337" s="163">
        <f>IF(AN$2&lt;=analysis_period,IF(SUM($C679:AN679)&gt;0,AM337+1,0),0)</f>
        <v>0</v>
      </c>
      <c r="AO337" s="163">
        <f>IF(AO$2&lt;=analysis_period,IF(SUM($C679:AO679)&gt;0,AN337+1,0),0)</f>
        <v>0</v>
      </c>
      <c r="AP337" s="163">
        <f>IF(AP$2&lt;=analysis_period,IF(SUM($C679:AP679)&gt;0,AO337+1,0),0)</f>
        <v>0</v>
      </c>
    </row>
    <row r="338" spans="1:42" x14ac:dyDescent="0.2">
      <c r="A338" s="4">
        <f t="shared" si="131"/>
        <v>10</v>
      </c>
      <c r="B338" s="4">
        <v>0</v>
      </c>
      <c r="C338" s="163">
        <f>IF(C$2&lt;=analysis_period,IF(SUM($C680:C680)&gt;0,B338+1,0),0)</f>
        <v>0</v>
      </c>
      <c r="D338" s="163">
        <f>IF(D$2&lt;=analysis_period,IF(SUM($C680:D680)&gt;0,C338+1,0),0)</f>
        <v>0</v>
      </c>
      <c r="E338" s="163">
        <f>IF(E$2&lt;=analysis_period,IF(SUM($C680:E680)&gt;0,D338+1,0),0)</f>
        <v>0</v>
      </c>
      <c r="F338" s="163">
        <f>IF(F$2&lt;=analysis_period,IF(SUM($C680:F680)&gt;0,E338+1,0),0)</f>
        <v>0</v>
      </c>
      <c r="G338" s="163">
        <f>IF(G$2&lt;=analysis_period,IF(SUM($C680:G680)&gt;0,F338+1,0),0)</f>
        <v>0</v>
      </c>
      <c r="H338" s="163">
        <f>IF(H$2&lt;=analysis_period,IF(SUM($C680:H680)&gt;0,G338+1,0),0)</f>
        <v>0</v>
      </c>
      <c r="I338" s="163">
        <f>IF(I$2&lt;=analysis_period,IF(SUM($C680:I680)&gt;0,H338+1,0),0)</f>
        <v>0</v>
      </c>
      <c r="J338" s="163">
        <f>IF(J$2&lt;=analysis_period,IF(SUM($C680:J680)&gt;0,I338+1,0),0)</f>
        <v>0</v>
      </c>
      <c r="K338" s="163">
        <f>IF(K$2&lt;=analysis_period,IF(SUM($C680:K680)&gt;0,J338+1,0),0)</f>
        <v>0</v>
      </c>
      <c r="L338" s="163">
        <f>IF(L$2&lt;=analysis_period,IF(SUM($C680:L680)&gt;0,K338+1,0),0)</f>
        <v>0</v>
      </c>
      <c r="M338" s="163">
        <f>IF(M$2&lt;=analysis_period,IF(SUM($C680:M680)&gt;0,L338+1,0),0)</f>
        <v>0</v>
      </c>
      <c r="N338" s="163">
        <f>IF(N$2&lt;=analysis_period,IF(SUM($C680:N680)&gt;0,M338+1,0),0)</f>
        <v>0</v>
      </c>
      <c r="O338" s="163">
        <f>IF(O$2&lt;=analysis_period,IF(SUM($C680:O680)&gt;0,N338+1,0),0)</f>
        <v>0</v>
      </c>
      <c r="P338" s="163">
        <f>IF(P$2&lt;=analysis_period,IF(SUM($C680:P680)&gt;0,O338+1,0),0)</f>
        <v>0</v>
      </c>
      <c r="Q338" s="163">
        <f>IF(Q$2&lt;=analysis_period,IF(SUM($C680:Q680)&gt;0,P338+1,0),0)</f>
        <v>0</v>
      </c>
      <c r="R338" s="163">
        <f>IF(R$2&lt;=analysis_period,IF(SUM($C680:R680)&gt;0,Q338+1,0),0)</f>
        <v>0</v>
      </c>
      <c r="S338" s="163">
        <f>IF(S$2&lt;=analysis_period,IF(SUM($C680:S680)&gt;0,R338+1,0),0)</f>
        <v>0</v>
      </c>
      <c r="T338" s="163">
        <f>IF(T$2&lt;=analysis_period,IF(SUM($C680:T680)&gt;0,S338+1,0),0)</f>
        <v>0</v>
      </c>
      <c r="U338" s="163">
        <f>IF(U$2&lt;=analysis_period,IF(SUM($C680:U680)&gt;0,T338+1,0),0)</f>
        <v>0</v>
      </c>
      <c r="V338" s="163">
        <f>IF(V$2&lt;=analysis_period,IF(SUM($C680:V680)&gt;0,U338+1,0),0)</f>
        <v>0</v>
      </c>
      <c r="W338" s="163">
        <f>IF(W$2&lt;=analysis_period,IF(SUM($C680:W680)&gt;0,V338+1,0),0)</f>
        <v>0</v>
      </c>
      <c r="X338" s="163">
        <f>IF(X$2&lt;=analysis_period,IF(SUM($C680:X680)&gt;0,W338+1,0),0)</f>
        <v>0</v>
      </c>
      <c r="Y338" s="163">
        <f>IF(Y$2&lt;=analysis_period,IF(SUM($C680:Y680)&gt;0,X338+1,0),0)</f>
        <v>0</v>
      </c>
      <c r="Z338" s="163">
        <f>IF(Z$2&lt;=analysis_period,IF(SUM($C680:Z680)&gt;0,Y338+1,0),0)</f>
        <v>0</v>
      </c>
      <c r="AA338" s="163">
        <f>IF(AA$2&lt;=analysis_period,IF(SUM($C680:AA680)&gt;0,Z338+1,0),0)</f>
        <v>0</v>
      </c>
      <c r="AB338" s="163">
        <f>IF(AB$2&lt;=analysis_period,IF(SUM($C680:AB680)&gt;0,AA338+1,0),0)</f>
        <v>0</v>
      </c>
      <c r="AC338" s="163">
        <f>IF(AC$2&lt;=analysis_period,IF(SUM($C680:AC680)&gt;0,AB338+1,0),0)</f>
        <v>0</v>
      </c>
      <c r="AD338" s="163">
        <f>IF(AD$2&lt;=analysis_period,IF(SUM($C680:AD680)&gt;0,AC338+1,0),0)</f>
        <v>0</v>
      </c>
      <c r="AE338" s="163">
        <f>IF(AE$2&lt;=analysis_period,IF(SUM($C680:AE680)&gt;0,AD338+1,0),0)</f>
        <v>0</v>
      </c>
      <c r="AF338" s="163">
        <f>IF(AF$2&lt;=analysis_period,IF(SUM($C680:AF680)&gt;0,AE338+1,0),0)</f>
        <v>0</v>
      </c>
      <c r="AG338" s="163">
        <f>IF(AG$2&lt;=analysis_period,IF(SUM($C680:AG680)&gt;0,AF338+1,0),0)</f>
        <v>0</v>
      </c>
      <c r="AH338" s="163">
        <f>IF(AH$2&lt;=analysis_period,IF(SUM($C680:AH680)&gt;0,AG338+1,0),0)</f>
        <v>0</v>
      </c>
      <c r="AI338" s="163">
        <f>IF(AI$2&lt;=analysis_period,IF(SUM($C680:AI680)&gt;0,AH338+1,0),0)</f>
        <v>0</v>
      </c>
      <c r="AJ338" s="163">
        <f>IF(AJ$2&lt;=analysis_period,IF(SUM($C680:AJ680)&gt;0,AI338+1,0),0)</f>
        <v>0</v>
      </c>
      <c r="AK338" s="163">
        <f>IF(AK$2&lt;=analysis_period,IF(SUM($C680:AK680)&gt;0,AJ338+1,0),0)</f>
        <v>0</v>
      </c>
      <c r="AL338" s="163">
        <f>IF(AL$2&lt;=analysis_period,IF(SUM($C680:AL680)&gt;0,AK338+1,0),0)</f>
        <v>0</v>
      </c>
      <c r="AM338" s="163">
        <f>IF(AM$2&lt;=analysis_period,IF(SUM($C680:AM680)&gt;0,AL338+1,0),0)</f>
        <v>0</v>
      </c>
      <c r="AN338" s="163">
        <f>IF(AN$2&lt;=analysis_period,IF(SUM($C680:AN680)&gt;0,AM338+1,0),0)</f>
        <v>0</v>
      </c>
      <c r="AO338" s="163">
        <f>IF(AO$2&lt;=analysis_period,IF(SUM($C680:AO680)&gt;0,AN338+1,0),0)</f>
        <v>0</v>
      </c>
      <c r="AP338" s="163">
        <f>IF(AP$2&lt;=analysis_period,IF(SUM($C680:AP680)&gt;0,AO338+1,0),0)</f>
        <v>0</v>
      </c>
    </row>
    <row r="339" spans="1:42" x14ac:dyDescent="0.2">
      <c r="A339" s="22"/>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row>
    <row r="340" spans="1:42" x14ac:dyDescent="0.2">
      <c r="A340" s="22" t="s">
        <v>79</v>
      </c>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row>
    <row r="341" spans="1:42" x14ac:dyDescent="0.2">
      <c r="A341" s="4">
        <v>1</v>
      </c>
      <c r="B341" s="178">
        <f t="shared" ref="B341:B350" si="132">SUM(C341:AP341)</f>
        <v>0</v>
      </c>
      <c r="C341" s="180">
        <f t="shared" ref="C341:AP341" si="133">LOOKUP(C329,$B$299:$AP$299,$B$300:$AP$300)/100*$B671</f>
        <v>0</v>
      </c>
      <c r="D341" s="180">
        <f t="shared" si="133"/>
        <v>0</v>
      </c>
      <c r="E341" s="180">
        <f t="shared" si="133"/>
        <v>0</v>
      </c>
      <c r="F341" s="180">
        <f t="shared" si="133"/>
        <v>0</v>
      </c>
      <c r="G341" s="180">
        <f t="shared" si="133"/>
        <v>0</v>
      </c>
      <c r="H341" s="180">
        <f t="shared" si="133"/>
        <v>0</v>
      </c>
      <c r="I341" s="180">
        <f t="shared" si="133"/>
        <v>0</v>
      </c>
      <c r="J341" s="180">
        <f t="shared" si="133"/>
        <v>0</v>
      </c>
      <c r="K341" s="180">
        <f t="shared" si="133"/>
        <v>0</v>
      </c>
      <c r="L341" s="180">
        <f t="shared" si="133"/>
        <v>0</v>
      </c>
      <c r="M341" s="180">
        <f t="shared" si="133"/>
        <v>0</v>
      </c>
      <c r="N341" s="180">
        <f t="shared" si="133"/>
        <v>0</v>
      </c>
      <c r="O341" s="180">
        <f t="shared" si="133"/>
        <v>0</v>
      </c>
      <c r="P341" s="180">
        <f t="shared" si="133"/>
        <v>0</v>
      </c>
      <c r="Q341" s="180">
        <f t="shared" si="133"/>
        <v>0</v>
      </c>
      <c r="R341" s="180">
        <f t="shared" si="133"/>
        <v>0</v>
      </c>
      <c r="S341" s="180">
        <f t="shared" si="133"/>
        <v>0</v>
      </c>
      <c r="T341" s="180">
        <f t="shared" si="133"/>
        <v>0</v>
      </c>
      <c r="U341" s="180">
        <f t="shared" si="133"/>
        <v>0</v>
      </c>
      <c r="V341" s="180">
        <f t="shared" si="133"/>
        <v>0</v>
      </c>
      <c r="W341" s="180">
        <f t="shared" si="133"/>
        <v>0</v>
      </c>
      <c r="X341" s="180">
        <f t="shared" si="133"/>
        <v>0</v>
      </c>
      <c r="Y341" s="180">
        <f t="shared" si="133"/>
        <v>0</v>
      </c>
      <c r="Z341" s="180">
        <f t="shared" si="133"/>
        <v>0</v>
      </c>
      <c r="AA341" s="180">
        <f t="shared" si="133"/>
        <v>0</v>
      </c>
      <c r="AB341" s="180">
        <f t="shared" si="133"/>
        <v>0</v>
      </c>
      <c r="AC341" s="180">
        <f t="shared" si="133"/>
        <v>0</v>
      </c>
      <c r="AD341" s="180">
        <f t="shared" si="133"/>
        <v>0</v>
      </c>
      <c r="AE341" s="180">
        <f t="shared" si="133"/>
        <v>0</v>
      </c>
      <c r="AF341" s="180">
        <f t="shared" si="133"/>
        <v>0</v>
      </c>
      <c r="AG341" s="180">
        <f t="shared" si="133"/>
        <v>0</v>
      </c>
      <c r="AH341" s="180">
        <f t="shared" si="133"/>
        <v>0</v>
      </c>
      <c r="AI341" s="180">
        <f t="shared" si="133"/>
        <v>0</v>
      </c>
      <c r="AJ341" s="180">
        <f t="shared" si="133"/>
        <v>0</v>
      </c>
      <c r="AK341" s="180">
        <f t="shared" si="133"/>
        <v>0</v>
      </c>
      <c r="AL341" s="180">
        <f t="shared" si="133"/>
        <v>0</v>
      </c>
      <c r="AM341" s="180">
        <f t="shared" si="133"/>
        <v>0</v>
      </c>
      <c r="AN341" s="180">
        <f t="shared" si="133"/>
        <v>0</v>
      </c>
      <c r="AO341" s="180">
        <f t="shared" si="133"/>
        <v>0</v>
      </c>
      <c r="AP341" s="180">
        <f t="shared" si="133"/>
        <v>0</v>
      </c>
    </row>
    <row r="342" spans="1:42" x14ac:dyDescent="0.2">
      <c r="A342" s="4">
        <f>A341+1</f>
        <v>2</v>
      </c>
      <c r="B342" s="178">
        <f t="shared" si="132"/>
        <v>0</v>
      </c>
      <c r="C342" s="180">
        <f t="shared" ref="C342:AP342" si="134">LOOKUP(C330,$B$299:$AP$299,$B$300:$AP$300)/100*$B672</f>
        <v>0</v>
      </c>
      <c r="D342" s="180">
        <f t="shared" si="134"/>
        <v>0</v>
      </c>
      <c r="E342" s="180">
        <f t="shared" si="134"/>
        <v>0</v>
      </c>
      <c r="F342" s="180">
        <f t="shared" si="134"/>
        <v>0</v>
      </c>
      <c r="G342" s="180">
        <f t="shared" si="134"/>
        <v>0</v>
      </c>
      <c r="H342" s="180">
        <f t="shared" si="134"/>
        <v>0</v>
      </c>
      <c r="I342" s="180">
        <f t="shared" si="134"/>
        <v>0</v>
      </c>
      <c r="J342" s="180">
        <f t="shared" si="134"/>
        <v>0</v>
      </c>
      <c r="K342" s="180">
        <f t="shared" si="134"/>
        <v>0</v>
      </c>
      <c r="L342" s="180">
        <f t="shared" si="134"/>
        <v>0</v>
      </c>
      <c r="M342" s="180">
        <f t="shared" si="134"/>
        <v>0</v>
      </c>
      <c r="N342" s="180">
        <f t="shared" si="134"/>
        <v>0</v>
      </c>
      <c r="O342" s="180">
        <f t="shared" si="134"/>
        <v>0</v>
      </c>
      <c r="P342" s="180">
        <f t="shared" si="134"/>
        <v>0</v>
      </c>
      <c r="Q342" s="180">
        <f t="shared" si="134"/>
        <v>0</v>
      </c>
      <c r="R342" s="180">
        <f t="shared" si="134"/>
        <v>0</v>
      </c>
      <c r="S342" s="180">
        <f t="shared" si="134"/>
        <v>0</v>
      </c>
      <c r="T342" s="180">
        <f t="shared" si="134"/>
        <v>0</v>
      </c>
      <c r="U342" s="180">
        <f t="shared" si="134"/>
        <v>0</v>
      </c>
      <c r="V342" s="180">
        <f t="shared" si="134"/>
        <v>0</v>
      </c>
      <c r="W342" s="180">
        <f t="shared" si="134"/>
        <v>0</v>
      </c>
      <c r="X342" s="180">
        <f t="shared" si="134"/>
        <v>0</v>
      </c>
      <c r="Y342" s="180">
        <f t="shared" si="134"/>
        <v>0</v>
      </c>
      <c r="Z342" s="180">
        <f t="shared" si="134"/>
        <v>0</v>
      </c>
      <c r="AA342" s="180">
        <f t="shared" si="134"/>
        <v>0</v>
      </c>
      <c r="AB342" s="180">
        <f t="shared" si="134"/>
        <v>0</v>
      </c>
      <c r="AC342" s="180">
        <f t="shared" si="134"/>
        <v>0</v>
      </c>
      <c r="AD342" s="180">
        <f t="shared" si="134"/>
        <v>0</v>
      </c>
      <c r="AE342" s="180">
        <f t="shared" si="134"/>
        <v>0</v>
      </c>
      <c r="AF342" s="180">
        <f t="shared" si="134"/>
        <v>0</v>
      </c>
      <c r="AG342" s="180">
        <f t="shared" si="134"/>
        <v>0</v>
      </c>
      <c r="AH342" s="180">
        <f t="shared" si="134"/>
        <v>0</v>
      </c>
      <c r="AI342" s="180">
        <f t="shared" si="134"/>
        <v>0</v>
      </c>
      <c r="AJ342" s="180">
        <f t="shared" si="134"/>
        <v>0</v>
      </c>
      <c r="AK342" s="180">
        <f t="shared" si="134"/>
        <v>0</v>
      </c>
      <c r="AL342" s="180">
        <f t="shared" si="134"/>
        <v>0</v>
      </c>
      <c r="AM342" s="180">
        <f t="shared" si="134"/>
        <v>0</v>
      </c>
      <c r="AN342" s="180">
        <f t="shared" si="134"/>
        <v>0</v>
      </c>
      <c r="AO342" s="180">
        <f t="shared" si="134"/>
        <v>0</v>
      </c>
      <c r="AP342" s="180">
        <f t="shared" si="134"/>
        <v>0</v>
      </c>
    </row>
    <row r="343" spans="1:42" x14ac:dyDescent="0.2">
      <c r="A343" s="4">
        <f t="shared" ref="A343:A350" si="135">A342+1</f>
        <v>3</v>
      </c>
      <c r="B343" s="178">
        <f t="shared" si="132"/>
        <v>0</v>
      </c>
      <c r="C343" s="180">
        <f t="shared" ref="C343:AP343" si="136">LOOKUP(C331,$B$299:$AP$299,$B$300:$AP$300)/100*$B673</f>
        <v>0</v>
      </c>
      <c r="D343" s="180">
        <f t="shared" si="136"/>
        <v>0</v>
      </c>
      <c r="E343" s="180">
        <f t="shared" si="136"/>
        <v>0</v>
      </c>
      <c r="F343" s="180">
        <f t="shared" si="136"/>
        <v>0</v>
      </c>
      <c r="G343" s="180">
        <f t="shared" si="136"/>
        <v>0</v>
      </c>
      <c r="H343" s="180">
        <f t="shared" si="136"/>
        <v>0</v>
      </c>
      <c r="I343" s="180">
        <f t="shared" si="136"/>
        <v>0</v>
      </c>
      <c r="J343" s="180">
        <f t="shared" si="136"/>
        <v>0</v>
      </c>
      <c r="K343" s="180">
        <f t="shared" si="136"/>
        <v>0</v>
      </c>
      <c r="L343" s="180">
        <f t="shared" si="136"/>
        <v>0</v>
      </c>
      <c r="M343" s="180">
        <f t="shared" si="136"/>
        <v>0</v>
      </c>
      <c r="N343" s="180">
        <f t="shared" si="136"/>
        <v>0</v>
      </c>
      <c r="O343" s="180">
        <f t="shared" si="136"/>
        <v>0</v>
      </c>
      <c r="P343" s="180">
        <f t="shared" si="136"/>
        <v>0</v>
      </c>
      <c r="Q343" s="180">
        <f t="shared" si="136"/>
        <v>0</v>
      </c>
      <c r="R343" s="180">
        <f t="shared" si="136"/>
        <v>0</v>
      </c>
      <c r="S343" s="180">
        <f t="shared" si="136"/>
        <v>0</v>
      </c>
      <c r="T343" s="180">
        <f t="shared" si="136"/>
        <v>0</v>
      </c>
      <c r="U343" s="180">
        <f t="shared" si="136"/>
        <v>0</v>
      </c>
      <c r="V343" s="180">
        <f t="shared" si="136"/>
        <v>0</v>
      </c>
      <c r="W343" s="180">
        <f t="shared" si="136"/>
        <v>0</v>
      </c>
      <c r="X343" s="180">
        <f t="shared" si="136"/>
        <v>0</v>
      </c>
      <c r="Y343" s="180">
        <f t="shared" si="136"/>
        <v>0</v>
      </c>
      <c r="Z343" s="180">
        <f t="shared" si="136"/>
        <v>0</v>
      </c>
      <c r="AA343" s="180">
        <f t="shared" si="136"/>
        <v>0</v>
      </c>
      <c r="AB343" s="180">
        <f t="shared" si="136"/>
        <v>0</v>
      </c>
      <c r="AC343" s="180">
        <f t="shared" si="136"/>
        <v>0</v>
      </c>
      <c r="AD343" s="180">
        <f t="shared" si="136"/>
        <v>0</v>
      </c>
      <c r="AE343" s="180">
        <f t="shared" si="136"/>
        <v>0</v>
      </c>
      <c r="AF343" s="180">
        <f t="shared" si="136"/>
        <v>0</v>
      </c>
      <c r="AG343" s="180">
        <f t="shared" si="136"/>
        <v>0</v>
      </c>
      <c r="AH343" s="180">
        <f t="shared" si="136"/>
        <v>0</v>
      </c>
      <c r="AI343" s="180">
        <f t="shared" si="136"/>
        <v>0</v>
      </c>
      <c r="AJ343" s="180">
        <f t="shared" si="136"/>
        <v>0</v>
      </c>
      <c r="AK343" s="180">
        <f t="shared" si="136"/>
        <v>0</v>
      </c>
      <c r="AL343" s="180">
        <f t="shared" si="136"/>
        <v>0</v>
      </c>
      <c r="AM343" s="180">
        <f t="shared" si="136"/>
        <v>0</v>
      </c>
      <c r="AN343" s="180">
        <f t="shared" si="136"/>
        <v>0</v>
      </c>
      <c r="AO343" s="180">
        <f t="shared" si="136"/>
        <v>0</v>
      </c>
      <c r="AP343" s="180">
        <f t="shared" si="136"/>
        <v>0</v>
      </c>
    </row>
    <row r="344" spans="1:42" x14ac:dyDescent="0.2">
      <c r="A344" s="4">
        <f t="shared" si="135"/>
        <v>4</v>
      </c>
      <c r="B344" s="178">
        <f t="shared" si="132"/>
        <v>0</v>
      </c>
      <c r="C344" s="180">
        <f t="shared" ref="C344:AP344" si="137">LOOKUP(C332,$B$299:$AP$299,$B$300:$AP$300)/100*$B674</f>
        <v>0</v>
      </c>
      <c r="D344" s="180">
        <f t="shared" si="137"/>
        <v>0</v>
      </c>
      <c r="E344" s="180">
        <f t="shared" si="137"/>
        <v>0</v>
      </c>
      <c r="F344" s="180">
        <f t="shared" si="137"/>
        <v>0</v>
      </c>
      <c r="G344" s="180">
        <f t="shared" si="137"/>
        <v>0</v>
      </c>
      <c r="H344" s="180">
        <f t="shared" si="137"/>
        <v>0</v>
      </c>
      <c r="I344" s="180">
        <f t="shared" si="137"/>
        <v>0</v>
      </c>
      <c r="J344" s="180">
        <f t="shared" si="137"/>
        <v>0</v>
      </c>
      <c r="K344" s="180">
        <f t="shared" si="137"/>
        <v>0</v>
      </c>
      <c r="L344" s="180">
        <f t="shared" si="137"/>
        <v>0</v>
      </c>
      <c r="M344" s="180">
        <f t="shared" si="137"/>
        <v>0</v>
      </c>
      <c r="N344" s="180">
        <f t="shared" si="137"/>
        <v>0</v>
      </c>
      <c r="O344" s="180">
        <f t="shared" si="137"/>
        <v>0</v>
      </c>
      <c r="P344" s="180">
        <f t="shared" si="137"/>
        <v>0</v>
      </c>
      <c r="Q344" s="180">
        <f t="shared" si="137"/>
        <v>0</v>
      </c>
      <c r="R344" s="180">
        <f t="shared" si="137"/>
        <v>0</v>
      </c>
      <c r="S344" s="180">
        <f t="shared" si="137"/>
        <v>0</v>
      </c>
      <c r="T344" s="180">
        <f t="shared" si="137"/>
        <v>0</v>
      </c>
      <c r="U344" s="180">
        <f t="shared" si="137"/>
        <v>0</v>
      </c>
      <c r="V344" s="180">
        <f t="shared" si="137"/>
        <v>0</v>
      </c>
      <c r="W344" s="180">
        <f t="shared" si="137"/>
        <v>0</v>
      </c>
      <c r="X344" s="180">
        <f t="shared" si="137"/>
        <v>0</v>
      </c>
      <c r="Y344" s="180">
        <f t="shared" si="137"/>
        <v>0</v>
      </c>
      <c r="Z344" s="180">
        <f t="shared" si="137"/>
        <v>0</v>
      </c>
      <c r="AA344" s="180">
        <f t="shared" si="137"/>
        <v>0</v>
      </c>
      <c r="AB344" s="180">
        <f t="shared" si="137"/>
        <v>0</v>
      </c>
      <c r="AC344" s="180">
        <f t="shared" si="137"/>
        <v>0</v>
      </c>
      <c r="AD344" s="180">
        <f t="shared" si="137"/>
        <v>0</v>
      </c>
      <c r="AE344" s="180">
        <f t="shared" si="137"/>
        <v>0</v>
      </c>
      <c r="AF344" s="180">
        <f t="shared" si="137"/>
        <v>0</v>
      </c>
      <c r="AG344" s="180">
        <f t="shared" si="137"/>
        <v>0</v>
      </c>
      <c r="AH344" s="180">
        <f t="shared" si="137"/>
        <v>0</v>
      </c>
      <c r="AI344" s="180">
        <f t="shared" si="137"/>
        <v>0</v>
      </c>
      <c r="AJ344" s="180">
        <f t="shared" si="137"/>
        <v>0</v>
      </c>
      <c r="AK344" s="180">
        <f t="shared" si="137"/>
        <v>0</v>
      </c>
      <c r="AL344" s="180">
        <f t="shared" si="137"/>
        <v>0</v>
      </c>
      <c r="AM344" s="180">
        <f t="shared" si="137"/>
        <v>0</v>
      </c>
      <c r="AN344" s="180">
        <f t="shared" si="137"/>
        <v>0</v>
      </c>
      <c r="AO344" s="180">
        <f t="shared" si="137"/>
        <v>0</v>
      </c>
      <c r="AP344" s="180">
        <f t="shared" si="137"/>
        <v>0</v>
      </c>
    </row>
    <row r="345" spans="1:42" x14ac:dyDescent="0.2">
      <c r="A345" s="4">
        <f t="shared" si="135"/>
        <v>5</v>
      </c>
      <c r="B345" s="178">
        <f t="shared" si="132"/>
        <v>0</v>
      </c>
      <c r="C345" s="180">
        <f t="shared" ref="C345:AP345" si="138">LOOKUP(C333,$B$299:$AP$299,$B$300:$AP$300)/100*$B675</f>
        <v>0</v>
      </c>
      <c r="D345" s="180">
        <f t="shared" si="138"/>
        <v>0</v>
      </c>
      <c r="E345" s="180">
        <f t="shared" si="138"/>
        <v>0</v>
      </c>
      <c r="F345" s="180">
        <f t="shared" si="138"/>
        <v>0</v>
      </c>
      <c r="G345" s="180">
        <f t="shared" si="138"/>
        <v>0</v>
      </c>
      <c r="H345" s="180">
        <f t="shared" si="138"/>
        <v>0</v>
      </c>
      <c r="I345" s="180">
        <f t="shared" si="138"/>
        <v>0</v>
      </c>
      <c r="J345" s="180">
        <f t="shared" si="138"/>
        <v>0</v>
      </c>
      <c r="K345" s="180">
        <f t="shared" si="138"/>
        <v>0</v>
      </c>
      <c r="L345" s="180">
        <f t="shared" si="138"/>
        <v>0</v>
      </c>
      <c r="M345" s="180">
        <f t="shared" si="138"/>
        <v>0</v>
      </c>
      <c r="N345" s="180">
        <f t="shared" si="138"/>
        <v>0</v>
      </c>
      <c r="O345" s="180">
        <f t="shared" si="138"/>
        <v>0</v>
      </c>
      <c r="P345" s="180">
        <f t="shared" si="138"/>
        <v>0</v>
      </c>
      <c r="Q345" s="180">
        <f t="shared" si="138"/>
        <v>0</v>
      </c>
      <c r="R345" s="180">
        <f t="shared" si="138"/>
        <v>0</v>
      </c>
      <c r="S345" s="180">
        <f t="shared" si="138"/>
        <v>0</v>
      </c>
      <c r="T345" s="180">
        <f t="shared" si="138"/>
        <v>0</v>
      </c>
      <c r="U345" s="180">
        <f t="shared" si="138"/>
        <v>0</v>
      </c>
      <c r="V345" s="180">
        <f t="shared" si="138"/>
        <v>0</v>
      </c>
      <c r="W345" s="180">
        <f t="shared" si="138"/>
        <v>0</v>
      </c>
      <c r="X345" s="180">
        <f t="shared" si="138"/>
        <v>0</v>
      </c>
      <c r="Y345" s="180">
        <f t="shared" si="138"/>
        <v>0</v>
      </c>
      <c r="Z345" s="180">
        <f t="shared" si="138"/>
        <v>0</v>
      </c>
      <c r="AA345" s="180">
        <f t="shared" si="138"/>
        <v>0</v>
      </c>
      <c r="AB345" s="180">
        <f t="shared" si="138"/>
        <v>0</v>
      </c>
      <c r="AC345" s="180">
        <f t="shared" si="138"/>
        <v>0</v>
      </c>
      <c r="AD345" s="180">
        <f t="shared" si="138"/>
        <v>0</v>
      </c>
      <c r="AE345" s="180">
        <f t="shared" si="138"/>
        <v>0</v>
      </c>
      <c r="AF345" s="180">
        <f t="shared" si="138"/>
        <v>0</v>
      </c>
      <c r="AG345" s="180">
        <f t="shared" si="138"/>
        <v>0</v>
      </c>
      <c r="AH345" s="180">
        <f t="shared" si="138"/>
        <v>0</v>
      </c>
      <c r="AI345" s="180">
        <f t="shared" si="138"/>
        <v>0</v>
      </c>
      <c r="AJ345" s="180">
        <f t="shared" si="138"/>
        <v>0</v>
      </c>
      <c r="AK345" s="180">
        <f t="shared" si="138"/>
        <v>0</v>
      </c>
      <c r="AL345" s="180">
        <f t="shared" si="138"/>
        <v>0</v>
      </c>
      <c r="AM345" s="180">
        <f t="shared" si="138"/>
        <v>0</v>
      </c>
      <c r="AN345" s="180">
        <f t="shared" si="138"/>
        <v>0</v>
      </c>
      <c r="AO345" s="180">
        <f t="shared" si="138"/>
        <v>0</v>
      </c>
      <c r="AP345" s="180">
        <f t="shared" si="138"/>
        <v>0</v>
      </c>
    </row>
    <row r="346" spans="1:42" x14ac:dyDescent="0.2">
      <c r="A346" s="4">
        <f t="shared" si="135"/>
        <v>6</v>
      </c>
      <c r="B346" s="178">
        <f t="shared" si="132"/>
        <v>0</v>
      </c>
      <c r="C346" s="180">
        <f t="shared" ref="C346:AP346" si="139">LOOKUP(C334,$B$299:$AP$299,$B$300:$AP$300)/100*$B676</f>
        <v>0</v>
      </c>
      <c r="D346" s="180">
        <f t="shared" si="139"/>
        <v>0</v>
      </c>
      <c r="E346" s="180">
        <f t="shared" si="139"/>
        <v>0</v>
      </c>
      <c r="F346" s="180">
        <f t="shared" si="139"/>
        <v>0</v>
      </c>
      <c r="G346" s="180">
        <f t="shared" si="139"/>
        <v>0</v>
      </c>
      <c r="H346" s="180">
        <f t="shared" si="139"/>
        <v>0</v>
      </c>
      <c r="I346" s="180">
        <f t="shared" si="139"/>
        <v>0</v>
      </c>
      <c r="J346" s="180">
        <f t="shared" si="139"/>
        <v>0</v>
      </c>
      <c r="K346" s="180">
        <f t="shared" si="139"/>
        <v>0</v>
      </c>
      <c r="L346" s="180">
        <f t="shared" si="139"/>
        <v>0</v>
      </c>
      <c r="M346" s="180">
        <f t="shared" si="139"/>
        <v>0</v>
      </c>
      <c r="N346" s="180">
        <f t="shared" si="139"/>
        <v>0</v>
      </c>
      <c r="O346" s="180">
        <f t="shared" si="139"/>
        <v>0</v>
      </c>
      <c r="P346" s="180">
        <f t="shared" si="139"/>
        <v>0</v>
      </c>
      <c r="Q346" s="180">
        <f t="shared" si="139"/>
        <v>0</v>
      </c>
      <c r="R346" s="180">
        <f t="shared" si="139"/>
        <v>0</v>
      </c>
      <c r="S346" s="180">
        <f t="shared" si="139"/>
        <v>0</v>
      </c>
      <c r="T346" s="180">
        <f t="shared" si="139"/>
        <v>0</v>
      </c>
      <c r="U346" s="180">
        <f t="shared" si="139"/>
        <v>0</v>
      </c>
      <c r="V346" s="180">
        <f t="shared" si="139"/>
        <v>0</v>
      </c>
      <c r="W346" s="180">
        <f t="shared" si="139"/>
        <v>0</v>
      </c>
      <c r="X346" s="180">
        <f t="shared" si="139"/>
        <v>0</v>
      </c>
      <c r="Y346" s="180">
        <f t="shared" si="139"/>
        <v>0</v>
      </c>
      <c r="Z346" s="180">
        <f t="shared" si="139"/>
        <v>0</v>
      </c>
      <c r="AA346" s="180">
        <f t="shared" si="139"/>
        <v>0</v>
      </c>
      <c r="AB346" s="180">
        <f t="shared" si="139"/>
        <v>0</v>
      </c>
      <c r="AC346" s="180">
        <f t="shared" si="139"/>
        <v>0</v>
      </c>
      <c r="AD346" s="180">
        <f t="shared" si="139"/>
        <v>0</v>
      </c>
      <c r="AE346" s="180">
        <f t="shared" si="139"/>
        <v>0</v>
      </c>
      <c r="AF346" s="180">
        <f t="shared" si="139"/>
        <v>0</v>
      </c>
      <c r="AG346" s="180">
        <f t="shared" si="139"/>
        <v>0</v>
      </c>
      <c r="AH346" s="180">
        <f t="shared" si="139"/>
        <v>0</v>
      </c>
      <c r="AI346" s="180">
        <f t="shared" si="139"/>
        <v>0</v>
      </c>
      <c r="AJ346" s="180">
        <f t="shared" si="139"/>
        <v>0</v>
      </c>
      <c r="AK346" s="180">
        <f t="shared" si="139"/>
        <v>0</v>
      </c>
      <c r="AL346" s="180">
        <f t="shared" si="139"/>
        <v>0</v>
      </c>
      <c r="AM346" s="180">
        <f t="shared" si="139"/>
        <v>0</v>
      </c>
      <c r="AN346" s="180">
        <f t="shared" si="139"/>
        <v>0</v>
      </c>
      <c r="AO346" s="180">
        <f t="shared" si="139"/>
        <v>0</v>
      </c>
      <c r="AP346" s="180">
        <f t="shared" si="139"/>
        <v>0</v>
      </c>
    </row>
    <row r="347" spans="1:42" x14ac:dyDescent="0.2">
      <c r="A347" s="4">
        <f t="shared" si="135"/>
        <v>7</v>
      </c>
      <c r="B347" s="178">
        <f t="shared" si="132"/>
        <v>0</v>
      </c>
      <c r="C347" s="180">
        <f t="shared" ref="C347:AP347" si="140">LOOKUP(C335,$B$299:$AP$299,$B$300:$AP$300)/100*$B677</f>
        <v>0</v>
      </c>
      <c r="D347" s="180">
        <f t="shared" si="140"/>
        <v>0</v>
      </c>
      <c r="E347" s="180">
        <f t="shared" si="140"/>
        <v>0</v>
      </c>
      <c r="F347" s="180">
        <f t="shared" si="140"/>
        <v>0</v>
      </c>
      <c r="G347" s="180">
        <f t="shared" si="140"/>
        <v>0</v>
      </c>
      <c r="H347" s="180">
        <f t="shared" si="140"/>
        <v>0</v>
      </c>
      <c r="I347" s="180">
        <f t="shared" si="140"/>
        <v>0</v>
      </c>
      <c r="J347" s="180">
        <f t="shared" si="140"/>
        <v>0</v>
      </c>
      <c r="K347" s="180">
        <f t="shared" si="140"/>
        <v>0</v>
      </c>
      <c r="L347" s="180">
        <f t="shared" si="140"/>
        <v>0</v>
      </c>
      <c r="M347" s="180">
        <f t="shared" si="140"/>
        <v>0</v>
      </c>
      <c r="N347" s="180">
        <f t="shared" si="140"/>
        <v>0</v>
      </c>
      <c r="O347" s="180">
        <f t="shared" si="140"/>
        <v>0</v>
      </c>
      <c r="P347" s="180">
        <f t="shared" si="140"/>
        <v>0</v>
      </c>
      <c r="Q347" s="180">
        <f t="shared" si="140"/>
        <v>0</v>
      </c>
      <c r="R347" s="180">
        <f t="shared" si="140"/>
        <v>0</v>
      </c>
      <c r="S347" s="180">
        <f t="shared" si="140"/>
        <v>0</v>
      </c>
      <c r="T347" s="180">
        <f t="shared" si="140"/>
        <v>0</v>
      </c>
      <c r="U347" s="180">
        <f t="shared" si="140"/>
        <v>0</v>
      </c>
      <c r="V347" s="180">
        <f t="shared" si="140"/>
        <v>0</v>
      </c>
      <c r="W347" s="180">
        <f t="shared" si="140"/>
        <v>0</v>
      </c>
      <c r="X347" s="180">
        <f t="shared" si="140"/>
        <v>0</v>
      </c>
      <c r="Y347" s="180">
        <f t="shared" si="140"/>
        <v>0</v>
      </c>
      <c r="Z347" s="180">
        <f t="shared" si="140"/>
        <v>0</v>
      </c>
      <c r="AA347" s="180">
        <f t="shared" si="140"/>
        <v>0</v>
      </c>
      <c r="AB347" s="180">
        <f t="shared" si="140"/>
        <v>0</v>
      </c>
      <c r="AC347" s="180">
        <f t="shared" si="140"/>
        <v>0</v>
      </c>
      <c r="AD347" s="180">
        <f t="shared" si="140"/>
        <v>0</v>
      </c>
      <c r="AE347" s="180">
        <f t="shared" si="140"/>
        <v>0</v>
      </c>
      <c r="AF347" s="180">
        <f t="shared" si="140"/>
        <v>0</v>
      </c>
      <c r="AG347" s="180">
        <f t="shared" si="140"/>
        <v>0</v>
      </c>
      <c r="AH347" s="180">
        <f t="shared" si="140"/>
        <v>0</v>
      </c>
      <c r="AI347" s="180">
        <f t="shared" si="140"/>
        <v>0</v>
      </c>
      <c r="AJ347" s="180">
        <f t="shared" si="140"/>
        <v>0</v>
      </c>
      <c r="AK347" s="180">
        <f t="shared" si="140"/>
        <v>0</v>
      </c>
      <c r="AL347" s="180">
        <f t="shared" si="140"/>
        <v>0</v>
      </c>
      <c r="AM347" s="180">
        <f t="shared" si="140"/>
        <v>0</v>
      </c>
      <c r="AN347" s="180">
        <f t="shared" si="140"/>
        <v>0</v>
      </c>
      <c r="AO347" s="180">
        <f t="shared" si="140"/>
        <v>0</v>
      </c>
      <c r="AP347" s="180">
        <f t="shared" si="140"/>
        <v>0</v>
      </c>
    </row>
    <row r="348" spans="1:42" x14ac:dyDescent="0.2">
      <c r="A348" s="4">
        <f t="shared" si="135"/>
        <v>8</v>
      </c>
      <c r="B348" s="178">
        <f t="shared" si="132"/>
        <v>0</v>
      </c>
      <c r="C348" s="180">
        <f t="shared" ref="C348:AP348" si="141">LOOKUP(C336,$B$299:$AP$299,$B$300:$AP$300)/100*$B678</f>
        <v>0</v>
      </c>
      <c r="D348" s="180">
        <f t="shared" si="141"/>
        <v>0</v>
      </c>
      <c r="E348" s="180">
        <f t="shared" si="141"/>
        <v>0</v>
      </c>
      <c r="F348" s="180">
        <f t="shared" si="141"/>
        <v>0</v>
      </c>
      <c r="G348" s="180">
        <f t="shared" si="141"/>
        <v>0</v>
      </c>
      <c r="H348" s="180">
        <f t="shared" si="141"/>
        <v>0</v>
      </c>
      <c r="I348" s="180">
        <f t="shared" si="141"/>
        <v>0</v>
      </c>
      <c r="J348" s="180">
        <f t="shared" si="141"/>
        <v>0</v>
      </c>
      <c r="K348" s="180">
        <f t="shared" si="141"/>
        <v>0</v>
      </c>
      <c r="L348" s="180">
        <f t="shared" si="141"/>
        <v>0</v>
      </c>
      <c r="M348" s="180">
        <f t="shared" si="141"/>
        <v>0</v>
      </c>
      <c r="N348" s="180">
        <f t="shared" si="141"/>
        <v>0</v>
      </c>
      <c r="O348" s="180">
        <f t="shared" si="141"/>
        <v>0</v>
      </c>
      <c r="P348" s="180">
        <f t="shared" si="141"/>
        <v>0</v>
      </c>
      <c r="Q348" s="180">
        <f t="shared" si="141"/>
        <v>0</v>
      </c>
      <c r="R348" s="180">
        <f t="shared" si="141"/>
        <v>0</v>
      </c>
      <c r="S348" s="180">
        <f t="shared" si="141"/>
        <v>0</v>
      </c>
      <c r="T348" s="180">
        <f t="shared" si="141"/>
        <v>0</v>
      </c>
      <c r="U348" s="180">
        <f t="shared" si="141"/>
        <v>0</v>
      </c>
      <c r="V348" s="180">
        <f t="shared" si="141"/>
        <v>0</v>
      </c>
      <c r="W348" s="180">
        <f t="shared" si="141"/>
        <v>0</v>
      </c>
      <c r="X348" s="180">
        <f t="shared" si="141"/>
        <v>0</v>
      </c>
      <c r="Y348" s="180">
        <f t="shared" si="141"/>
        <v>0</v>
      </c>
      <c r="Z348" s="180">
        <f t="shared" si="141"/>
        <v>0</v>
      </c>
      <c r="AA348" s="180">
        <f t="shared" si="141"/>
        <v>0</v>
      </c>
      <c r="AB348" s="180">
        <f t="shared" si="141"/>
        <v>0</v>
      </c>
      <c r="AC348" s="180">
        <f t="shared" si="141"/>
        <v>0</v>
      </c>
      <c r="AD348" s="180">
        <f t="shared" si="141"/>
        <v>0</v>
      </c>
      <c r="AE348" s="180">
        <f t="shared" si="141"/>
        <v>0</v>
      </c>
      <c r="AF348" s="180">
        <f t="shared" si="141"/>
        <v>0</v>
      </c>
      <c r="AG348" s="180">
        <f t="shared" si="141"/>
        <v>0</v>
      </c>
      <c r="AH348" s="180">
        <f t="shared" si="141"/>
        <v>0</v>
      </c>
      <c r="AI348" s="180">
        <f t="shared" si="141"/>
        <v>0</v>
      </c>
      <c r="AJ348" s="180">
        <f t="shared" si="141"/>
        <v>0</v>
      </c>
      <c r="AK348" s="180">
        <f t="shared" si="141"/>
        <v>0</v>
      </c>
      <c r="AL348" s="180">
        <f t="shared" si="141"/>
        <v>0</v>
      </c>
      <c r="AM348" s="180">
        <f t="shared" si="141"/>
        <v>0</v>
      </c>
      <c r="AN348" s="180">
        <f t="shared" si="141"/>
        <v>0</v>
      </c>
      <c r="AO348" s="180">
        <f t="shared" si="141"/>
        <v>0</v>
      </c>
      <c r="AP348" s="180">
        <f t="shared" si="141"/>
        <v>0</v>
      </c>
    </row>
    <row r="349" spans="1:42" x14ac:dyDescent="0.2">
      <c r="A349" s="4">
        <f>A348+1</f>
        <v>9</v>
      </c>
      <c r="B349" s="178">
        <f t="shared" si="132"/>
        <v>0</v>
      </c>
      <c r="C349" s="180">
        <f t="shared" ref="C349:AP349" si="142">LOOKUP(C337,$B$299:$AP$299,$B$300:$AP$300)/100*$B679</f>
        <v>0</v>
      </c>
      <c r="D349" s="180">
        <f t="shared" si="142"/>
        <v>0</v>
      </c>
      <c r="E349" s="180">
        <f t="shared" si="142"/>
        <v>0</v>
      </c>
      <c r="F349" s="180">
        <f t="shared" si="142"/>
        <v>0</v>
      </c>
      <c r="G349" s="180">
        <f t="shared" si="142"/>
        <v>0</v>
      </c>
      <c r="H349" s="180">
        <f t="shared" si="142"/>
        <v>0</v>
      </c>
      <c r="I349" s="180">
        <f t="shared" si="142"/>
        <v>0</v>
      </c>
      <c r="J349" s="180">
        <f t="shared" si="142"/>
        <v>0</v>
      </c>
      <c r="K349" s="180">
        <f t="shared" si="142"/>
        <v>0</v>
      </c>
      <c r="L349" s="180">
        <f t="shared" si="142"/>
        <v>0</v>
      </c>
      <c r="M349" s="180">
        <f t="shared" si="142"/>
        <v>0</v>
      </c>
      <c r="N349" s="180">
        <f t="shared" si="142"/>
        <v>0</v>
      </c>
      <c r="O349" s="180">
        <f t="shared" si="142"/>
        <v>0</v>
      </c>
      <c r="P349" s="180">
        <f t="shared" si="142"/>
        <v>0</v>
      </c>
      <c r="Q349" s="180">
        <f t="shared" si="142"/>
        <v>0</v>
      </c>
      <c r="R349" s="180">
        <f t="shared" si="142"/>
        <v>0</v>
      </c>
      <c r="S349" s="180">
        <f t="shared" si="142"/>
        <v>0</v>
      </c>
      <c r="T349" s="180">
        <f t="shared" si="142"/>
        <v>0</v>
      </c>
      <c r="U349" s="180">
        <f t="shared" si="142"/>
        <v>0</v>
      </c>
      <c r="V349" s="180">
        <f t="shared" si="142"/>
        <v>0</v>
      </c>
      <c r="W349" s="180">
        <f t="shared" si="142"/>
        <v>0</v>
      </c>
      <c r="X349" s="180">
        <f t="shared" si="142"/>
        <v>0</v>
      </c>
      <c r="Y349" s="180">
        <f t="shared" si="142"/>
        <v>0</v>
      </c>
      <c r="Z349" s="180">
        <f t="shared" si="142"/>
        <v>0</v>
      </c>
      <c r="AA349" s="180">
        <f t="shared" si="142"/>
        <v>0</v>
      </c>
      <c r="AB349" s="180">
        <f t="shared" si="142"/>
        <v>0</v>
      </c>
      <c r="AC349" s="180">
        <f t="shared" si="142"/>
        <v>0</v>
      </c>
      <c r="AD349" s="180">
        <f t="shared" si="142"/>
        <v>0</v>
      </c>
      <c r="AE349" s="180">
        <f t="shared" si="142"/>
        <v>0</v>
      </c>
      <c r="AF349" s="180">
        <f t="shared" si="142"/>
        <v>0</v>
      </c>
      <c r="AG349" s="180">
        <f t="shared" si="142"/>
        <v>0</v>
      </c>
      <c r="AH349" s="180">
        <f t="shared" si="142"/>
        <v>0</v>
      </c>
      <c r="AI349" s="180">
        <f t="shared" si="142"/>
        <v>0</v>
      </c>
      <c r="AJ349" s="180">
        <f t="shared" si="142"/>
        <v>0</v>
      </c>
      <c r="AK349" s="180">
        <f t="shared" si="142"/>
        <v>0</v>
      </c>
      <c r="AL349" s="180">
        <f t="shared" si="142"/>
        <v>0</v>
      </c>
      <c r="AM349" s="180">
        <f t="shared" si="142"/>
        <v>0</v>
      </c>
      <c r="AN349" s="180">
        <f t="shared" si="142"/>
        <v>0</v>
      </c>
      <c r="AO349" s="180">
        <f t="shared" si="142"/>
        <v>0</v>
      </c>
      <c r="AP349" s="180">
        <f t="shared" si="142"/>
        <v>0</v>
      </c>
    </row>
    <row r="350" spans="1:42" x14ac:dyDescent="0.2">
      <c r="A350" s="4">
        <f t="shared" si="135"/>
        <v>10</v>
      </c>
      <c r="B350" s="178">
        <f t="shared" si="132"/>
        <v>0</v>
      </c>
      <c r="C350" s="180">
        <f t="shared" ref="C350:AP350" si="143">LOOKUP(C338,$B$299:$AP$299,$B$300:$AP$300)/100*$B680</f>
        <v>0</v>
      </c>
      <c r="D350" s="180">
        <f t="shared" si="143"/>
        <v>0</v>
      </c>
      <c r="E350" s="180">
        <f t="shared" si="143"/>
        <v>0</v>
      </c>
      <c r="F350" s="180">
        <f t="shared" si="143"/>
        <v>0</v>
      </c>
      <c r="G350" s="180">
        <f t="shared" si="143"/>
        <v>0</v>
      </c>
      <c r="H350" s="180">
        <f t="shared" si="143"/>
        <v>0</v>
      </c>
      <c r="I350" s="180">
        <f t="shared" si="143"/>
        <v>0</v>
      </c>
      <c r="J350" s="180">
        <f t="shared" si="143"/>
        <v>0</v>
      </c>
      <c r="K350" s="180">
        <f t="shared" si="143"/>
        <v>0</v>
      </c>
      <c r="L350" s="180">
        <f t="shared" si="143"/>
        <v>0</v>
      </c>
      <c r="M350" s="180">
        <f t="shared" si="143"/>
        <v>0</v>
      </c>
      <c r="N350" s="180">
        <f t="shared" si="143"/>
        <v>0</v>
      </c>
      <c r="O350" s="180">
        <f t="shared" si="143"/>
        <v>0</v>
      </c>
      <c r="P350" s="180">
        <f t="shared" si="143"/>
        <v>0</v>
      </c>
      <c r="Q350" s="180">
        <f t="shared" si="143"/>
        <v>0</v>
      </c>
      <c r="R350" s="180">
        <f t="shared" si="143"/>
        <v>0</v>
      </c>
      <c r="S350" s="180">
        <f t="shared" si="143"/>
        <v>0</v>
      </c>
      <c r="T350" s="180">
        <f t="shared" si="143"/>
        <v>0</v>
      </c>
      <c r="U350" s="180">
        <f t="shared" si="143"/>
        <v>0</v>
      </c>
      <c r="V350" s="180">
        <f t="shared" si="143"/>
        <v>0</v>
      </c>
      <c r="W350" s="180">
        <f t="shared" si="143"/>
        <v>0</v>
      </c>
      <c r="X350" s="180">
        <f t="shared" si="143"/>
        <v>0</v>
      </c>
      <c r="Y350" s="180">
        <f t="shared" si="143"/>
        <v>0</v>
      </c>
      <c r="Z350" s="180">
        <f t="shared" si="143"/>
        <v>0</v>
      </c>
      <c r="AA350" s="180">
        <f t="shared" si="143"/>
        <v>0</v>
      </c>
      <c r="AB350" s="180">
        <f t="shared" si="143"/>
        <v>0</v>
      </c>
      <c r="AC350" s="180">
        <f t="shared" si="143"/>
        <v>0</v>
      </c>
      <c r="AD350" s="180">
        <f t="shared" si="143"/>
        <v>0</v>
      </c>
      <c r="AE350" s="180">
        <f t="shared" si="143"/>
        <v>0</v>
      </c>
      <c r="AF350" s="180">
        <f t="shared" si="143"/>
        <v>0</v>
      </c>
      <c r="AG350" s="180">
        <f t="shared" si="143"/>
        <v>0</v>
      </c>
      <c r="AH350" s="180">
        <f t="shared" si="143"/>
        <v>0</v>
      </c>
      <c r="AI350" s="180">
        <f t="shared" si="143"/>
        <v>0</v>
      </c>
      <c r="AJ350" s="180">
        <f t="shared" si="143"/>
        <v>0</v>
      </c>
      <c r="AK350" s="180">
        <f t="shared" si="143"/>
        <v>0</v>
      </c>
      <c r="AL350" s="180">
        <f t="shared" si="143"/>
        <v>0</v>
      </c>
      <c r="AM350" s="180">
        <f t="shared" si="143"/>
        <v>0</v>
      </c>
      <c r="AN350" s="180">
        <f t="shared" si="143"/>
        <v>0</v>
      </c>
      <c r="AO350" s="180">
        <f t="shared" si="143"/>
        <v>0</v>
      </c>
      <c r="AP350" s="180">
        <f t="shared" si="143"/>
        <v>0</v>
      </c>
    </row>
    <row r="351" spans="1:42" ht="12" customHeight="1" x14ac:dyDescent="0.2">
      <c r="A351" s="27" t="s">
        <v>13</v>
      </c>
      <c r="C351" s="163">
        <f>SUM(C341:C350)</f>
        <v>0</v>
      </c>
      <c r="D351" s="163">
        <f t="shared" ref="D351:AP351" si="144">SUM(D341:D350)</f>
        <v>0</v>
      </c>
      <c r="E351" s="163">
        <f t="shared" si="144"/>
        <v>0</v>
      </c>
      <c r="F351" s="163">
        <f t="shared" si="144"/>
        <v>0</v>
      </c>
      <c r="G351" s="163">
        <f t="shared" si="144"/>
        <v>0</v>
      </c>
      <c r="H351" s="163">
        <f t="shared" si="144"/>
        <v>0</v>
      </c>
      <c r="I351" s="163">
        <f t="shared" si="144"/>
        <v>0</v>
      </c>
      <c r="J351" s="163">
        <f t="shared" si="144"/>
        <v>0</v>
      </c>
      <c r="K351" s="163">
        <f t="shared" si="144"/>
        <v>0</v>
      </c>
      <c r="L351" s="163">
        <f t="shared" si="144"/>
        <v>0</v>
      </c>
      <c r="M351" s="163">
        <f t="shared" si="144"/>
        <v>0</v>
      </c>
      <c r="N351" s="163">
        <f t="shared" si="144"/>
        <v>0</v>
      </c>
      <c r="O351" s="163">
        <f t="shared" si="144"/>
        <v>0</v>
      </c>
      <c r="P351" s="163">
        <f t="shared" si="144"/>
        <v>0</v>
      </c>
      <c r="Q351" s="163">
        <f t="shared" si="144"/>
        <v>0</v>
      </c>
      <c r="R351" s="163">
        <f t="shared" si="144"/>
        <v>0</v>
      </c>
      <c r="S351" s="163">
        <f t="shared" si="144"/>
        <v>0</v>
      </c>
      <c r="T351" s="163">
        <f t="shared" si="144"/>
        <v>0</v>
      </c>
      <c r="U351" s="163">
        <f t="shared" si="144"/>
        <v>0</v>
      </c>
      <c r="V351" s="163">
        <f t="shared" si="144"/>
        <v>0</v>
      </c>
      <c r="W351" s="163">
        <f t="shared" si="144"/>
        <v>0</v>
      </c>
      <c r="X351" s="163">
        <f t="shared" si="144"/>
        <v>0</v>
      </c>
      <c r="Y351" s="163">
        <f t="shared" si="144"/>
        <v>0</v>
      </c>
      <c r="Z351" s="163">
        <f t="shared" si="144"/>
        <v>0</v>
      </c>
      <c r="AA351" s="163">
        <f t="shared" si="144"/>
        <v>0</v>
      </c>
      <c r="AB351" s="163">
        <f t="shared" si="144"/>
        <v>0</v>
      </c>
      <c r="AC351" s="163">
        <f t="shared" si="144"/>
        <v>0</v>
      </c>
      <c r="AD351" s="163">
        <f t="shared" si="144"/>
        <v>0</v>
      </c>
      <c r="AE351" s="163">
        <f t="shared" si="144"/>
        <v>0</v>
      </c>
      <c r="AF351" s="163">
        <f t="shared" si="144"/>
        <v>0</v>
      </c>
      <c r="AG351" s="163">
        <f t="shared" si="144"/>
        <v>0</v>
      </c>
      <c r="AH351" s="163">
        <f t="shared" si="144"/>
        <v>0</v>
      </c>
      <c r="AI351" s="163">
        <f t="shared" si="144"/>
        <v>0</v>
      </c>
      <c r="AJ351" s="163">
        <f t="shared" si="144"/>
        <v>0</v>
      </c>
      <c r="AK351" s="163">
        <f t="shared" si="144"/>
        <v>0</v>
      </c>
      <c r="AL351" s="163">
        <f t="shared" si="144"/>
        <v>0</v>
      </c>
      <c r="AM351" s="163">
        <f t="shared" si="144"/>
        <v>0</v>
      </c>
      <c r="AN351" s="163">
        <f t="shared" si="144"/>
        <v>0</v>
      </c>
      <c r="AO351" s="163">
        <f t="shared" si="144"/>
        <v>0</v>
      </c>
      <c r="AP351" s="163">
        <f t="shared" si="144"/>
        <v>0</v>
      </c>
    </row>
    <row r="352" spans="1:42" x14ac:dyDescent="0.2">
      <c r="A352" s="22"/>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row>
    <row r="353" spans="1:42" x14ac:dyDescent="0.2">
      <c r="A353" s="18" t="s">
        <v>91</v>
      </c>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row>
    <row r="354" spans="1:42" x14ac:dyDescent="0.2">
      <c r="A354" s="22" t="s">
        <v>75</v>
      </c>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row>
    <row r="355" spans="1:42" x14ac:dyDescent="0.2">
      <c r="A355" s="4">
        <v>1</v>
      </c>
      <c r="B355" s="4">
        <v>0</v>
      </c>
      <c r="C355" s="163">
        <f>IF(C$2&lt;=analysis_period,IF(SUM($C703:C703)&gt;0,B355+1,0),0)</f>
        <v>0</v>
      </c>
      <c r="D355" s="163">
        <f>IF(D$2&lt;=analysis_period,IF(SUM($C703:D703)&gt;0,C355+1,0),0)</f>
        <v>0</v>
      </c>
      <c r="E355" s="163">
        <f>IF(E$2&lt;=analysis_period,IF(SUM($C703:E703)&gt;0,D355+1,0),0)</f>
        <v>0</v>
      </c>
      <c r="F355" s="163">
        <f>IF(F$2&lt;=analysis_period,IF(SUM($C703:F703)&gt;0,E355+1,0),0)</f>
        <v>0</v>
      </c>
      <c r="G355" s="163">
        <f>IF(G$2&lt;=analysis_period,IF(SUM($C703:G703)&gt;0,F355+1,0),0)</f>
        <v>0</v>
      </c>
      <c r="H355" s="163">
        <f>IF(H$2&lt;=analysis_period,IF(SUM($C703:H703)&gt;0,G355+1,0),0)</f>
        <v>0</v>
      </c>
      <c r="I355" s="163">
        <f>IF(I$2&lt;=analysis_period,IF(SUM($C703:I703)&gt;0,H355+1,0),0)</f>
        <v>0</v>
      </c>
      <c r="J355" s="163">
        <f>IF(J$2&lt;=analysis_period,IF(SUM($C703:J703)&gt;0,I355+1,0),0)</f>
        <v>0</v>
      </c>
      <c r="K355" s="163">
        <f>IF(K$2&lt;=analysis_period,IF(SUM($C703:K703)&gt;0,J355+1,0),0)</f>
        <v>0</v>
      </c>
      <c r="L355" s="163">
        <f>IF(L$2&lt;=analysis_period,IF(SUM($C703:L703)&gt;0,K355+1,0),0)</f>
        <v>0</v>
      </c>
      <c r="M355" s="163">
        <f>IF(M$2&lt;=analysis_period,IF(SUM($C703:M703)&gt;0,L355+1,0),0)</f>
        <v>0</v>
      </c>
      <c r="N355" s="163">
        <f>IF(N$2&lt;=analysis_period,IF(SUM($C703:N703)&gt;0,M355+1,0),0)</f>
        <v>0</v>
      </c>
      <c r="O355" s="163">
        <f>IF(O$2&lt;=analysis_period,IF(SUM($C703:O703)&gt;0,N355+1,0),0)</f>
        <v>0</v>
      </c>
      <c r="P355" s="163">
        <f>IF(P$2&lt;=analysis_period,IF(SUM($C703:P703)&gt;0,O355+1,0),0)</f>
        <v>0</v>
      </c>
      <c r="Q355" s="163">
        <f>IF(Q$2&lt;=analysis_period,IF(SUM($C703:Q703)&gt;0,P355+1,0),0)</f>
        <v>0</v>
      </c>
      <c r="R355" s="163">
        <f>IF(R$2&lt;=analysis_period,IF(SUM($C703:R703)&gt;0,Q355+1,0),0)</f>
        <v>0</v>
      </c>
      <c r="S355" s="163">
        <f>IF(S$2&lt;=analysis_period,IF(SUM($C703:S703)&gt;0,R355+1,0),0)</f>
        <v>0</v>
      </c>
      <c r="T355" s="163">
        <f>IF(T$2&lt;=analysis_period,IF(SUM($C703:T703)&gt;0,S355+1,0),0)</f>
        <v>0</v>
      </c>
      <c r="U355" s="163">
        <f>IF(U$2&lt;=analysis_period,IF(SUM($C703:U703)&gt;0,T355+1,0),0)</f>
        <v>0</v>
      </c>
      <c r="V355" s="163">
        <f>IF(V$2&lt;=analysis_period,IF(SUM($C703:V703)&gt;0,U355+1,0),0)</f>
        <v>0</v>
      </c>
      <c r="W355" s="163">
        <f>IF(W$2&lt;=analysis_period,IF(SUM($C703:W703)&gt;0,V355+1,0),0)</f>
        <v>0</v>
      </c>
      <c r="X355" s="163">
        <f>IF(X$2&lt;=analysis_period,IF(SUM($C703:X703)&gt;0,W355+1,0),0)</f>
        <v>0</v>
      </c>
      <c r="Y355" s="163">
        <f>IF(Y$2&lt;=analysis_period,IF(SUM($C703:Y703)&gt;0,X355+1,0),0)</f>
        <v>0</v>
      </c>
      <c r="Z355" s="163">
        <f>IF(Z$2&lt;=analysis_period,IF(SUM($C703:Z703)&gt;0,Y355+1,0),0)</f>
        <v>0</v>
      </c>
      <c r="AA355" s="163">
        <f>IF(AA$2&lt;=analysis_period,IF(SUM($C703:AA703)&gt;0,Z355+1,0),0)</f>
        <v>0</v>
      </c>
      <c r="AB355" s="163">
        <f>IF(AB$2&lt;=analysis_period,IF(SUM($C703:AB703)&gt;0,AA355+1,0),0)</f>
        <v>0</v>
      </c>
      <c r="AC355" s="163">
        <f>IF(AC$2&lt;=analysis_period,IF(SUM($C703:AC703)&gt;0,AB355+1,0),0)</f>
        <v>0</v>
      </c>
      <c r="AD355" s="163">
        <f>IF(AD$2&lt;=analysis_period,IF(SUM($C703:AD703)&gt;0,AC355+1,0),0)</f>
        <v>0</v>
      </c>
      <c r="AE355" s="163">
        <f>IF(AE$2&lt;=analysis_period,IF(SUM($C703:AE703)&gt;0,AD355+1,0),0)</f>
        <v>0</v>
      </c>
      <c r="AF355" s="163">
        <f>IF(AF$2&lt;=analysis_period,IF(SUM($C703:AF703)&gt;0,AE355+1,0),0)</f>
        <v>0</v>
      </c>
      <c r="AG355" s="163">
        <f>IF(AG$2&lt;=analysis_period,IF(SUM($C703:AG703)&gt;0,AF355+1,0),0)</f>
        <v>0</v>
      </c>
      <c r="AH355" s="163">
        <f>IF(AH$2&lt;=analysis_period,IF(SUM($C703:AH703)&gt;0,AG355+1,0),0)</f>
        <v>0</v>
      </c>
      <c r="AI355" s="163">
        <f>IF(AI$2&lt;=analysis_period,IF(SUM($C703:AI703)&gt;0,AH355+1,0),0)</f>
        <v>0</v>
      </c>
      <c r="AJ355" s="163">
        <f>IF(AJ$2&lt;=analysis_period,IF(SUM($C703:AJ703)&gt;0,AI355+1,0),0)</f>
        <v>0</v>
      </c>
      <c r="AK355" s="163">
        <f>IF(AK$2&lt;=analysis_period,IF(SUM($C703:AK703)&gt;0,AJ355+1,0),0)</f>
        <v>0</v>
      </c>
      <c r="AL355" s="163">
        <f>IF(AL$2&lt;=analysis_period,IF(SUM($C703:AL703)&gt;0,AK355+1,0),0)</f>
        <v>0</v>
      </c>
      <c r="AM355" s="163">
        <f>IF(AM$2&lt;=analysis_period,IF(SUM($C703:AM703)&gt;0,AL355+1,0),0)</f>
        <v>0</v>
      </c>
      <c r="AN355" s="163">
        <f>IF(AN$2&lt;=analysis_period,IF(SUM($C703:AN703)&gt;0,AM355+1,0),0)</f>
        <v>0</v>
      </c>
      <c r="AO355" s="163">
        <f>IF(AO$2&lt;=analysis_period,IF(SUM($C703:AO703)&gt;0,AN355+1,0),0)</f>
        <v>0</v>
      </c>
      <c r="AP355" s="163">
        <f>IF(AP$2&lt;=analysis_period,IF(SUM($C703:AP703)&gt;0,AO355+1,0),0)</f>
        <v>0</v>
      </c>
    </row>
    <row r="356" spans="1:42" x14ac:dyDescent="0.2">
      <c r="A356" s="4">
        <f>A355+1</f>
        <v>2</v>
      </c>
      <c r="B356" s="4">
        <v>0</v>
      </c>
      <c r="C356" s="163">
        <f>IF(C$2&lt;=analysis_period,IF(SUM($C704:C704)&gt;0,B356+1,0),0)</f>
        <v>0</v>
      </c>
      <c r="D356" s="163">
        <f>IF(D$2&lt;=analysis_period,IF(SUM($C704:D704)&gt;0,C356+1,0),0)</f>
        <v>0</v>
      </c>
      <c r="E356" s="163">
        <f>IF(E$2&lt;=analysis_period,IF(SUM($C704:E704)&gt;0,D356+1,0),0)</f>
        <v>0</v>
      </c>
      <c r="F356" s="163">
        <f>IF(F$2&lt;=analysis_period,IF(SUM($C704:F704)&gt;0,E356+1,0),0)</f>
        <v>0</v>
      </c>
      <c r="G356" s="163">
        <f>IF(G$2&lt;=analysis_period,IF(SUM($C704:G704)&gt;0,F356+1,0),0)</f>
        <v>0</v>
      </c>
      <c r="H356" s="163">
        <f>IF(H$2&lt;=analysis_period,IF(SUM($C704:H704)&gt;0,G356+1,0),0)</f>
        <v>0</v>
      </c>
      <c r="I356" s="163">
        <f>IF(I$2&lt;=analysis_period,IF(SUM($C704:I704)&gt;0,H356+1,0),0)</f>
        <v>0</v>
      </c>
      <c r="J356" s="163">
        <f>IF(J$2&lt;=analysis_period,IF(SUM($C704:J704)&gt;0,I356+1,0),0)</f>
        <v>0</v>
      </c>
      <c r="K356" s="163">
        <f>IF(K$2&lt;=analysis_period,IF(SUM($C704:K704)&gt;0,J356+1,0),0)</f>
        <v>0</v>
      </c>
      <c r="L356" s="163">
        <f>IF(L$2&lt;=analysis_period,IF(SUM($C704:L704)&gt;0,K356+1,0),0)</f>
        <v>0</v>
      </c>
      <c r="M356" s="163">
        <f>IF(M$2&lt;=analysis_period,IF(SUM($C704:M704)&gt;0,L356+1,0),0)</f>
        <v>0</v>
      </c>
      <c r="N356" s="163">
        <f>IF(N$2&lt;=analysis_period,IF(SUM($C704:N704)&gt;0,M356+1,0),0)</f>
        <v>0</v>
      </c>
      <c r="O356" s="163">
        <f>IF(O$2&lt;=analysis_period,IF(SUM($C704:O704)&gt;0,N356+1,0),0)</f>
        <v>0</v>
      </c>
      <c r="P356" s="163">
        <f>IF(P$2&lt;=analysis_period,IF(SUM($C704:P704)&gt;0,O356+1,0),0)</f>
        <v>0</v>
      </c>
      <c r="Q356" s="163">
        <f>IF(Q$2&lt;=analysis_period,IF(SUM($C704:Q704)&gt;0,P356+1,0),0)</f>
        <v>0</v>
      </c>
      <c r="R356" s="163">
        <f>IF(R$2&lt;=analysis_period,IF(SUM($C704:R704)&gt;0,Q356+1,0),0)</f>
        <v>0</v>
      </c>
      <c r="S356" s="163">
        <f>IF(S$2&lt;=analysis_period,IF(SUM($C704:S704)&gt;0,R356+1,0),0)</f>
        <v>0</v>
      </c>
      <c r="T356" s="163">
        <f>IF(T$2&lt;=analysis_period,IF(SUM($C704:T704)&gt;0,S356+1,0),0)</f>
        <v>0</v>
      </c>
      <c r="U356" s="163">
        <f>IF(U$2&lt;=analysis_period,IF(SUM($C704:U704)&gt;0,T356+1,0),0)</f>
        <v>0</v>
      </c>
      <c r="V356" s="163">
        <f>IF(V$2&lt;=analysis_period,IF(SUM($C704:V704)&gt;0,U356+1,0),0)</f>
        <v>0</v>
      </c>
      <c r="W356" s="163">
        <f>IF(W$2&lt;=analysis_period,IF(SUM($C704:W704)&gt;0,V356+1,0),0)</f>
        <v>0</v>
      </c>
      <c r="X356" s="163">
        <f>IF(X$2&lt;=analysis_period,IF(SUM($C704:X704)&gt;0,W356+1,0),0)</f>
        <v>0</v>
      </c>
      <c r="Y356" s="163">
        <f>IF(Y$2&lt;=analysis_period,IF(SUM($C704:Y704)&gt;0,X356+1,0),0)</f>
        <v>0</v>
      </c>
      <c r="Z356" s="163">
        <f>IF(Z$2&lt;=analysis_period,IF(SUM($C704:Z704)&gt;0,Y356+1,0),0)</f>
        <v>0</v>
      </c>
      <c r="AA356" s="163">
        <f>IF(AA$2&lt;=analysis_period,IF(SUM($C704:AA704)&gt;0,Z356+1,0),0)</f>
        <v>0</v>
      </c>
      <c r="AB356" s="163">
        <f>IF(AB$2&lt;=analysis_period,IF(SUM($C704:AB704)&gt;0,AA356+1,0),0)</f>
        <v>0</v>
      </c>
      <c r="AC356" s="163">
        <f>IF(AC$2&lt;=analysis_period,IF(SUM($C704:AC704)&gt;0,AB356+1,0),0)</f>
        <v>0</v>
      </c>
      <c r="AD356" s="163">
        <f>IF(AD$2&lt;=analysis_period,IF(SUM($C704:AD704)&gt;0,AC356+1,0),0)</f>
        <v>0</v>
      </c>
      <c r="AE356" s="163">
        <f>IF(AE$2&lt;=analysis_period,IF(SUM($C704:AE704)&gt;0,AD356+1,0),0)</f>
        <v>0</v>
      </c>
      <c r="AF356" s="163">
        <f>IF(AF$2&lt;=analysis_period,IF(SUM($C704:AF704)&gt;0,AE356+1,0),0)</f>
        <v>0</v>
      </c>
      <c r="AG356" s="163">
        <f>IF(AG$2&lt;=analysis_period,IF(SUM($C704:AG704)&gt;0,AF356+1,0),0)</f>
        <v>0</v>
      </c>
      <c r="AH356" s="163">
        <f>IF(AH$2&lt;=analysis_period,IF(SUM($C704:AH704)&gt;0,AG356+1,0),0)</f>
        <v>0</v>
      </c>
      <c r="AI356" s="163">
        <f>IF(AI$2&lt;=analysis_period,IF(SUM($C704:AI704)&gt;0,AH356+1,0),0)</f>
        <v>0</v>
      </c>
      <c r="AJ356" s="163">
        <f>IF(AJ$2&lt;=analysis_period,IF(SUM($C704:AJ704)&gt;0,AI356+1,0),0)</f>
        <v>0</v>
      </c>
      <c r="AK356" s="163">
        <f>IF(AK$2&lt;=analysis_period,IF(SUM($C704:AK704)&gt;0,AJ356+1,0),0)</f>
        <v>0</v>
      </c>
      <c r="AL356" s="163">
        <f>IF(AL$2&lt;=analysis_period,IF(SUM($C704:AL704)&gt;0,AK356+1,0),0)</f>
        <v>0</v>
      </c>
      <c r="AM356" s="163">
        <f>IF(AM$2&lt;=analysis_period,IF(SUM($C704:AM704)&gt;0,AL356+1,0),0)</f>
        <v>0</v>
      </c>
      <c r="AN356" s="163">
        <f>IF(AN$2&lt;=analysis_period,IF(SUM($C704:AN704)&gt;0,AM356+1,0),0)</f>
        <v>0</v>
      </c>
      <c r="AO356" s="163">
        <f>IF(AO$2&lt;=analysis_period,IF(SUM($C704:AO704)&gt;0,AN356+1,0),0)</f>
        <v>0</v>
      </c>
      <c r="AP356" s="163">
        <f>IF(AP$2&lt;=analysis_period,IF(SUM($C704:AP704)&gt;0,AO356+1,0),0)</f>
        <v>0</v>
      </c>
    </row>
    <row r="357" spans="1:42" x14ac:dyDescent="0.2">
      <c r="A357" s="4">
        <f t="shared" ref="A357:A364" si="145">A356+1</f>
        <v>3</v>
      </c>
      <c r="B357" s="4">
        <v>0</v>
      </c>
      <c r="C357" s="163">
        <f>IF(C$2&lt;=analysis_period,IF(SUM($C705:C705)&gt;0,B357+1,0),0)</f>
        <v>0</v>
      </c>
      <c r="D357" s="163">
        <f>IF(D$2&lt;=analysis_period,IF(SUM($C705:D705)&gt;0,C357+1,0),0)</f>
        <v>0</v>
      </c>
      <c r="E357" s="163">
        <f>IF(E$2&lt;=analysis_period,IF(SUM($C705:E705)&gt;0,D357+1,0),0)</f>
        <v>0</v>
      </c>
      <c r="F357" s="163">
        <f>IF(F$2&lt;=analysis_period,IF(SUM($C705:F705)&gt;0,E357+1,0),0)</f>
        <v>0</v>
      </c>
      <c r="G357" s="163">
        <f>IF(G$2&lt;=analysis_period,IF(SUM($C705:G705)&gt;0,F357+1,0),0)</f>
        <v>0</v>
      </c>
      <c r="H357" s="163">
        <f>IF(H$2&lt;=analysis_period,IF(SUM($C705:H705)&gt;0,G357+1,0),0)</f>
        <v>0</v>
      </c>
      <c r="I357" s="163">
        <f>IF(I$2&lt;=analysis_period,IF(SUM($C705:I705)&gt;0,H357+1,0),0)</f>
        <v>0</v>
      </c>
      <c r="J357" s="163">
        <f>IF(J$2&lt;=analysis_period,IF(SUM($C705:J705)&gt;0,I357+1,0),0)</f>
        <v>0</v>
      </c>
      <c r="K357" s="163">
        <f>IF(K$2&lt;=analysis_period,IF(SUM($C705:K705)&gt;0,J357+1,0),0)</f>
        <v>0</v>
      </c>
      <c r="L357" s="163">
        <f>IF(L$2&lt;=analysis_period,IF(SUM($C705:L705)&gt;0,K357+1,0),0)</f>
        <v>0</v>
      </c>
      <c r="M357" s="163">
        <f>IF(M$2&lt;=analysis_period,IF(SUM($C705:M705)&gt;0,L357+1,0),0)</f>
        <v>0</v>
      </c>
      <c r="N357" s="163">
        <f>IF(N$2&lt;=analysis_period,IF(SUM($C705:N705)&gt;0,M357+1,0),0)</f>
        <v>0</v>
      </c>
      <c r="O357" s="163">
        <f>IF(O$2&lt;=analysis_period,IF(SUM($C705:O705)&gt;0,N357+1,0),0)</f>
        <v>0</v>
      </c>
      <c r="P357" s="163">
        <f>IF(P$2&lt;=analysis_period,IF(SUM($C705:P705)&gt;0,O357+1,0),0)</f>
        <v>0</v>
      </c>
      <c r="Q357" s="163">
        <f>IF(Q$2&lt;=analysis_period,IF(SUM($C705:Q705)&gt;0,P357+1,0),0)</f>
        <v>0</v>
      </c>
      <c r="R357" s="163">
        <f>IF(R$2&lt;=analysis_period,IF(SUM($C705:R705)&gt;0,Q357+1,0),0)</f>
        <v>0</v>
      </c>
      <c r="S357" s="163">
        <f>IF(S$2&lt;=analysis_period,IF(SUM($C705:S705)&gt;0,R357+1,0),0)</f>
        <v>0</v>
      </c>
      <c r="T357" s="163">
        <f>IF(T$2&lt;=analysis_period,IF(SUM($C705:T705)&gt;0,S357+1,0),0)</f>
        <v>0</v>
      </c>
      <c r="U357" s="163">
        <f>IF(U$2&lt;=analysis_period,IF(SUM($C705:U705)&gt;0,T357+1,0),0)</f>
        <v>0</v>
      </c>
      <c r="V357" s="163">
        <f>IF(V$2&lt;=analysis_period,IF(SUM($C705:V705)&gt;0,U357+1,0),0)</f>
        <v>0</v>
      </c>
      <c r="W357" s="163">
        <f>IF(W$2&lt;=analysis_period,IF(SUM($C705:W705)&gt;0,V357+1,0),0)</f>
        <v>0</v>
      </c>
      <c r="X357" s="163">
        <f>IF(X$2&lt;=analysis_period,IF(SUM($C705:X705)&gt;0,W357+1,0),0)</f>
        <v>0</v>
      </c>
      <c r="Y357" s="163">
        <f>IF(Y$2&lt;=analysis_period,IF(SUM($C705:Y705)&gt;0,X357+1,0),0)</f>
        <v>0</v>
      </c>
      <c r="Z357" s="163">
        <f>IF(Z$2&lt;=analysis_period,IF(SUM($C705:Z705)&gt;0,Y357+1,0),0)</f>
        <v>0</v>
      </c>
      <c r="AA357" s="163">
        <f>IF(AA$2&lt;=analysis_period,IF(SUM($C705:AA705)&gt;0,Z357+1,0),0)</f>
        <v>0</v>
      </c>
      <c r="AB357" s="163">
        <f>IF(AB$2&lt;=analysis_period,IF(SUM($C705:AB705)&gt;0,AA357+1,0),0)</f>
        <v>0</v>
      </c>
      <c r="AC357" s="163">
        <f>IF(AC$2&lt;=analysis_period,IF(SUM($C705:AC705)&gt;0,AB357+1,0),0)</f>
        <v>0</v>
      </c>
      <c r="AD357" s="163">
        <f>IF(AD$2&lt;=analysis_period,IF(SUM($C705:AD705)&gt;0,AC357+1,0),0)</f>
        <v>0</v>
      </c>
      <c r="AE357" s="163">
        <f>IF(AE$2&lt;=analysis_period,IF(SUM($C705:AE705)&gt;0,AD357+1,0),0)</f>
        <v>0</v>
      </c>
      <c r="AF357" s="163">
        <f>IF(AF$2&lt;=analysis_period,IF(SUM($C705:AF705)&gt;0,AE357+1,0),0)</f>
        <v>0</v>
      </c>
      <c r="AG357" s="163">
        <f>IF(AG$2&lt;=analysis_period,IF(SUM($C705:AG705)&gt;0,AF357+1,0),0)</f>
        <v>0</v>
      </c>
      <c r="AH357" s="163">
        <f>IF(AH$2&lt;=analysis_period,IF(SUM($C705:AH705)&gt;0,AG357+1,0),0)</f>
        <v>0</v>
      </c>
      <c r="AI357" s="163">
        <f>IF(AI$2&lt;=analysis_period,IF(SUM($C705:AI705)&gt;0,AH357+1,0),0)</f>
        <v>0</v>
      </c>
      <c r="AJ357" s="163">
        <f>IF(AJ$2&lt;=analysis_period,IF(SUM($C705:AJ705)&gt;0,AI357+1,0),0)</f>
        <v>0</v>
      </c>
      <c r="AK357" s="163">
        <f>IF(AK$2&lt;=analysis_period,IF(SUM($C705:AK705)&gt;0,AJ357+1,0),0)</f>
        <v>0</v>
      </c>
      <c r="AL357" s="163">
        <f>IF(AL$2&lt;=analysis_period,IF(SUM($C705:AL705)&gt;0,AK357+1,0),0)</f>
        <v>0</v>
      </c>
      <c r="AM357" s="163">
        <f>IF(AM$2&lt;=analysis_period,IF(SUM($C705:AM705)&gt;0,AL357+1,0),0)</f>
        <v>0</v>
      </c>
      <c r="AN357" s="163">
        <f>IF(AN$2&lt;=analysis_period,IF(SUM($C705:AN705)&gt;0,AM357+1,0),0)</f>
        <v>0</v>
      </c>
      <c r="AO357" s="163">
        <f>IF(AO$2&lt;=analysis_period,IF(SUM($C705:AO705)&gt;0,AN357+1,0),0)</f>
        <v>0</v>
      </c>
      <c r="AP357" s="163">
        <f>IF(AP$2&lt;=analysis_period,IF(SUM($C705:AP705)&gt;0,AO357+1,0),0)</f>
        <v>0</v>
      </c>
    </row>
    <row r="358" spans="1:42" x14ac:dyDescent="0.2">
      <c r="A358" s="4">
        <f t="shared" si="145"/>
        <v>4</v>
      </c>
      <c r="B358" s="4">
        <v>0</v>
      </c>
      <c r="C358" s="163">
        <f>IF(C$2&lt;=analysis_period,IF(SUM($C706:C706)&gt;0,B358+1,0),0)</f>
        <v>0</v>
      </c>
      <c r="D358" s="163">
        <f>IF(D$2&lt;=analysis_period,IF(SUM($C706:D706)&gt;0,C358+1,0),0)</f>
        <v>0</v>
      </c>
      <c r="E358" s="163">
        <f>IF(E$2&lt;=analysis_period,IF(SUM($C706:E706)&gt;0,D358+1,0),0)</f>
        <v>0</v>
      </c>
      <c r="F358" s="163">
        <f>IF(F$2&lt;=analysis_period,IF(SUM($C706:F706)&gt;0,E358+1,0),0)</f>
        <v>0</v>
      </c>
      <c r="G358" s="163">
        <f>IF(G$2&lt;=analysis_period,IF(SUM($C706:G706)&gt;0,F358+1,0),0)</f>
        <v>0</v>
      </c>
      <c r="H358" s="163">
        <f>IF(H$2&lt;=analysis_period,IF(SUM($C706:H706)&gt;0,G358+1,0),0)</f>
        <v>0</v>
      </c>
      <c r="I358" s="163">
        <f>IF(I$2&lt;=analysis_period,IF(SUM($C706:I706)&gt;0,H358+1,0),0)</f>
        <v>0</v>
      </c>
      <c r="J358" s="163">
        <f>IF(J$2&lt;=analysis_period,IF(SUM($C706:J706)&gt;0,I358+1,0),0)</f>
        <v>0</v>
      </c>
      <c r="K358" s="163">
        <f>IF(K$2&lt;=analysis_period,IF(SUM($C706:K706)&gt;0,J358+1,0),0)</f>
        <v>0</v>
      </c>
      <c r="L358" s="163">
        <f>IF(L$2&lt;=analysis_period,IF(SUM($C706:L706)&gt;0,K358+1,0),0)</f>
        <v>0</v>
      </c>
      <c r="M358" s="163">
        <f>IF(M$2&lt;=analysis_period,IF(SUM($C706:M706)&gt;0,L358+1,0),0)</f>
        <v>0</v>
      </c>
      <c r="N358" s="163">
        <f>IF(N$2&lt;=analysis_period,IF(SUM($C706:N706)&gt;0,M358+1,0),0)</f>
        <v>0</v>
      </c>
      <c r="O358" s="163">
        <f>IF(O$2&lt;=analysis_period,IF(SUM($C706:O706)&gt;0,N358+1,0),0)</f>
        <v>0</v>
      </c>
      <c r="P358" s="163">
        <f>IF(P$2&lt;=analysis_period,IF(SUM($C706:P706)&gt;0,O358+1,0),0)</f>
        <v>0</v>
      </c>
      <c r="Q358" s="163">
        <f>IF(Q$2&lt;=analysis_period,IF(SUM($C706:Q706)&gt;0,P358+1,0),0)</f>
        <v>0</v>
      </c>
      <c r="R358" s="163">
        <f>IF(R$2&lt;=analysis_period,IF(SUM($C706:R706)&gt;0,Q358+1,0),0)</f>
        <v>0</v>
      </c>
      <c r="S358" s="163">
        <f>IF(S$2&lt;=analysis_period,IF(SUM($C706:S706)&gt;0,R358+1,0),0)</f>
        <v>0</v>
      </c>
      <c r="T358" s="163">
        <f>IF(T$2&lt;=analysis_period,IF(SUM($C706:T706)&gt;0,S358+1,0),0)</f>
        <v>0</v>
      </c>
      <c r="U358" s="163">
        <f>IF(U$2&lt;=analysis_period,IF(SUM($C706:U706)&gt;0,T358+1,0),0)</f>
        <v>0</v>
      </c>
      <c r="V358" s="163">
        <f>IF(V$2&lt;=analysis_period,IF(SUM($C706:V706)&gt;0,U358+1,0),0)</f>
        <v>0</v>
      </c>
      <c r="W358" s="163">
        <f>IF(W$2&lt;=analysis_period,IF(SUM($C706:W706)&gt;0,V358+1,0),0)</f>
        <v>0</v>
      </c>
      <c r="X358" s="163">
        <f>IF(X$2&lt;=analysis_period,IF(SUM($C706:X706)&gt;0,W358+1,0),0)</f>
        <v>0</v>
      </c>
      <c r="Y358" s="163">
        <f>IF(Y$2&lt;=analysis_period,IF(SUM($C706:Y706)&gt;0,X358+1,0),0)</f>
        <v>0</v>
      </c>
      <c r="Z358" s="163">
        <f>IF(Z$2&lt;=analysis_period,IF(SUM($C706:Z706)&gt;0,Y358+1,0),0)</f>
        <v>0</v>
      </c>
      <c r="AA358" s="163">
        <f>IF(AA$2&lt;=analysis_period,IF(SUM($C706:AA706)&gt;0,Z358+1,0),0)</f>
        <v>0</v>
      </c>
      <c r="AB358" s="163">
        <f>IF(AB$2&lt;=analysis_period,IF(SUM($C706:AB706)&gt;0,AA358+1,0),0)</f>
        <v>0</v>
      </c>
      <c r="AC358" s="163">
        <f>IF(AC$2&lt;=analysis_period,IF(SUM($C706:AC706)&gt;0,AB358+1,0),0)</f>
        <v>0</v>
      </c>
      <c r="AD358" s="163">
        <f>IF(AD$2&lt;=analysis_period,IF(SUM($C706:AD706)&gt;0,AC358+1,0),0)</f>
        <v>0</v>
      </c>
      <c r="AE358" s="163">
        <f>IF(AE$2&lt;=analysis_period,IF(SUM($C706:AE706)&gt;0,AD358+1,0),0)</f>
        <v>0</v>
      </c>
      <c r="AF358" s="163">
        <f>IF(AF$2&lt;=analysis_period,IF(SUM($C706:AF706)&gt;0,AE358+1,0),0)</f>
        <v>0</v>
      </c>
      <c r="AG358" s="163">
        <f>IF(AG$2&lt;=analysis_period,IF(SUM($C706:AG706)&gt;0,AF358+1,0),0)</f>
        <v>0</v>
      </c>
      <c r="AH358" s="163">
        <f>IF(AH$2&lt;=analysis_period,IF(SUM($C706:AH706)&gt;0,AG358+1,0),0)</f>
        <v>0</v>
      </c>
      <c r="AI358" s="163">
        <f>IF(AI$2&lt;=analysis_period,IF(SUM($C706:AI706)&gt;0,AH358+1,0),0)</f>
        <v>0</v>
      </c>
      <c r="AJ358" s="163">
        <f>IF(AJ$2&lt;=analysis_period,IF(SUM($C706:AJ706)&gt;0,AI358+1,0),0)</f>
        <v>0</v>
      </c>
      <c r="AK358" s="163">
        <f>IF(AK$2&lt;=analysis_period,IF(SUM($C706:AK706)&gt;0,AJ358+1,0),0)</f>
        <v>0</v>
      </c>
      <c r="AL358" s="163">
        <f>IF(AL$2&lt;=analysis_period,IF(SUM($C706:AL706)&gt;0,AK358+1,0),0)</f>
        <v>0</v>
      </c>
      <c r="AM358" s="163">
        <f>IF(AM$2&lt;=analysis_period,IF(SUM($C706:AM706)&gt;0,AL358+1,0),0)</f>
        <v>0</v>
      </c>
      <c r="AN358" s="163">
        <f>IF(AN$2&lt;=analysis_period,IF(SUM($C706:AN706)&gt;0,AM358+1,0),0)</f>
        <v>0</v>
      </c>
      <c r="AO358" s="163">
        <f>IF(AO$2&lt;=analysis_period,IF(SUM($C706:AO706)&gt;0,AN358+1,0),0)</f>
        <v>0</v>
      </c>
      <c r="AP358" s="163">
        <f>IF(AP$2&lt;=analysis_period,IF(SUM($C706:AP706)&gt;0,AO358+1,0),0)</f>
        <v>0</v>
      </c>
    </row>
    <row r="359" spans="1:42" x14ac:dyDescent="0.2">
      <c r="A359" s="4">
        <f t="shared" si="145"/>
        <v>5</v>
      </c>
      <c r="B359" s="4">
        <v>0</v>
      </c>
      <c r="C359" s="163">
        <f>IF(C$2&lt;=analysis_period,IF(SUM($C707:C707)&gt;0,B359+1,0),0)</f>
        <v>0</v>
      </c>
      <c r="D359" s="163">
        <f>IF(D$2&lt;=analysis_period,IF(SUM($C707:D707)&gt;0,C359+1,0),0)</f>
        <v>0</v>
      </c>
      <c r="E359" s="163">
        <f>IF(E$2&lt;=analysis_period,IF(SUM($C707:E707)&gt;0,D359+1,0),0)</f>
        <v>0</v>
      </c>
      <c r="F359" s="163">
        <f>IF(F$2&lt;=analysis_period,IF(SUM($C707:F707)&gt;0,E359+1,0),0)</f>
        <v>0</v>
      </c>
      <c r="G359" s="163">
        <f>IF(G$2&lt;=analysis_period,IF(SUM($C707:G707)&gt;0,F359+1,0),0)</f>
        <v>0</v>
      </c>
      <c r="H359" s="163">
        <f>IF(H$2&lt;=analysis_period,IF(SUM($C707:H707)&gt;0,G359+1,0),0)</f>
        <v>0</v>
      </c>
      <c r="I359" s="163">
        <f>IF(I$2&lt;=analysis_period,IF(SUM($C707:I707)&gt;0,H359+1,0),0)</f>
        <v>0</v>
      </c>
      <c r="J359" s="163">
        <f>IF(J$2&lt;=analysis_period,IF(SUM($C707:J707)&gt;0,I359+1,0),0)</f>
        <v>0</v>
      </c>
      <c r="K359" s="163">
        <f>IF(K$2&lt;=analysis_period,IF(SUM($C707:K707)&gt;0,J359+1,0),0)</f>
        <v>0</v>
      </c>
      <c r="L359" s="163">
        <f>IF(L$2&lt;=analysis_period,IF(SUM($C707:L707)&gt;0,K359+1,0),0)</f>
        <v>0</v>
      </c>
      <c r="M359" s="163">
        <f>IF(M$2&lt;=analysis_period,IF(SUM($C707:M707)&gt;0,L359+1,0),0)</f>
        <v>0</v>
      </c>
      <c r="N359" s="163">
        <f>IF(N$2&lt;=analysis_period,IF(SUM($C707:N707)&gt;0,M359+1,0),0)</f>
        <v>0</v>
      </c>
      <c r="O359" s="163">
        <f>IF(O$2&lt;=analysis_period,IF(SUM($C707:O707)&gt;0,N359+1,0),0)</f>
        <v>0</v>
      </c>
      <c r="P359" s="163">
        <f>IF(P$2&lt;=analysis_period,IF(SUM($C707:P707)&gt;0,O359+1,0),0)</f>
        <v>0</v>
      </c>
      <c r="Q359" s="163">
        <f>IF(Q$2&lt;=analysis_period,IF(SUM($C707:Q707)&gt;0,P359+1,0),0)</f>
        <v>0</v>
      </c>
      <c r="R359" s="163">
        <f>IF(R$2&lt;=analysis_period,IF(SUM($C707:R707)&gt;0,Q359+1,0),0)</f>
        <v>0</v>
      </c>
      <c r="S359" s="163">
        <f>IF(S$2&lt;=analysis_period,IF(SUM($C707:S707)&gt;0,R359+1,0),0)</f>
        <v>0</v>
      </c>
      <c r="T359" s="163">
        <f>IF(T$2&lt;=analysis_period,IF(SUM($C707:T707)&gt;0,S359+1,0),0)</f>
        <v>0</v>
      </c>
      <c r="U359" s="163">
        <f>IF(U$2&lt;=analysis_period,IF(SUM($C707:U707)&gt;0,T359+1,0),0)</f>
        <v>0</v>
      </c>
      <c r="V359" s="163">
        <f>IF(V$2&lt;=analysis_period,IF(SUM($C707:V707)&gt;0,U359+1,0),0)</f>
        <v>0</v>
      </c>
      <c r="W359" s="163">
        <f>IF(W$2&lt;=analysis_period,IF(SUM($C707:W707)&gt;0,V359+1,0),0)</f>
        <v>0</v>
      </c>
      <c r="X359" s="163">
        <f>IF(X$2&lt;=analysis_period,IF(SUM($C707:X707)&gt;0,W359+1,0),0)</f>
        <v>0</v>
      </c>
      <c r="Y359" s="163">
        <f>IF(Y$2&lt;=analysis_period,IF(SUM($C707:Y707)&gt;0,X359+1,0),0)</f>
        <v>0</v>
      </c>
      <c r="Z359" s="163">
        <f>IF(Z$2&lt;=analysis_period,IF(SUM($C707:Z707)&gt;0,Y359+1,0),0)</f>
        <v>0</v>
      </c>
      <c r="AA359" s="163">
        <f>IF(AA$2&lt;=analysis_period,IF(SUM($C707:AA707)&gt;0,Z359+1,0),0)</f>
        <v>0</v>
      </c>
      <c r="AB359" s="163">
        <f>IF(AB$2&lt;=analysis_period,IF(SUM($C707:AB707)&gt;0,AA359+1,0),0)</f>
        <v>0</v>
      </c>
      <c r="AC359" s="163">
        <f>IF(AC$2&lt;=analysis_period,IF(SUM($C707:AC707)&gt;0,AB359+1,0),0)</f>
        <v>0</v>
      </c>
      <c r="AD359" s="163">
        <f>IF(AD$2&lt;=analysis_period,IF(SUM($C707:AD707)&gt;0,AC359+1,0),0)</f>
        <v>0</v>
      </c>
      <c r="AE359" s="163">
        <f>IF(AE$2&lt;=analysis_period,IF(SUM($C707:AE707)&gt;0,AD359+1,0),0)</f>
        <v>0</v>
      </c>
      <c r="AF359" s="163">
        <f>IF(AF$2&lt;=analysis_period,IF(SUM($C707:AF707)&gt;0,AE359+1,0),0)</f>
        <v>0</v>
      </c>
      <c r="AG359" s="163">
        <f>IF(AG$2&lt;=analysis_period,IF(SUM($C707:AG707)&gt;0,AF359+1,0),0)</f>
        <v>0</v>
      </c>
      <c r="AH359" s="163">
        <f>IF(AH$2&lt;=analysis_period,IF(SUM($C707:AH707)&gt;0,AG359+1,0),0)</f>
        <v>0</v>
      </c>
      <c r="AI359" s="163">
        <f>IF(AI$2&lt;=analysis_period,IF(SUM($C707:AI707)&gt;0,AH359+1,0),0)</f>
        <v>0</v>
      </c>
      <c r="AJ359" s="163">
        <f>IF(AJ$2&lt;=analysis_period,IF(SUM($C707:AJ707)&gt;0,AI359+1,0),0)</f>
        <v>0</v>
      </c>
      <c r="AK359" s="163">
        <f>IF(AK$2&lt;=analysis_period,IF(SUM($C707:AK707)&gt;0,AJ359+1,0),0)</f>
        <v>0</v>
      </c>
      <c r="AL359" s="163">
        <f>IF(AL$2&lt;=analysis_period,IF(SUM($C707:AL707)&gt;0,AK359+1,0),0)</f>
        <v>0</v>
      </c>
      <c r="AM359" s="163">
        <f>IF(AM$2&lt;=analysis_period,IF(SUM($C707:AM707)&gt;0,AL359+1,0),0)</f>
        <v>0</v>
      </c>
      <c r="AN359" s="163">
        <f>IF(AN$2&lt;=analysis_period,IF(SUM($C707:AN707)&gt;0,AM359+1,0),0)</f>
        <v>0</v>
      </c>
      <c r="AO359" s="163">
        <f>IF(AO$2&lt;=analysis_period,IF(SUM($C707:AO707)&gt;0,AN359+1,0),0)</f>
        <v>0</v>
      </c>
      <c r="AP359" s="163">
        <f>IF(AP$2&lt;=analysis_period,IF(SUM($C707:AP707)&gt;0,AO359+1,0),0)</f>
        <v>0</v>
      </c>
    </row>
    <row r="360" spans="1:42" x14ac:dyDescent="0.2">
      <c r="A360" s="4">
        <f t="shared" si="145"/>
        <v>6</v>
      </c>
      <c r="B360" s="4">
        <v>0</v>
      </c>
      <c r="C360" s="163">
        <f>IF(C$2&lt;=analysis_period,IF(SUM($C708:C708)&gt;0,B360+1,0),0)</f>
        <v>0</v>
      </c>
      <c r="D360" s="163">
        <f>IF(D$2&lt;=analysis_period,IF(SUM($C708:D708)&gt;0,C360+1,0),0)</f>
        <v>0</v>
      </c>
      <c r="E360" s="163">
        <f>IF(E$2&lt;=analysis_period,IF(SUM($C708:E708)&gt;0,D360+1,0),0)</f>
        <v>0</v>
      </c>
      <c r="F360" s="163">
        <f>IF(F$2&lt;=analysis_period,IF(SUM($C708:F708)&gt;0,E360+1,0),0)</f>
        <v>0</v>
      </c>
      <c r="G360" s="163">
        <f>IF(G$2&lt;=analysis_period,IF(SUM($C708:G708)&gt;0,F360+1,0),0)</f>
        <v>0</v>
      </c>
      <c r="H360" s="163">
        <f>IF(H$2&lt;=analysis_period,IF(SUM($C708:H708)&gt;0,G360+1,0),0)</f>
        <v>0</v>
      </c>
      <c r="I360" s="163">
        <f>IF(I$2&lt;=analysis_period,IF(SUM($C708:I708)&gt;0,H360+1,0),0)</f>
        <v>0</v>
      </c>
      <c r="J360" s="163">
        <f>IF(J$2&lt;=analysis_period,IF(SUM($C708:J708)&gt;0,I360+1,0),0)</f>
        <v>0</v>
      </c>
      <c r="K360" s="163">
        <f>IF(K$2&lt;=analysis_period,IF(SUM($C708:K708)&gt;0,J360+1,0),0)</f>
        <v>0</v>
      </c>
      <c r="L360" s="163">
        <f>IF(L$2&lt;=analysis_period,IF(SUM($C708:L708)&gt;0,K360+1,0),0)</f>
        <v>0</v>
      </c>
      <c r="M360" s="163">
        <f>IF(M$2&lt;=analysis_period,IF(SUM($C708:M708)&gt;0,L360+1,0),0)</f>
        <v>0</v>
      </c>
      <c r="N360" s="163">
        <f>IF(N$2&lt;=analysis_period,IF(SUM($C708:N708)&gt;0,M360+1,0),0)</f>
        <v>0</v>
      </c>
      <c r="O360" s="163">
        <f>IF(O$2&lt;=analysis_period,IF(SUM($C708:O708)&gt;0,N360+1,0),0)</f>
        <v>0</v>
      </c>
      <c r="P360" s="163">
        <f>IF(P$2&lt;=analysis_period,IF(SUM($C708:P708)&gt;0,O360+1,0),0)</f>
        <v>0</v>
      </c>
      <c r="Q360" s="163">
        <f>IF(Q$2&lt;=analysis_period,IF(SUM($C708:Q708)&gt;0,P360+1,0),0)</f>
        <v>0</v>
      </c>
      <c r="R360" s="163">
        <f>IF(R$2&lt;=analysis_period,IF(SUM($C708:R708)&gt;0,Q360+1,0),0)</f>
        <v>0</v>
      </c>
      <c r="S360" s="163">
        <f>IF(S$2&lt;=analysis_period,IF(SUM($C708:S708)&gt;0,R360+1,0),0)</f>
        <v>0</v>
      </c>
      <c r="T360" s="163">
        <f>IF(T$2&lt;=analysis_period,IF(SUM($C708:T708)&gt;0,S360+1,0),0)</f>
        <v>0</v>
      </c>
      <c r="U360" s="163">
        <f>IF(U$2&lt;=analysis_period,IF(SUM($C708:U708)&gt;0,T360+1,0),0)</f>
        <v>0</v>
      </c>
      <c r="V360" s="163">
        <f>IF(V$2&lt;=analysis_period,IF(SUM($C708:V708)&gt;0,U360+1,0),0)</f>
        <v>0</v>
      </c>
      <c r="W360" s="163">
        <f>IF(W$2&lt;=analysis_period,IF(SUM($C708:W708)&gt;0,V360+1,0),0)</f>
        <v>0</v>
      </c>
      <c r="X360" s="163">
        <f>IF(X$2&lt;=analysis_period,IF(SUM($C708:X708)&gt;0,W360+1,0),0)</f>
        <v>0</v>
      </c>
      <c r="Y360" s="163">
        <f>IF(Y$2&lt;=analysis_period,IF(SUM($C708:Y708)&gt;0,X360+1,0),0)</f>
        <v>0</v>
      </c>
      <c r="Z360" s="163">
        <f>IF(Z$2&lt;=analysis_period,IF(SUM($C708:Z708)&gt;0,Y360+1,0),0)</f>
        <v>0</v>
      </c>
      <c r="AA360" s="163">
        <f>IF(AA$2&lt;=analysis_period,IF(SUM($C708:AA708)&gt;0,Z360+1,0),0)</f>
        <v>0</v>
      </c>
      <c r="AB360" s="163">
        <f>IF(AB$2&lt;=analysis_period,IF(SUM($C708:AB708)&gt;0,AA360+1,0),0)</f>
        <v>0</v>
      </c>
      <c r="AC360" s="163">
        <f>IF(AC$2&lt;=analysis_period,IF(SUM($C708:AC708)&gt;0,AB360+1,0),0)</f>
        <v>0</v>
      </c>
      <c r="AD360" s="163">
        <f>IF(AD$2&lt;=analysis_period,IF(SUM($C708:AD708)&gt;0,AC360+1,0),0)</f>
        <v>0</v>
      </c>
      <c r="AE360" s="163">
        <f>IF(AE$2&lt;=analysis_period,IF(SUM($C708:AE708)&gt;0,AD360+1,0),0)</f>
        <v>0</v>
      </c>
      <c r="AF360" s="163">
        <f>IF(AF$2&lt;=analysis_period,IF(SUM($C708:AF708)&gt;0,AE360+1,0),0)</f>
        <v>0</v>
      </c>
      <c r="AG360" s="163">
        <f>IF(AG$2&lt;=analysis_period,IF(SUM($C708:AG708)&gt;0,AF360+1,0),0)</f>
        <v>0</v>
      </c>
      <c r="AH360" s="163">
        <f>IF(AH$2&lt;=analysis_period,IF(SUM($C708:AH708)&gt;0,AG360+1,0),0)</f>
        <v>0</v>
      </c>
      <c r="AI360" s="163">
        <f>IF(AI$2&lt;=analysis_period,IF(SUM($C708:AI708)&gt;0,AH360+1,0),0)</f>
        <v>0</v>
      </c>
      <c r="AJ360" s="163">
        <f>IF(AJ$2&lt;=analysis_period,IF(SUM($C708:AJ708)&gt;0,AI360+1,0),0)</f>
        <v>0</v>
      </c>
      <c r="AK360" s="163">
        <f>IF(AK$2&lt;=analysis_period,IF(SUM($C708:AK708)&gt;0,AJ360+1,0),0)</f>
        <v>0</v>
      </c>
      <c r="AL360" s="163">
        <f>IF(AL$2&lt;=analysis_period,IF(SUM($C708:AL708)&gt;0,AK360+1,0),0)</f>
        <v>0</v>
      </c>
      <c r="AM360" s="163">
        <f>IF(AM$2&lt;=analysis_period,IF(SUM($C708:AM708)&gt;0,AL360+1,0),0)</f>
        <v>0</v>
      </c>
      <c r="AN360" s="163">
        <f>IF(AN$2&lt;=analysis_period,IF(SUM($C708:AN708)&gt;0,AM360+1,0),0)</f>
        <v>0</v>
      </c>
      <c r="AO360" s="163">
        <f>IF(AO$2&lt;=analysis_period,IF(SUM($C708:AO708)&gt;0,AN360+1,0),0)</f>
        <v>0</v>
      </c>
      <c r="AP360" s="163">
        <f>IF(AP$2&lt;=analysis_period,IF(SUM($C708:AP708)&gt;0,AO360+1,0),0)</f>
        <v>0</v>
      </c>
    </row>
    <row r="361" spans="1:42" x14ac:dyDescent="0.2">
      <c r="A361" s="4">
        <f t="shared" si="145"/>
        <v>7</v>
      </c>
      <c r="B361" s="4">
        <v>0</v>
      </c>
      <c r="C361" s="163">
        <f>IF(C$2&lt;=analysis_period,IF(SUM($C709:C709)&gt;0,B361+1,0),0)</f>
        <v>0</v>
      </c>
      <c r="D361" s="163">
        <f>IF(D$2&lt;=analysis_period,IF(SUM($C709:D709)&gt;0,C361+1,0),0)</f>
        <v>0</v>
      </c>
      <c r="E361" s="163">
        <f>IF(E$2&lt;=analysis_period,IF(SUM($C709:E709)&gt;0,D361+1,0),0)</f>
        <v>0</v>
      </c>
      <c r="F361" s="163">
        <f>IF(F$2&lt;=analysis_period,IF(SUM($C709:F709)&gt;0,E361+1,0),0)</f>
        <v>0</v>
      </c>
      <c r="G361" s="163">
        <f>IF(G$2&lt;=analysis_period,IF(SUM($C709:G709)&gt;0,F361+1,0),0)</f>
        <v>0</v>
      </c>
      <c r="H361" s="163">
        <f>IF(H$2&lt;=analysis_period,IF(SUM($C709:H709)&gt;0,G361+1,0),0)</f>
        <v>0</v>
      </c>
      <c r="I361" s="163">
        <f>IF(I$2&lt;=analysis_period,IF(SUM($C709:I709)&gt;0,H361+1,0),0)</f>
        <v>0</v>
      </c>
      <c r="J361" s="163">
        <f>IF(J$2&lt;=analysis_period,IF(SUM($C709:J709)&gt;0,I361+1,0),0)</f>
        <v>0</v>
      </c>
      <c r="K361" s="163">
        <f>IF(K$2&lt;=analysis_period,IF(SUM($C709:K709)&gt;0,J361+1,0),0)</f>
        <v>0</v>
      </c>
      <c r="L361" s="163">
        <f>IF(L$2&lt;=analysis_period,IF(SUM($C709:L709)&gt;0,K361+1,0),0)</f>
        <v>0</v>
      </c>
      <c r="M361" s="163">
        <f>IF(M$2&lt;=analysis_period,IF(SUM($C709:M709)&gt;0,L361+1,0),0)</f>
        <v>0</v>
      </c>
      <c r="N361" s="163">
        <f>IF(N$2&lt;=analysis_period,IF(SUM($C709:N709)&gt;0,M361+1,0),0)</f>
        <v>0</v>
      </c>
      <c r="O361" s="163">
        <f>IF(O$2&lt;=analysis_period,IF(SUM($C709:O709)&gt;0,N361+1,0),0)</f>
        <v>0</v>
      </c>
      <c r="P361" s="163">
        <f>IF(P$2&lt;=analysis_period,IF(SUM($C709:P709)&gt;0,O361+1,0),0)</f>
        <v>0</v>
      </c>
      <c r="Q361" s="163">
        <f>IF(Q$2&lt;=analysis_period,IF(SUM($C709:Q709)&gt;0,P361+1,0),0)</f>
        <v>0</v>
      </c>
      <c r="R361" s="163">
        <f>IF(R$2&lt;=analysis_period,IF(SUM($C709:R709)&gt;0,Q361+1,0),0)</f>
        <v>0</v>
      </c>
      <c r="S361" s="163">
        <f>IF(S$2&lt;=analysis_period,IF(SUM($C709:S709)&gt;0,R361+1,0),0)</f>
        <v>0</v>
      </c>
      <c r="T361" s="163">
        <f>IF(T$2&lt;=analysis_period,IF(SUM($C709:T709)&gt;0,S361+1,0),0)</f>
        <v>0</v>
      </c>
      <c r="U361" s="163">
        <f>IF(U$2&lt;=analysis_period,IF(SUM($C709:U709)&gt;0,T361+1,0),0)</f>
        <v>0</v>
      </c>
      <c r="V361" s="163">
        <f>IF(V$2&lt;=analysis_period,IF(SUM($C709:V709)&gt;0,U361+1,0),0)</f>
        <v>0</v>
      </c>
      <c r="W361" s="163">
        <f>IF(W$2&lt;=analysis_period,IF(SUM($C709:W709)&gt;0,V361+1,0),0)</f>
        <v>0</v>
      </c>
      <c r="X361" s="163">
        <f>IF(X$2&lt;=analysis_period,IF(SUM($C709:X709)&gt;0,W361+1,0),0)</f>
        <v>0</v>
      </c>
      <c r="Y361" s="163">
        <f>IF(Y$2&lt;=analysis_period,IF(SUM($C709:Y709)&gt;0,X361+1,0),0)</f>
        <v>0</v>
      </c>
      <c r="Z361" s="163">
        <f>IF(Z$2&lt;=analysis_period,IF(SUM($C709:Z709)&gt;0,Y361+1,0),0)</f>
        <v>0</v>
      </c>
      <c r="AA361" s="163">
        <f>IF(AA$2&lt;=analysis_period,IF(SUM($C709:AA709)&gt;0,Z361+1,0),0)</f>
        <v>0</v>
      </c>
      <c r="AB361" s="163">
        <f>IF(AB$2&lt;=analysis_period,IF(SUM($C709:AB709)&gt;0,AA361+1,0),0)</f>
        <v>0</v>
      </c>
      <c r="AC361" s="163">
        <f>IF(AC$2&lt;=analysis_period,IF(SUM($C709:AC709)&gt;0,AB361+1,0),0)</f>
        <v>0</v>
      </c>
      <c r="AD361" s="163">
        <f>IF(AD$2&lt;=analysis_period,IF(SUM($C709:AD709)&gt;0,AC361+1,0),0)</f>
        <v>0</v>
      </c>
      <c r="AE361" s="163">
        <f>IF(AE$2&lt;=analysis_period,IF(SUM($C709:AE709)&gt;0,AD361+1,0),0)</f>
        <v>0</v>
      </c>
      <c r="AF361" s="163">
        <f>IF(AF$2&lt;=analysis_period,IF(SUM($C709:AF709)&gt;0,AE361+1,0),0)</f>
        <v>0</v>
      </c>
      <c r="AG361" s="163">
        <f>IF(AG$2&lt;=analysis_period,IF(SUM($C709:AG709)&gt;0,AF361+1,0),0)</f>
        <v>0</v>
      </c>
      <c r="AH361" s="163">
        <f>IF(AH$2&lt;=analysis_period,IF(SUM($C709:AH709)&gt;0,AG361+1,0),0)</f>
        <v>0</v>
      </c>
      <c r="AI361" s="163">
        <f>IF(AI$2&lt;=analysis_period,IF(SUM($C709:AI709)&gt;0,AH361+1,0),0)</f>
        <v>0</v>
      </c>
      <c r="AJ361" s="163">
        <f>IF(AJ$2&lt;=analysis_period,IF(SUM($C709:AJ709)&gt;0,AI361+1,0),0)</f>
        <v>0</v>
      </c>
      <c r="AK361" s="163">
        <f>IF(AK$2&lt;=analysis_period,IF(SUM($C709:AK709)&gt;0,AJ361+1,0),0)</f>
        <v>0</v>
      </c>
      <c r="AL361" s="163">
        <f>IF(AL$2&lt;=analysis_period,IF(SUM($C709:AL709)&gt;0,AK361+1,0),0)</f>
        <v>0</v>
      </c>
      <c r="AM361" s="163">
        <f>IF(AM$2&lt;=analysis_period,IF(SUM($C709:AM709)&gt;0,AL361+1,0),0)</f>
        <v>0</v>
      </c>
      <c r="AN361" s="163">
        <f>IF(AN$2&lt;=analysis_period,IF(SUM($C709:AN709)&gt;0,AM361+1,0),0)</f>
        <v>0</v>
      </c>
      <c r="AO361" s="163">
        <f>IF(AO$2&lt;=analysis_period,IF(SUM($C709:AO709)&gt;0,AN361+1,0),0)</f>
        <v>0</v>
      </c>
      <c r="AP361" s="163">
        <f>IF(AP$2&lt;=analysis_period,IF(SUM($C709:AP709)&gt;0,AO361+1,0),0)</f>
        <v>0</v>
      </c>
    </row>
    <row r="362" spans="1:42" x14ac:dyDescent="0.2">
      <c r="A362" s="4">
        <f t="shared" si="145"/>
        <v>8</v>
      </c>
      <c r="B362" s="4">
        <v>0</v>
      </c>
      <c r="C362" s="163">
        <f>IF(C$2&lt;=analysis_period,IF(SUM($C710:C710)&gt;0,B362+1,0),0)</f>
        <v>0</v>
      </c>
      <c r="D362" s="163">
        <f>IF(D$2&lt;=analysis_period,IF(SUM($C710:D710)&gt;0,C362+1,0),0)</f>
        <v>0</v>
      </c>
      <c r="E362" s="163">
        <f>IF(E$2&lt;=analysis_period,IF(SUM($C710:E710)&gt;0,D362+1,0),0)</f>
        <v>0</v>
      </c>
      <c r="F362" s="163">
        <f>IF(F$2&lt;=analysis_period,IF(SUM($C710:F710)&gt;0,E362+1,0),0)</f>
        <v>0</v>
      </c>
      <c r="G362" s="163">
        <f>IF(G$2&lt;=analysis_period,IF(SUM($C710:G710)&gt;0,F362+1,0),0)</f>
        <v>0</v>
      </c>
      <c r="H362" s="163">
        <f>IF(H$2&lt;=analysis_period,IF(SUM($C710:H710)&gt;0,G362+1,0),0)</f>
        <v>0</v>
      </c>
      <c r="I362" s="163">
        <f>IF(I$2&lt;=analysis_period,IF(SUM($C710:I710)&gt;0,H362+1,0),0)</f>
        <v>0</v>
      </c>
      <c r="J362" s="163">
        <f>IF(J$2&lt;=analysis_period,IF(SUM($C710:J710)&gt;0,I362+1,0),0)</f>
        <v>0</v>
      </c>
      <c r="K362" s="163">
        <f>IF(K$2&lt;=analysis_period,IF(SUM($C710:K710)&gt;0,J362+1,0),0)</f>
        <v>0</v>
      </c>
      <c r="L362" s="163">
        <f>IF(L$2&lt;=analysis_period,IF(SUM($C710:L710)&gt;0,K362+1,0),0)</f>
        <v>0</v>
      </c>
      <c r="M362" s="163">
        <f>IF(M$2&lt;=analysis_period,IF(SUM($C710:M710)&gt;0,L362+1,0),0)</f>
        <v>0</v>
      </c>
      <c r="N362" s="163">
        <f>IF(N$2&lt;=analysis_period,IF(SUM($C710:N710)&gt;0,M362+1,0),0)</f>
        <v>0</v>
      </c>
      <c r="O362" s="163">
        <f>IF(O$2&lt;=analysis_period,IF(SUM($C710:O710)&gt;0,N362+1,0),0)</f>
        <v>0</v>
      </c>
      <c r="P362" s="163">
        <f>IF(P$2&lt;=analysis_period,IF(SUM($C710:P710)&gt;0,O362+1,0),0)</f>
        <v>0</v>
      </c>
      <c r="Q362" s="163">
        <f>IF(Q$2&lt;=analysis_period,IF(SUM($C710:Q710)&gt;0,P362+1,0),0)</f>
        <v>0</v>
      </c>
      <c r="R362" s="163">
        <f>IF(R$2&lt;=analysis_period,IF(SUM($C710:R710)&gt;0,Q362+1,0),0)</f>
        <v>0</v>
      </c>
      <c r="S362" s="163">
        <f>IF(S$2&lt;=analysis_period,IF(SUM($C710:S710)&gt;0,R362+1,0),0)</f>
        <v>0</v>
      </c>
      <c r="T362" s="163">
        <f>IF(T$2&lt;=analysis_period,IF(SUM($C710:T710)&gt;0,S362+1,0),0)</f>
        <v>0</v>
      </c>
      <c r="U362" s="163">
        <f>IF(U$2&lt;=analysis_period,IF(SUM($C710:U710)&gt;0,T362+1,0),0)</f>
        <v>0</v>
      </c>
      <c r="V362" s="163">
        <f>IF(V$2&lt;=analysis_period,IF(SUM($C710:V710)&gt;0,U362+1,0),0)</f>
        <v>0</v>
      </c>
      <c r="W362" s="163">
        <f>IF(W$2&lt;=analysis_period,IF(SUM($C710:W710)&gt;0,V362+1,0),0)</f>
        <v>0</v>
      </c>
      <c r="X362" s="163">
        <f>IF(X$2&lt;=analysis_period,IF(SUM($C710:X710)&gt;0,W362+1,0),0)</f>
        <v>0</v>
      </c>
      <c r="Y362" s="163">
        <f>IF(Y$2&lt;=analysis_period,IF(SUM($C710:Y710)&gt;0,X362+1,0),0)</f>
        <v>0</v>
      </c>
      <c r="Z362" s="163">
        <f>IF(Z$2&lt;=analysis_period,IF(SUM($C710:Z710)&gt;0,Y362+1,0),0)</f>
        <v>0</v>
      </c>
      <c r="AA362" s="163">
        <f>IF(AA$2&lt;=analysis_period,IF(SUM($C710:AA710)&gt;0,Z362+1,0),0)</f>
        <v>0</v>
      </c>
      <c r="AB362" s="163">
        <f>IF(AB$2&lt;=analysis_period,IF(SUM($C710:AB710)&gt;0,AA362+1,0),0)</f>
        <v>0</v>
      </c>
      <c r="AC362" s="163">
        <f>IF(AC$2&lt;=analysis_period,IF(SUM($C710:AC710)&gt;0,AB362+1,0),0)</f>
        <v>0</v>
      </c>
      <c r="AD362" s="163">
        <f>IF(AD$2&lt;=analysis_period,IF(SUM($C710:AD710)&gt;0,AC362+1,0),0)</f>
        <v>0</v>
      </c>
      <c r="AE362" s="163">
        <f>IF(AE$2&lt;=analysis_period,IF(SUM($C710:AE710)&gt;0,AD362+1,0),0)</f>
        <v>0</v>
      </c>
      <c r="AF362" s="163">
        <f>IF(AF$2&lt;=analysis_period,IF(SUM($C710:AF710)&gt;0,AE362+1,0),0)</f>
        <v>0</v>
      </c>
      <c r="AG362" s="163">
        <f>IF(AG$2&lt;=analysis_period,IF(SUM($C710:AG710)&gt;0,AF362+1,0),0)</f>
        <v>0</v>
      </c>
      <c r="AH362" s="163">
        <f>IF(AH$2&lt;=analysis_period,IF(SUM($C710:AH710)&gt;0,AG362+1,0),0)</f>
        <v>0</v>
      </c>
      <c r="AI362" s="163">
        <f>IF(AI$2&lt;=analysis_period,IF(SUM($C710:AI710)&gt;0,AH362+1,0),0)</f>
        <v>0</v>
      </c>
      <c r="AJ362" s="163">
        <f>IF(AJ$2&lt;=analysis_period,IF(SUM($C710:AJ710)&gt;0,AI362+1,0),0)</f>
        <v>0</v>
      </c>
      <c r="AK362" s="163">
        <f>IF(AK$2&lt;=analysis_period,IF(SUM($C710:AK710)&gt;0,AJ362+1,0),0)</f>
        <v>0</v>
      </c>
      <c r="AL362" s="163">
        <f>IF(AL$2&lt;=analysis_period,IF(SUM($C710:AL710)&gt;0,AK362+1,0),0)</f>
        <v>0</v>
      </c>
      <c r="AM362" s="163">
        <f>IF(AM$2&lt;=analysis_period,IF(SUM($C710:AM710)&gt;0,AL362+1,0),0)</f>
        <v>0</v>
      </c>
      <c r="AN362" s="163">
        <f>IF(AN$2&lt;=analysis_period,IF(SUM($C710:AN710)&gt;0,AM362+1,0),0)</f>
        <v>0</v>
      </c>
      <c r="AO362" s="163">
        <f>IF(AO$2&lt;=analysis_period,IF(SUM($C710:AO710)&gt;0,AN362+1,0),0)</f>
        <v>0</v>
      </c>
      <c r="AP362" s="163">
        <f>IF(AP$2&lt;=analysis_period,IF(SUM($C710:AP710)&gt;0,AO362+1,0),0)</f>
        <v>0</v>
      </c>
    </row>
    <row r="363" spans="1:42" x14ac:dyDescent="0.2">
      <c r="A363" s="4">
        <f>A362+1</f>
        <v>9</v>
      </c>
      <c r="B363" s="4">
        <v>0</v>
      </c>
      <c r="C363" s="163">
        <f>IF(C$2&lt;=analysis_period,IF(SUM($C711:C711)&gt;0,B363+1,0),0)</f>
        <v>0</v>
      </c>
      <c r="D363" s="163">
        <f>IF(D$2&lt;=analysis_period,IF(SUM($C711:D711)&gt;0,C363+1,0),0)</f>
        <v>0</v>
      </c>
      <c r="E363" s="163">
        <f>IF(E$2&lt;=analysis_period,IF(SUM($C711:E711)&gt;0,D363+1,0),0)</f>
        <v>0</v>
      </c>
      <c r="F363" s="163">
        <f>IF(F$2&lt;=analysis_period,IF(SUM($C711:F711)&gt;0,E363+1,0),0)</f>
        <v>0</v>
      </c>
      <c r="G363" s="163">
        <f>IF(G$2&lt;=analysis_period,IF(SUM($C711:G711)&gt;0,F363+1,0),0)</f>
        <v>0</v>
      </c>
      <c r="H363" s="163">
        <f>IF(H$2&lt;=analysis_period,IF(SUM($C711:H711)&gt;0,G363+1,0),0)</f>
        <v>0</v>
      </c>
      <c r="I363" s="163">
        <f>IF(I$2&lt;=analysis_period,IF(SUM($C711:I711)&gt;0,H363+1,0),0)</f>
        <v>0</v>
      </c>
      <c r="J363" s="163">
        <f>IF(J$2&lt;=analysis_period,IF(SUM($C711:J711)&gt;0,I363+1,0),0)</f>
        <v>0</v>
      </c>
      <c r="K363" s="163">
        <f>IF(K$2&lt;=analysis_period,IF(SUM($C711:K711)&gt;0,J363+1,0),0)</f>
        <v>0</v>
      </c>
      <c r="L363" s="163">
        <f>IF(L$2&lt;=analysis_period,IF(SUM($C711:L711)&gt;0,K363+1,0),0)</f>
        <v>0</v>
      </c>
      <c r="M363" s="163">
        <f>IF(M$2&lt;=analysis_period,IF(SUM($C711:M711)&gt;0,L363+1,0),0)</f>
        <v>0</v>
      </c>
      <c r="N363" s="163">
        <f>IF(N$2&lt;=analysis_period,IF(SUM($C711:N711)&gt;0,M363+1,0),0)</f>
        <v>0</v>
      </c>
      <c r="O363" s="163">
        <f>IF(O$2&lt;=analysis_period,IF(SUM($C711:O711)&gt;0,N363+1,0),0)</f>
        <v>0</v>
      </c>
      <c r="P363" s="163">
        <f>IF(P$2&lt;=analysis_period,IF(SUM($C711:P711)&gt;0,O363+1,0),0)</f>
        <v>0</v>
      </c>
      <c r="Q363" s="163">
        <f>IF(Q$2&lt;=analysis_period,IF(SUM($C711:Q711)&gt;0,P363+1,0),0)</f>
        <v>0</v>
      </c>
      <c r="R363" s="163">
        <f>IF(R$2&lt;=analysis_period,IF(SUM($C711:R711)&gt;0,Q363+1,0),0)</f>
        <v>0</v>
      </c>
      <c r="S363" s="163">
        <f>IF(S$2&lt;=analysis_period,IF(SUM($C711:S711)&gt;0,R363+1,0),0)</f>
        <v>0</v>
      </c>
      <c r="T363" s="163">
        <f>IF(T$2&lt;=analysis_period,IF(SUM($C711:T711)&gt;0,S363+1,0),0)</f>
        <v>0</v>
      </c>
      <c r="U363" s="163">
        <f>IF(U$2&lt;=analysis_period,IF(SUM($C711:U711)&gt;0,T363+1,0),0)</f>
        <v>0</v>
      </c>
      <c r="V363" s="163">
        <f>IF(V$2&lt;=analysis_period,IF(SUM($C711:V711)&gt;0,U363+1,0),0)</f>
        <v>0</v>
      </c>
      <c r="W363" s="163">
        <f>IF(W$2&lt;=analysis_period,IF(SUM($C711:W711)&gt;0,V363+1,0),0)</f>
        <v>0</v>
      </c>
      <c r="X363" s="163">
        <f>IF(X$2&lt;=analysis_period,IF(SUM($C711:X711)&gt;0,W363+1,0),0)</f>
        <v>0</v>
      </c>
      <c r="Y363" s="163">
        <f>IF(Y$2&lt;=analysis_period,IF(SUM($C711:Y711)&gt;0,X363+1,0),0)</f>
        <v>0</v>
      </c>
      <c r="Z363" s="163">
        <f>IF(Z$2&lt;=analysis_period,IF(SUM($C711:Z711)&gt;0,Y363+1,0),0)</f>
        <v>0</v>
      </c>
      <c r="AA363" s="163">
        <f>IF(AA$2&lt;=analysis_period,IF(SUM($C711:AA711)&gt;0,Z363+1,0),0)</f>
        <v>0</v>
      </c>
      <c r="AB363" s="163">
        <f>IF(AB$2&lt;=analysis_period,IF(SUM($C711:AB711)&gt;0,AA363+1,0),0)</f>
        <v>0</v>
      </c>
      <c r="AC363" s="163">
        <f>IF(AC$2&lt;=analysis_period,IF(SUM($C711:AC711)&gt;0,AB363+1,0),0)</f>
        <v>0</v>
      </c>
      <c r="AD363" s="163">
        <f>IF(AD$2&lt;=analysis_period,IF(SUM($C711:AD711)&gt;0,AC363+1,0),0)</f>
        <v>0</v>
      </c>
      <c r="AE363" s="163">
        <f>IF(AE$2&lt;=analysis_period,IF(SUM($C711:AE711)&gt;0,AD363+1,0),0)</f>
        <v>0</v>
      </c>
      <c r="AF363" s="163">
        <f>IF(AF$2&lt;=analysis_period,IF(SUM($C711:AF711)&gt;0,AE363+1,0),0)</f>
        <v>0</v>
      </c>
      <c r="AG363" s="163">
        <f>IF(AG$2&lt;=analysis_period,IF(SUM($C711:AG711)&gt;0,AF363+1,0),0)</f>
        <v>0</v>
      </c>
      <c r="AH363" s="163">
        <f>IF(AH$2&lt;=analysis_period,IF(SUM($C711:AH711)&gt;0,AG363+1,0),0)</f>
        <v>0</v>
      </c>
      <c r="AI363" s="163">
        <f>IF(AI$2&lt;=analysis_period,IF(SUM($C711:AI711)&gt;0,AH363+1,0),0)</f>
        <v>0</v>
      </c>
      <c r="AJ363" s="163">
        <f>IF(AJ$2&lt;=analysis_period,IF(SUM($C711:AJ711)&gt;0,AI363+1,0),0)</f>
        <v>0</v>
      </c>
      <c r="AK363" s="163">
        <f>IF(AK$2&lt;=analysis_period,IF(SUM($C711:AK711)&gt;0,AJ363+1,0),0)</f>
        <v>0</v>
      </c>
      <c r="AL363" s="163">
        <f>IF(AL$2&lt;=analysis_period,IF(SUM($C711:AL711)&gt;0,AK363+1,0),0)</f>
        <v>0</v>
      </c>
      <c r="AM363" s="163">
        <f>IF(AM$2&lt;=analysis_period,IF(SUM($C711:AM711)&gt;0,AL363+1,0),0)</f>
        <v>0</v>
      </c>
      <c r="AN363" s="163">
        <f>IF(AN$2&lt;=analysis_period,IF(SUM($C711:AN711)&gt;0,AM363+1,0),0)</f>
        <v>0</v>
      </c>
      <c r="AO363" s="163">
        <f>IF(AO$2&lt;=analysis_period,IF(SUM($C711:AO711)&gt;0,AN363+1,0),0)</f>
        <v>0</v>
      </c>
      <c r="AP363" s="163">
        <f>IF(AP$2&lt;=analysis_period,IF(SUM($C711:AP711)&gt;0,AO363+1,0),0)</f>
        <v>0</v>
      </c>
    </row>
    <row r="364" spans="1:42" x14ac:dyDescent="0.2">
      <c r="A364" s="4">
        <f t="shared" si="145"/>
        <v>10</v>
      </c>
      <c r="B364" s="4">
        <v>0</v>
      </c>
      <c r="C364" s="163">
        <f>IF(C$2&lt;=analysis_period,IF(SUM($C712:C712)&gt;0,B364+1,0),0)</f>
        <v>0</v>
      </c>
      <c r="D364" s="163">
        <f>IF(D$2&lt;=analysis_period,IF(SUM($C712:D712)&gt;0,C364+1,0),0)</f>
        <v>0</v>
      </c>
      <c r="E364" s="163">
        <f>IF(E$2&lt;=analysis_period,IF(SUM($C712:E712)&gt;0,D364+1,0),0)</f>
        <v>0</v>
      </c>
      <c r="F364" s="163">
        <f>IF(F$2&lt;=analysis_period,IF(SUM($C712:F712)&gt;0,E364+1,0),0)</f>
        <v>0</v>
      </c>
      <c r="G364" s="163">
        <f>IF(G$2&lt;=analysis_period,IF(SUM($C712:G712)&gt;0,F364+1,0),0)</f>
        <v>0</v>
      </c>
      <c r="H364" s="163">
        <f>IF(H$2&lt;=analysis_period,IF(SUM($C712:H712)&gt;0,G364+1,0),0)</f>
        <v>0</v>
      </c>
      <c r="I364" s="163">
        <f>IF(I$2&lt;=analysis_period,IF(SUM($C712:I712)&gt;0,H364+1,0),0)</f>
        <v>0</v>
      </c>
      <c r="J364" s="163">
        <f>IF(J$2&lt;=analysis_period,IF(SUM($C712:J712)&gt;0,I364+1,0),0)</f>
        <v>0</v>
      </c>
      <c r="K364" s="163">
        <f>IF(K$2&lt;=analysis_period,IF(SUM($C712:K712)&gt;0,J364+1,0),0)</f>
        <v>0</v>
      </c>
      <c r="L364" s="163">
        <f>IF(L$2&lt;=analysis_period,IF(SUM($C712:L712)&gt;0,K364+1,0),0)</f>
        <v>0</v>
      </c>
      <c r="M364" s="163">
        <f>IF(M$2&lt;=analysis_period,IF(SUM($C712:M712)&gt;0,L364+1,0),0)</f>
        <v>0</v>
      </c>
      <c r="N364" s="163">
        <f>IF(N$2&lt;=analysis_period,IF(SUM($C712:N712)&gt;0,M364+1,0),0)</f>
        <v>0</v>
      </c>
      <c r="O364" s="163">
        <f>IF(O$2&lt;=analysis_period,IF(SUM($C712:O712)&gt;0,N364+1,0),0)</f>
        <v>0</v>
      </c>
      <c r="P364" s="163">
        <f>IF(P$2&lt;=analysis_period,IF(SUM($C712:P712)&gt;0,O364+1,0),0)</f>
        <v>0</v>
      </c>
      <c r="Q364" s="163">
        <f>IF(Q$2&lt;=analysis_period,IF(SUM($C712:Q712)&gt;0,P364+1,0),0)</f>
        <v>0</v>
      </c>
      <c r="R364" s="163">
        <f>IF(R$2&lt;=analysis_period,IF(SUM($C712:R712)&gt;0,Q364+1,0),0)</f>
        <v>0</v>
      </c>
      <c r="S364" s="163">
        <f>IF(S$2&lt;=analysis_period,IF(SUM($C712:S712)&gt;0,R364+1,0),0)</f>
        <v>0</v>
      </c>
      <c r="T364" s="163">
        <f>IF(T$2&lt;=analysis_period,IF(SUM($C712:T712)&gt;0,S364+1,0),0)</f>
        <v>0</v>
      </c>
      <c r="U364" s="163">
        <f>IF(U$2&lt;=analysis_period,IF(SUM($C712:U712)&gt;0,T364+1,0),0)</f>
        <v>0</v>
      </c>
      <c r="V364" s="163">
        <f>IF(V$2&lt;=analysis_period,IF(SUM($C712:V712)&gt;0,U364+1,0),0)</f>
        <v>0</v>
      </c>
      <c r="W364" s="163">
        <f>IF(W$2&lt;=analysis_period,IF(SUM($C712:W712)&gt;0,V364+1,0),0)</f>
        <v>0</v>
      </c>
      <c r="X364" s="163">
        <f>IF(X$2&lt;=analysis_period,IF(SUM($C712:X712)&gt;0,W364+1,0),0)</f>
        <v>0</v>
      </c>
      <c r="Y364" s="163">
        <f>IF(Y$2&lt;=analysis_period,IF(SUM($C712:Y712)&gt;0,X364+1,0),0)</f>
        <v>0</v>
      </c>
      <c r="Z364" s="163">
        <f>IF(Z$2&lt;=analysis_period,IF(SUM($C712:Z712)&gt;0,Y364+1,0),0)</f>
        <v>0</v>
      </c>
      <c r="AA364" s="163">
        <f>IF(AA$2&lt;=analysis_period,IF(SUM($C712:AA712)&gt;0,Z364+1,0),0)</f>
        <v>0</v>
      </c>
      <c r="AB364" s="163">
        <f>IF(AB$2&lt;=analysis_period,IF(SUM($C712:AB712)&gt;0,AA364+1,0),0)</f>
        <v>0</v>
      </c>
      <c r="AC364" s="163">
        <f>IF(AC$2&lt;=analysis_period,IF(SUM($C712:AC712)&gt;0,AB364+1,0),0)</f>
        <v>0</v>
      </c>
      <c r="AD364" s="163">
        <f>IF(AD$2&lt;=analysis_period,IF(SUM($C712:AD712)&gt;0,AC364+1,0),0)</f>
        <v>0</v>
      </c>
      <c r="AE364" s="163">
        <f>IF(AE$2&lt;=analysis_period,IF(SUM($C712:AE712)&gt;0,AD364+1,0),0)</f>
        <v>0</v>
      </c>
      <c r="AF364" s="163">
        <f>IF(AF$2&lt;=analysis_period,IF(SUM($C712:AF712)&gt;0,AE364+1,0),0)</f>
        <v>0</v>
      </c>
      <c r="AG364" s="163">
        <f>IF(AG$2&lt;=analysis_period,IF(SUM($C712:AG712)&gt;0,AF364+1,0),0)</f>
        <v>0</v>
      </c>
      <c r="AH364" s="163">
        <f>IF(AH$2&lt;=analysis_period,IF(SUM($C712:AH712)&gt;0,AG364+1,0),0)</f>
        <v>0</v>
      </c>
      <c r="AI364" s="163">
        <f>IF(AI$2&lt;=analysis_period,IF(SUM($C712:AI712)&gt;0,AH364+1,0),0)</f>
        <v>0</v>
      </c>
      <c r="AJ364" s="163">
        <f>IF(AJ$2&lt;=analysis_period,IF(SUM($C712:AJ712)&gt;0,AI364+1,0),0)</f>
        <v>0</v>
      </c>
      <c r="AK364" s="163">
        <f>IF(AK$2&lt;=analysis_period,IF(SUM($C712:AK712)&gt;0,AJ364+1,0),0)</f>
        <v>0</v>
      </c>
      <c r="AL364" s="163">
        <f>IF(AL$2&lt;=analysis_period,IF(SUM($C712:AL712)&gt;0,AK364+1,0),0)</f>
        <v>0</v>
      </c>
      <c r="AM364" s="163">
        <f>IF(AM$2&lt;=analysis_period,IF(SUM($C712:AM712)&gt;0,AL364+1,0),0)</f>
        <v>0</v>
      </c>
      <c r="AN364" s="163">
        <f>IF(AN$2&lt;=analysis_period,IF(SUM($C712:AN712)&gt;0,AM364+1,0),0)</f>
        <v>0</v>
      </c>
      <c r="AO364" s="163">
        <f>IF(AO$2&lt;=analysis_period,IF(SUM($C712:AO712)&gt;0,AN364+1,0),0)</f>
        <v>0</v>
      </c>
      <c r="AP364" s="163">
        <f>IF(AP$2&lt;=analysis_period,IF(SUM($C712:AP712)&gt;0,AO364+1,0),0)</f>
        <v>0</v>
      </c>
    </row>
    <row r="365" spans="1:42" x14ac:dyDescent="0.2">
      <c r="A365" s="22"/>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row>
    <row r="366" spans="1:42" x14ac:dyDescent="0.2">
      <c r="A366" s="22" t="s">
        <v>79</v>
      </c>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row>
    <row r="367" spans="1:42" x14ac:dyDescent="0.2">
      <c r="A367" s="4">
        <v>1</v>
      </c>
      <c r="B367" s="178">
        <f t="shared" ref="B367:B376" si="146">SUM(C367:AP367)</f>
        <v>0</v>
      </c>
      <c r="C367" s="180">
        <f t="shared" ref="C367:AP367" si="147">LOOKUP(C355,$B$299:$AP$299,$B$300:$AP$300)/100*$B703</f>
        <v>0</v>
      </c>
      <c r="D367" s="180">
        <f t="shared" si="147"/>
        <v>0</v>
      </c>
      <c r="E367" s="180">
        <f t="shared" si="147"/>
        <v>0</v>
      </c>
      <c r="F367" s="180">
        <f t="shared" si="147"/>
        <v>0</v>
      </c>
      <c r="G367" s="180">
        <f t="shared" si="147"/>
        <v>0</v>
      </c>
      <c r="H367" s="180">
        <f t="shared" si="147"/>
        <v>0</v>
      </c>
      <c r="I367" s="180">
        <f t="shared" si="147"/>
        <v>0</v>
      </c>
      <c r="J367" s="180">
        <f t="shared" si="147"/>
        <v>0</v>
      </c>
      <c r="K367" s="180">
        <f t="shared" si="147"/>
        <v>0</v>
      </c>
      <c r="L367" s="180">
        <f t="shared" si="147"/>
        <v>0</v>
      </c>
      <c r="M367" s="180">
        <f t="shared" si="147"/>
        <v>0</v>
      </c>
      <c r="N367" s="180">
        <f t="shared" si="147"/>
        <v>0</v>
      </c>
      <c r="O367" s="180">
        <f t="shared" si="147"/>
        <v>0</v>
      </c>
      <c r="P367" s="180">
        <f t="shared" si="147"/>
        <v>0</v>
      </c>
      <c r="Q367" s="180">
        <f t="shared" si="147"/>
        <v>0</v>
      </c>
      <c r="R367" s="180">
        <f t="shared" si="147"/>
        <v>0</v>
      </c>
      <c r="S367" s="180">
        <f t="shared" si="147"/>
        <v>0</v>
      </c>
      <c r="T367" s="180">
        <f t="shared" si="147"/>
        <v>0</v>
      </c>
      <c r="U367" s="180">
        <f t="shared" si="147"/>
        <v>0</v>
      </c>
      <c r="V367" s="180">
        <f t="shared" si="147"/>
        <v>0</v>
      </c>
      <c r="W367" s="180">
        <f t="shared" si="147"/>
        <v>0</v>
      </c>
      <c r="X367" s="180">
        <f t="shared" si="147"/>
        <v>0</v>
      </c>
      <c r="Y367" s="180">
        <f t="shared" si="147"/>
        <v>0</v>
      </c>
      <c r="Z367" s="180">
        <f t="shared" si="147"/>
        <v>0</v>
      </c>
      <c r="AA367" s="180">
        <f t="shared" si="147"/>
        <v>0</v>
      </c>
      <c r="AB367" s="180">
        <f t="shared" si="147"/>
        <v>0</v>
      </c>
      <c r="AC367" s="180">
        <f t="shared" si="147"/>
        <v>0</v>
      </c>
      <c r="AD367" s="180">
        <f t="shared" si="147"/>
        <v>0</v>
      </c>
      <c r="AE367" s="180">
        <f t="shared" si="147"/>
        <v>0</v>
      </c>
      <c r="AF367" s="180">
        <f t="shared" si="147"/>
        <v>0</v>
      </c>
      <c r="AG367" s="180">
        <f t="shared" si="147"/>
        <v>0</v>
      </c>
      <c r="AH367" s="180">
        <f t="shared" si="147"/>
        <v>0</v>
      </c>
      <c r="AI367" s="180">
        <f t="shared" si="147"/>
        <v>0</v>
      </c>
      <c r="AJ367" s="180">
        <f t="shared" si="147"/>
        <v>0</v>
      </c>
      <c r="AK367" s="180">
        <f t="shared" si="147"/>
        <v>0</v>
      </c>
      <c r="AL367" s="180">
        <f t="shared" si="147"/>
        <v>0</v>
      </c>
      <c r="AM367" s="180">
        <f t="shared" si="147"/>
        <v>0</v>
      </c>
      <c r="AN367" s="180">
        <f t="shared" si="147"/>
        <v>0</v>
      </c>
      <c r="AO367" s="180">
        <f t="shared" si="147"/>
        <v>0</v>
      </c>
      <c r="AP367" s="180">
        <f t="shared" si="147"/>
        <v>0</v>
      </c>
    </row>
    <row r="368" spans="1:42" x14ac:dyDescent="0.2">
      <c r="A368" s="4">
        <f>A367+1</f>
        <v>2</v>
      </c>
      <c r="B368" s="178">
        <f t="shared" si="146"/>
        <v>0</v>
      </c>
      <c r="C368" s="180">
        <f t="shared" ref="C368:AP368" si="148">LOOKUP(C356,$B$299:$AP$299,$B$300:$AP$300)/100*$B704</f>
        <v>0</v>
      </c>
      <c r="D368" s="180">
        <f t="shared" si="148"/>
        <v>0</v>
      </c>
      <c r="E368" s="180">
        <f t="shared" si="148"/>
        <v>0</v>
      </c>
      <c r="F368" s="180">
        <f t="shared" si="148"/>
        <v>0</v>
      </c>
      <c r="G368" s="180">
        <f t="shared" si="148"/>
        <v>0</v>
      </c>
      <c r="H368" s="180">
        <f t="shared" si="148"/>
        <v>0</v>
      </c>
      <c r="I368" s="180">
        <f t="shared" si="148"/>
        <v>0</v>
      </c>
      <c r="J368" s="180">
        <f t="shared" si="148"/>
        <v>0</v>
      </c>
      <c r="K368" s="180">
        <f t="shared" si="148"/>
        <v>0</v>
      </c>
      <c r="L368" s="180">
        <f t="shared" si="148"/>
        <v>0</v>
      </c>
      <c r="M368" s="180">
        <f t="shared" si="148"/>
        <v>0</v>
      </c>
      <c r="N368" s="180">
        <f t="shared" si="148"/>
        <v>0</v>
      </c>
      <c r="O368" s="180">
        <f t="shared" si="148"/>
        <v>0</v>
      </c>
      <c r="P368" s="180">
        <f t="shared" si="148"/>
        <v>0</v>
      </c>
      <c r="Q368" s="180">
        <f t="shared" si="148"/>
        <v>0</v>
      </c>
      <c r="R368" s="180">
        <f t="shared" si="148"/>
        <v>0</v>
      </c>
      <c r="S368" s="180">
        <f t="shared" si="148"/>
        <v>0</v>
      </c>
      <c r="T368" s="180">
        <f t="shared" si="148"/>
        <v>0</v>
      </c>
      <c r="U368" s="180">
        <f t="shared" si="148"/>
        <v>0</v>
      </c>
      <c r="V368" s="180">
        <f t="shared" si="148"/>
        <v>0</v>
      </c>
      <c r="W368" s="180">
        <f t="shared" si="148"/>
        <v>0</v>
      </c>
      <c r="X368" s="180">
        <f t="shared" si="148"/>
        <v>0</v>
      </c>
      <c r="Y368" s="180">
        <f t="shared" si="148"/>
        <v>0</v>
      </c>
      <c r="Z368" s="180">
        <f t="shared" si="148"/>
        <v>0</v>
      </c>
      <c r="AA368" s="180">
        <f t="shared" si="148"/>
        <v>0</v>
      </c>
      <c r="AB368" s="180">
        <f t="shared" si="148"/>
        <v>0</v>
      </c>
      <c r="AC368" s="180">
        <f t="shared" si="148"/>
        <v>0</v>
      </c>
      <c r="AD368" s="180">
        <f t="shared" si="148"/>
        <v>0</v>
      </c>
      <c r="AE368" s="180">
        <f t="shared" si="148"/>
        <v>0</v>
      </c>
      <c r="AF368" s="180">
        <f t="shared" si="148"/>
        <v>0</v>
      </c>
      <c r="AG368" s="180">
        <f t="shared" si="148"/>
        <v>0</v>
      </c>
      <c r="AH368" s="180">
        <f t="shared" si="148"/>
        <v>0</v>
      </c>
      <c r="AI368" s="180">
        <f t="shared" si="148"/>
        <v>0</v>
      </c>
      <c r="AJ368" s="180">
        <f t="shared" si="148"/>
        <v>0</v>
      </c>
      <c r="AK368" s="180">
        <f t="shared" si="148"/>
        <v>0</v>
      </c>
      <c r="AL368" s="180">
        <f t="shared" si="148"/>
        <v>0</v>
      </c>
      <c r="AM368" s="180">
        <f t="shared" si="148"/>
        <v>0</v>
      </c>
      <c r="AN368" s="180">
        <f t="shared" si="148"/>
        <v>0</v>
      </c>
      <c r="AO368" s="180">
        <f t="shared" si="148"/>
        <v>0</v>
      </c>
      <c r="AP368" s="180">
        <f t="shared" si="148"/>
        <v>0</v>
      </c>
    </row>
    <row r="369" spans="1:42" x14ac:dyDescent="0.2">
      <c r="A369" s="4">
        <f t="shared" ref="A369:A376" si="149">A368+1</f>
        <v>3</v>
      </c>
      <c r="B369" s="178">
        <f t="shared" si="146"/>
        <v>0</v>
      </c>
      <c r="C369" s="180">
        <f t="shared" ref="C369:AP369" si="150">LOOKUP(C357,$B$299:$AP$299,$B$300:$AP$300)/100*$B705</f>
        <v>0</v>
      </c>
      <c r="D369" s="180">
        <f t="shared" si="150"/>
        <v>0</v>
      </c>
      <c r="E369" s="180">
        <f t="shared" si="150"/>
        <v>0</v>
      </c>
      <c r="F369" s="180">
        <f t="shared" si="150"/>
        <v>0</v>
      </c>
      <c r="G369" s="180">
        <f t="shared" si="150"/>
        <v>0</v>
      </c>
      <c r="H369" s="180">
        <f t="shared" si="150"/>
        <v>0</v>
      </c>
      <c r="I369" s="180">
        <f t="shared" si="150"/>
        <v>0</v>
      </c>
      <c r="J369" s="180">
        <f t="shared" si="150"/>
        <v>0</v>
      </c>
      <c r="K369" s="180">
        <f t="shared" si="150"/>
        <v>0</v>
      </c>
      <c r="L369" s="180">
        <f t="shared" si="150"/>
        <v>0</v>
      </c>
      <c r="M369" s="180">
        <f t="shared" si="150"/>
        <v>0</v>
      </c>
      <c r="N369" s="180">
        <f t="shared" si="150"/>
        <v>0</v>
      </c>
      <c r="O369" s="180">
        <f t="shared" si="150"/>
        <v>0</v>
      </c>
      <c r="P369" s="180">
        <f t="shared" si="150"/>
        <v>0</v>
      </c>
      <c r="Q369" s="180">
        <f t="shared" si="150"/>
        <v>0</v>
      </c>
      <c r="R369" s="180">
        <f t="shared" si="150"/>
        <v>0</v>
      </c>
      <c r="S369" s="180">
        <f t="shared" si="150"/>
        <v>0</v>
      </c>
      <c r="T369" s="180">
        <f t="shared" si="150"/>
        <v>0</v>
      </c>
      <c r="U369" s="180">
        <f t="shared" si="150"/>
        <v>0</v>
      </c>
      <c r="V369" s="180">
        <f t="shared" si="150"/>
        <v>0</v>
      </c>
      <c r="W369" s="180">
        <f t="shared" si="150"/>
        <v>0</v>
      </c>
      <c r="X369" s="180">
        <f t="shared" si="150"/>
        <v>0</v>
      </c>
      <c r="Y369" s="180">
        <f t="shared" si="150"/>
        <v>0</v>
      </c>
      <c r="Z369" s="180">
        <f t="shared" si="150"/>
        <v>0</v>
      </c>
      <c r="AA369" s="180">
        <f t="shared" si="150"/>
        <v>0</v>
      </c>
      <c r="AB369" s="180">
        <f t="shared" si="150"/>
        <v>0</v>
      </c>
      <c r="AC369" s="180">
        <f t="shared" si="150"/>
        <v>0</v>
      </c>
      <c r="AD369" s="180">
        <f t="shared" si="150"/>
        <v>0</v>
      </c>
      <c r="AE369" s="180">
        <f t="shared" si="150"/>
        <v>0</v>
      </c>
      <c r="AF369" s="180">
        <f t="shared" si="150"/>
        <v>0</v>
      </c>
      <c r="AG369" s="180">
        <f t="shared" si="150"/>
        <v>0</v>
      </c>
      <c r="AH369" s="180">
        <f t="shared" si="150"/>
        <v>0</v>
      </c>
      <c r="AI369" s="180">
        <f t="shared" si="150"/>
        <v>0</v>
      </c>
      <c r="AJ369" s="180">
        <f t="shared" si="150"/>
        <v>0</v>
      </c>
      <c r="AK369" s="180">
        <f t="shared" si="150"/>
        <v>0</v>
      </c>
      <c r="AL369" s="180">
        <f t="shared" si="150"/>
        <v>0</v>
      </c>
      <c r="AM369" s="180">
        <f t="shared" si="150"/>
        <v>0</v>
      </c>
      <c r="AN369" s="180">
        <f t="shared" si="150"/>
        <v>0</v>
      </c>
      <c r="AO369" s="180">
        <f t="shared" si="150"/>
        <v>0</v>
      </c>
      <c r="AP369" s="180">
        <f t="shared" si="150"/>
        <v>0</v>
      </c>
    </row>
    <row r="370" spans="1:42" x14ac:dyDescent="0.2">
      <c r="A370" s="4">
        <f t="shared" si="149"/>
        <v>4</v>
      </c>
      <c r="B370" s="178">
        <f t="shared" si="146"/>
        <v>0</v>
      </c>
      <c r="C370" s="180">
        <f t="shared" ref="C370:AP370" si="151">LOOKUP(C358,$B$299:$AP$299,$B$300:$AP$300)/100*$B706</f>
        <v>0</v>
      </c>
      <c r="D370" s="180">
        <f t="shared" si="151"/>
        <v>0</v>
      </c>
      <c r="E370" s="180">
        <f t="shared" si="151"/>
        <v>0</v>
      </c>
      <c r="F370" s="180">
        <f t="shared" si="151"/>
        <v>0</v>
      </c>
      <c r="G370" s="180">
        <f t="shared" si="151"/>
        <v>0</v>
      </c>
      <c r="H370" s="180">
        <f t="shared" si="151"/>
        <v>0</v>
      </c>
      <c r="I370" s="180">
        <f t="shared" si="151"/>
        <v>0</v>
      </c>
      <c r="J370" s="180">
        <f t="shared" si="151"/>
        <v>0</v>
      </c>
      <c r="K370" s="180">
        <f t="shared" si="151"/>
        <v>0</v>
      </c>
      <c r="L370" s="180">
        <f t="shared" si="151"/>
        <v>0</v>
      </c>
      <c r="M370" s="180">
        <f t="shared" si="151"/>
        <v>0</v>
      </c>
      <c r="N370" s="180">
        <f t="shared" si="151"/>
        <v>0</v>
      </c>
      <c r="O370" s="180">
        <f t="shared" si="151"/>
        <v>0</v>
      </c>
      <c r="P370" s="180">
        <f t="shared" si="151"/>
        <v>0</v>
      </c>
      <c r="Q370" s="180">
        <f t="shared" si="151"/>
        <v>0</v>
      </c>
      <c r="R370" s="180">
        <f t="shared" si="151"/>
        <v>0</v>
      </c>
      <c r="S370" s="180">
        <f t="shared" si="151"/>
        <v>0</v>
      </c>
      <c r="T370" s="180">
        <f t="shared" si="151"/>
        <v>0</v>
      </c>
      <c r="U370" s="180">
        <f t="shared" si="151"/>
        <v>0</v>
      </c>
      <c r="V370" s="180">
        <f t="shared" si="151"/>
        <v>0</v>
      </c>
      <c r="W370" s="180">
        <f t="shared" si="151"/>
        <v>0</v>
      </c>
      <c r="X370" s="180">
        <f t="shared" si="151"/>
        <v>0</v>
      </c>
      <c r="Y370" s="180">
        <f t="shared" si="151"/>
        <v>0</v>
      </c>
      <c r="Z370" s="180">
        <f t="shared" si="151"/>
        <v>0</v>
      </c>
      <c r="AA370" s="180">
        <f t="shared" si="151"/>
        <v>0</v>
      </c>
      <c r="AB370" s="180">
        <f t="shared" si="151"/>
        <v>0</v>
      </c>
      <c r="AC370" s="180">
        <f t="shared" si="151"/>
        <v>0</v>
      </c>
      <c r="AD370" s="180">
        <f t="shared" si="151"/>
        <v>0</v>
      </c>
      <c r="AE370" s="180">
        <f t="shared" si="151"/>
        <v>0</v>
      </c>
      <c r="AF370" s="180">
        <f t="shared" si="151"/>
        <v>0</v>
      </c>
      <c r="AG370" s="180">
        <f t="shared" si="151"/>
        <v>0</v>
      </c>
      <c r="AH370" s="180">
        <f t="shared" si="151"/>
        <v>0</v>
      </c>
      <c r="AI370" s="180">
        <f t="shared" si="151"/>
        <v>0</v>
      </c>
      <c r="AJ370" s="180">
        <f t="shared" si="151"/>
        <v>0</v>
      </c>
      <c r="AK370" s="180">
        <f t="shared" si="151"/>
        <v>0</v>
      </c>
      <c r="AL370" s="180">
        <f t="shared" si="151"/>
        <v>0</v>
      </c>
      <c r="AM370" s="180">
        <f t="shared" si="151"/>
        <v>0</v>
      </c>
      <c r="AN370" s="180">
        <f t="shared" si="151"/>
        <v>0</v>
      </c>
      <c r="AO370" s="180">
        <f t="shared" si="151"/>
        <v>0</v>
      </c>
      <c r="AP370" s="180">
        <f t="shared" si="151"/>
        <v>0</v>
      </c>
    </row>
    <row r="371" spans="1:42" x14ac:dyDescent="0.2">
      <c r="A371" s="4">
        <f t="shared" si="149"/>
        <v>5</v>
      </c>
      <c r="B371" s="178">
        <f t="shared" si="146"/>
        <v>0</v>
      </c>
      <c r="C371" s="180">
        <f t="shared" ref="C371:AP371" si="152">LOOKUP(C359,$B$299:$AP$299,$B$300:$AP$300)/100*$B707</f>
        <v>0</v>
      </c>
      <c r="D371" s="180">
        <f t="shared" si="152"/>
        <v>0</v>
      </c>
      <c r="E371" s="180">
        <f t="shared" si="152"/>
        <v>0</v>
      </c>
      <c r="F371" s="180">
        <f t="shared" si="152"/>
        <v>0</v>
      </c>
      <c r="G371" s="180">
        <f t="shared" si="152"/>
        <v>0</v>
      </c>
      <c r="H371" s="180">
        <f t="shared" si="152"/>
        <v>0</v>
      </c>
      <c r="I371" s="180">
        <f t="shared" si="152"/>
        <v>0</v>
      </c>
      <c r="J371" s="180">
        <f t="shared" si="152"/>
        <v>0</v>
      </c>
      <c r="K371" s="180">
        <f t="shared" si="152"/>
        <v>0</v>
      </c>
      <c r="L371" s="180">
        <f t="shared" si="152"/>
        <v>0</v>
      </c>
      <c r="M371" s="180">
        <f t="shared" si="152"/>
        <v>0</v>
      </c>
      <c r="N371" s="180">
        <f t="shared" si="152"/>
        <v>0</v>
      </c>
      <c r="O371" s="180">
        <f t="shared" si="152"/>
        <v>0</v>
      </c>
      <c r="P371" s="180">
        <f t="shared" si="152"/>
        <v>0</v>
      </c>
      <c r="Q371" s="180">
        <f t="shared" si="152"/>
        <v>0</v>
      </c>
      <c r="R371" s="180">
        <f t="shared" si="152"/>
        <v>0</v>
      </c>
      <c r="S371" s="180">
        <f t="shared" si="152"/>
        <v>0</v>
      </c>
      <c r="T371" s="180">
        <f t="shared" si="152"/>
        <v>0</v>
      </c>
      <c r="U371" s="180">
        <f t="shared" si="152"/>
        <v>0</v>
      </c>
      <c r="V371" s="180">
        <f t="shared" si="152"/>
        <v>0</v>
      </c>
      <c r="W371" s="180">
        <f t="shared" si="152"/>
        <v>0</v>
      </c>
      <c r="X371" s="180">
        <f t="shared" si="152"/>
        <v>0</v>
      </c>
      <c r="Y371" s="180">
        <f t="shared" si="152"/>
        <v>0</v>
      </c>
      <c r="Z371" s="180">
        <f t="shared" si="152"/>
        <v>0</v>
      </c>
      <c r="AA371" s="180">
        <f t="shared" si="152"/>
        <v>0</v>
      </c>
      <c r="AB371" s="180">
        <f t="shared" si="152"/>
        <v>0</v>
      </c>
      <c r="AC371" s="180">
        <f t="shared" si="152"/>
        <v>0</v>
      </c>
      <c r="AD371" s="180">
        <f t="shared" si="152"/>
        <v>0</v>
      </c>
      <c r="AE371" s="180">
        <f t="shared" si="152"/>
        <v>0</v>
      </c>
      <c r="AF371" s="180">
        <f t="shared" si="152"/>
        <v>0</v>
      </c>
      <c r="AG371" s="180">
        <f t="shared" si="152"/>
        <v>0</v>
      </c>
      <c r="AH371" s="180">
        <f t="shared" si="152"/>
        <v>0</v>
      </c>
      <c r="AI371" s="180">
        <f t="shared" si="152"/>
        <v>0</v>
      </c>
      <c r="AJ371" s="180">
        <f t="shared" si="152"/>
        <v>0</v>
      </c>
      <c r="AK371" s="180">
        <f t="shared" si="152"/>
        <v>0</v>
      </c>
      <c r="AL371" s="180">
        <f t="shared" si="152"/>
        <v>0</v>
      </c>
      <c r="AM371" s="180">
        <f t="shared" si="152"/>
        <v>0</v>
      </c>
      <c r="AN371" s="180">
        <f t="shared" si="152"/>
        <v>0</v>
      </c>
      <c r="AO371" s="180">
        <f t="shared" si="152"/>
        <v>0</v>
      </c>
      <c r="AP371" s="180">
        <f t="shared" si="152"/>
        <v>0</v>
      </c>
    </row>
    <row r="372" spans="1:42" x14ac:dyDescent="0.2">
      <c r="A372" s="4">
        <f t="shared" si="149"/>
        <v>6</v>
      </c>
      <c r="B372" s="178">
        <f t="shared" si="146"/>
        <v>0</v>
      </c>
      <c r="C372" s="180">
        <f t="shared" ref="C372:AP372" si="153">LOOKUP(C360,$B$299:$AP$299,$B$300:$AP$300)/100*$B708</f>
        <v>0</v>
      </c>
      <c r="D372" s="180">
        <f t="shared" si="153"/>
        <v>0</v>
      </c>
      <c r="E372" s="180">
        <f t="shared" si="153"/>
        <v>0</v>
      </c>
      <c r="F372" s="180">
        <f t="shared" si="153"/>
        <v>0</v>
      </c>
      <c r="G372" s="180">
        <f t="shared" si="153"/>
        <v>0</v>
      </c>
      <c r="H372" s="180">
        <f t="shared" si="153"/>
        <v>0</v>
      </c>
      <c r="I372" s="180">
        <f t="shared" si="153"/>
        <v>0</v>
      </c>
      <c r="J372" s="180">
        <f t="shared" si="153"/>
        <v>0</v>
      </c>
      <c r="K372" s="180">
        <f t="shared" si="153"/>
        <v>0</v>
      </c>
      <c r="L372" s="180">
        <f t="shared" si="153"/>
        <v>0</v>
      </c>
      <c r="M372" s="180">
        <f t="shared" si="153"/>
        <v>0</v>
      </c>
      <c r="N372" s="180">
        <f t="shared" si="153"/>
        <v>0</v>
      </c>
      <c r="O372" s="180">
        <f t="shared" si="153"/>
        <v>0</v>
      </c>
      <c r="P372" s="180">
        <f t="shared" si="153"/>
        <v>0</v>
      </c>
      <c r="Q372" s="180">
        <f t="shared" si="153"/>
        <v>0</v>
      </c>
      <c r="R372" s="180">
        <f t="shared" si="153"/>
        <v>0</v>
      </c>
      <c r="S372" s="180">
        <f t="shared" si="153"/>
        <v>0</v>
      </c>
      <c r="T372" s="180">
        <f t="shared" si="153"/>
        <v>0</v>
      </c>
      <c r="U372" s="180">
        <f t="shared" si="153"/>
        <v>0</v>
      </c>
      <c r="V372" s="180">
        <f t="shared" si="153"/>
        <v>0</v>
      </c>
      <c r="W372" s="180">
        <f t="shared" si="153"/>
        <v>0</v>
      </c>
      <c r="X372" s="180">
        <f t="shared" si="153"/>
        <v>0</v>
      </c>
      <c r="Y372" s="180">
        <f t="shared" si="153"/>
        <v>0</v>
      </c>
      <c r="Z372" s="180">
        <f t="shared" si="153"/>
        <v>0</v>
      </c>
      <c r="AA372" s="180">
        <f t="shared" si="153"/>
        <v>0</v>
      </c>
      <c r="AB372" s="180">
        <f t="shared" si="153"/>
        <v>0</v>
      </c>
      <c r="AC372" s="180">
        <f t="shared" si="153"/>
        <v>0</v>
      </c>
      <c r="AD372" s="180">
        <f t="shared" si="153"/>
        <v>0</v>
      </c>
      <c r="AE372" s="180">
        <f t="shared" si="153"/>
        <v>0</v>
      </c>
      <c r="AF372" s="180">
        <f t="shared" si="153"/>
        <v>0</v>
      </c>
      <c r="AG372" s="180">
        <f t="shared" si="153"/>
        <v>0</v>
      </c>
      <c r="AH372" s="180">
        <f t="shared" si="153"/>
        <v>0</v>
      </c>
      <c r="AI372" s="180">
        <f t="shared" si="153"/>
        <v>0</v>
      </c>
      <c r="AJ372" s="180">
        <f t="shared" si="153"/>
        <v>0</v>
      </c>
      <c r="AK372" s="180">
        <f t="shared" si="153"/>
        <v>0</v>
      </c>
      <c r="AL372" s="180">
        <f t="shared" si="153"/>
        <v>0</v>
      </c>
      <c r="AM372" s="180">
        <f t="shared" si="153"/>
        <v>0</v>
      </c>
      <c r="AN372" s="180">
        <f t="shared" si="153"/>
        <v>0</v>
      </c>
      <c r="AO372" s="180">
        <f t="shared" si="153"/>
        <v>0</v>
      </c>
      <c r="AP372" s="180">
        <f t="shared" si="153"/>
        <v>0</v>
      </c>
    </row>
    <row r="373" spans="1:42" x14ac:dyDescent="0.2">
      <c r="A373" s="4">
        <f t="shared" si="149"/>
        <v>7</v>
      </c>
      <c r="B373" s="178">
        <f t="shared" si="146"/>
        <v>0</v>
      </c>
      <c r="C373" s="180">
        <f t="shared" ref="C373:AP373" si="154">LOOKUP(C361,$B$299:$AP$299,$B$300:$AP$300)/100*$B709</f>
        <v>0</v>
      </c>
      <c r="D373" s="180">
        <f t="shared" si="154"/>
        <v>0</v>
      </c>
      <c r="E373" s="180">
        <f t="shared" si="154"/>
        <v>0</v>
      </c>
      <c r="F373" s="180">
        <f t="shared" si="154"/>
        <v>0</v>
      </c>
      <c r="G373" s="180">
        <f t="shared" si="154"/>
        <v>0</v>
      </c>
      <c r="H373" s="180">
        <f t="shared" si="154"/>
        <v>0</v>
      </c>
      <c r="I373" s="180">
        <f t="shared" si="154"/>
        <v>0</v>
      </c>
      <c r="J373" s="180">
        <f t="shared" si="154"/>
        <v>0</v>
      </c>
      <c r="K373" s="180">
        <f t="shared" si="154"/>
        <v>0</v>
      </c>
      <c r="L373" s="180">
        <f t="shared" si="154"/>
        <v>0</v>
      </c>
      <c r="M373" s="180">
        <f t="shared" si="154"/>
        <v>0</v>
      </c>
      <c r="N373" s="180">
        <f t="shared" si="154"/>
        <v>0</v>
      </c>
      <c r="O373" s="180">
        <f t="shared" si="154"/>
        <v>0</v>
      </c>
      <c r="P373" s="180">
        <f t="shared" si="154"/>
        <v>0</v>
      </c>
      <c r="Q373" s="180">
        <f t="shared" si="154"/>
        <v>0</v>
      </c>
      <c r="R373" s="180">
        <f t="shared" si="154"/>
        <v>0</v>
      </c>
      <c r="S373" s="180">
        <f t="shared" si="154"/>
        <v>0</v>
      </c>
      <c r="T373" s="180">
        <f t="shared" si="154"/>
        <v>0</v>
      </c>
      <c r="U373" s="180">
        <f t="shared" si="154"/>
        <v>0</v>
      </c>
      <c r="V373" s="180">
        <f t="shared" si="154"/>
        <v>0</v>
      </c>
      <c r="W373" s="180">
        <f t="shared" si="154"/>
        <v>0</v>
      </c>
      <c r="X373" s="180">
        <f t="shared" si="154"/>
        <v>0</v>
      </c>
      <c r="Y373" s="180">
        <f t="shared" si="154"/>
        <v>0</v>
      </c>
      <c r="Z373" s="180">
        <f t="shared" si="154"/>
        <v>0</v>
      </c>
      <c r="AA373" s="180">
        <f t="shared" si="154"/>
        <v>0</v>
      </c>
      <c r="AB373" s="180">
        <f t="shared" si="154"/>
        <v>0</v>
      </c>
      <c r="AC373" s="180">
        <f t="shared" si="154"/>
        <v>0</v>
      </c>
      <c r="AD373" s="180">
        <f t="shared" si="154"/>
        <v>0</v>
      </c>
      <c r="AE373" s="180">
        <f t="shared" si="154"/>
        <v>0</v>
      </c>
      <c r="AF373" s="180">
        <f t="shared" si="154"/>
        <v>0</v>
      </c>
      <c r="AG373" s="180">
        <f t="shared" si="154"/>
        <v>0</v>
      </c>
      <c r="AH373" s="180">
        <f t="shared" si="154"/>
        <v>0</v>
      </c>
      <c r="AI373" s="180">
        <f t="shared" si="154"/>
        <v>0</v>
      </c>
      <c r="AJ373" s="180">
        <f t="shared" si="154"/>
        <v>0</v>
      </c>
      <c r="AK373" s="180">
        <f t="shared" si="154"/>
        <v>0</v>
      </c>
      <c r="AL373" s="180">
        <f t="shared" si="154"/>
        <v>0</v>
      </c>
      <c r="AM373" s="180">
        <f t="shared" si="154"/>
        <v>0</v>
      </c>
      <c r="AN373" s="180">
        <f t="shared" si="154"/>
        <v>0</v>
      </c>
      <c r="AO373" s="180">
        <f t="shared" si="154"/>
        <v>0</v>
      </c>
      <c r="AP373" s="180">
        <f t="shared" si="154"/>
        <v>0</v>
      </c>
    </row>
    <row r="374" spans="1:42" x14ac:dyDescent="0.2">
      <c r="A374" s="4">
        <f t="shared" si="149"/>
        <v>8</v>
      </c>
      <c r="B374" s="178">
        <f t="shared" si="146"/>
        <v>0</v>
      </c>
      <c r="C374" s="180">
        <f t="shared" ref="C374:AP374" si="155">LOOKUP(C362,$B$299:$AP$299,$B$300:$AP$300)/100*$B710</f>
        <v>0</v>
      </c>
      <c r="D374" s="180">
        <f t="shared" si="155"/>
        <v>0</v>
      </c>
      <c r="E374" s="180">
        <f t="shared" si="155"/>
        <v>0</v>
      </c>
      <c r="F374" s="180">
        <f t="shared" si="155"/>
        <v>0</v>
      </c>
      <c r="G374" s="180">
        <f t="shared" si="155"/>
        <v>0</v>
      </c>
      <c r="H374" s="180">
        <f t="shared" si="155"/>
        <v>0</v>
      </c>
      <c r="I374" s="180">
        <f t="shared" si="155"/>
        <v>0</v>
      </c>
      <c r="J374" s="180">
        <f t="shared" si="155"/>
        <v>0</v>
      </c>
      <c r="K374" s="180">
        <f t="shared" si="155"/>
        <v>0</v>
      </c>
      <c r="L374" s="180">
        <f t="shared" si="155"/>
        <v>0</v>
      </c>
      <c r="M374" s="180">
        <f t="shared" si="155"/>
        <v>0</v>
      </c>
      <c r="N374" s="180">
        <f t="shared" si="155"/>
        <v>0</v>
      </c>
      <c r="O374" s="180">
        <f t="shared" si="155"/>
        <v>0</v>
      </c>
      <c r="P374" s="180">
        <f t="shared" si="155"/>
        <v>0</v>
      </c>
      <c r="Q374" s="180">
        <f t="shared" si="155"/>
        <v>0</v>
      </c>
      <c r="R374" s="180">
        <f t="shared" si="155"/>
        <v>0</v>
      </c>
      <c r="S374" s="180">
        <f t="shared" si="155"/>
        <v>0</v>
      </c>
      <c r="T374" s="180">
        <f t="shared" si="155"/>
        <v>0</v>
      </c>
      <c r="U374" s="180">
        <f t="shared" si="155"/>
        <v>0</v>
      </c>
      <c r="V374" s="180">
        <f t="shared" si="155"/>
        <v>0</v>
      </c>
      <c r="W374" s="180">
        <f t="shared" si="155"/>
        <v>0</v>
      </c>
      <c r="X374" s="180">
        <f t="shared" si="155"/>
        <v>0</v>
      </c>
      <c r="Y374" s="180">
        <f t="shared" si="155"/>
        <v>0</v>
      </c>
      <c r="Z374" s="180">
        <f t="shared" si="155"/>
        <v>0</v>
      </c>
      <c r="AA374" s="180">
        <f t="shared" si="155"/>
        <v>0</v>
      </c>
      <c r="AB374" s="180">
        <f t="shared" si="155"/>
        <v>0</v>
      </c>
      <c r="AC374" s="180">
        <f t="shared" si="155"/>
        <v>0</v>
      </c>
      <c r="AD374" s="180">
        <f t="shared" si="155"/>
        <v>0</v>
      </c>
      <c r="AE374" s="180">
        <f t="shared" si="155"/>
        <v>0</v>
      </c>
      <c r="AF374" s="180">
        <f t="shared" si="155"/>
        <v>0</v>
      </c>
      <c r="AG374" s="180">
        <f t="shared" si="155"/>
        <v>0</v>
      </c>
      <c r="AH374" s="180">
        <f t="shared" si="155"/>
        <v>0</v>
      </c>
      <c r="AI374" s="180">
        <f t="shared" si="155"/>
        <v>0</v>
      </c>
      <c r="AJ374" s="180">
        <f t="shared" si="155"/>
        <v>0</v>
      </c>
      <c r="AK374" s="180">
        <f t="shared" si="155"/>
        <v>0</v>
      </c>
      <c r="AL374" s="180">
        <f t="shared" si="155"/>
        <v>0</v>
      </c>
      <c r="AM374" s="180">
        <f t="shared" si="155"/>
        <v>0</v>
      </c>
      <c r="AN374" s="180">
        <f t="shared" si="155"/>
        <v>0</v>
      </c>
      <c r="AO374" s="180">
        <f t="shared" si="155"/>
        <v>0</v>
      </c>
      <c r="AP374" s="180">
        <f t="shared" si="155"/>
        <v>0</v>
      </c>
    </row>
    <row r="375" spans="1:42" x14ac:dyDescent="0.2">
      <c r="A375" s="4">
        <f>A374+1</f>
        <v>9</v>
      </c>
      <c r="B375" s="178">
        <f t="shared" si="146"/>
        <v>0</v>
      </c>
      <c r="C375" s="180">
        <f t="shared" ref="C375:AP375" si="156">LOOKUP(C363,$B$299:$AP$299,$B$300:$AP$300)/100*$B711</f>
        <v>0</v>
      </c>
      <c r="D375" s="180">
        <f t="shared" si="156"/>
        <v>0</v>
      </c>
      <c r="E375" s="180">
        <f t="shared" si="156"/>
        <v>0</v>
      </c>
      <c r="F375" s="180">
        <f t="shared" si="156"/>
        <v>0</v>
      </c>
      <c r="G375" s="180">
        <f t="shared" si="156"/>
        <v>0</v>
      </c>
      <c r="H375" s="180">
        <f t="shared" si="156"/>
        <v>0</v>
      </c>
      <c r="I375" s="180">
        <f t="shared" si="156"/>
        <v>0</v>
      </c>
      <c r="J375" s="180">
        <f t="shared" si="156"/>
        <v>0</v>
      </c>
      <c r="K375" s="180">
        <f t="shared" si="156"/>
        <v>0</v>
      </c>
      <c r="L375" s="180">
        <f t="shared" si="156"/>
        <v>0</v>
      </c>
      <c r="M375" s="180">
        <f t="shared" si="156"/>
        <v>0</v>
      </c>
      <c r="N375" s="180">
        <f t="shared" si="156"/>
        <v>0</v>
      </c>
      <c r="O375" s="180">
        <f t="shared" si="156"/>
        <v>0</v>
      </c>
      <c r="P375" s="180">
        <f t="shared" si="156"/>
        <v>0</v>
      </c>
      <c r="Q375" s="180">
        <f t="shared" si="156"/>
        <v>0</v>
      </c>
      <c r="R375" s="180">
        <f t="shared" si="156"/>
        <v>0</v>
      </c>
      <c r="S375" s="180">
        <f t="shared" si="156"/>
        <v>0</v>
      </c>
      <c r="T375" s="180">
        <f t="shared" si="156"/>
        <v>0</v>
      </c>
      <c r="U375" s="180">
        <f t="shared" si="156"/>
        <v>0</v>
      </c>
      <c r="V375" s="180">
        <f t="shared" si="156"/>
        <v>0</v>
      </c>
      <c r="W375" s="180">
        <f t="shared" si="156"/>
        <v>0</v>
      </c>
      <c r="X375" s="180">
        <f t="shared" si="156"/>
        <v>0</v>
      </c>
      <c r="Y375" s="180">
        <f t="shared" si="156"/>
        <v>0</v>
      </c>
      <c r="Z375" s="180">
        <f t="shared" si="156"/>
        <v>0</v>
      </c>
      <c r="AA375" s="180">
        <f t="shared" si="156"/>
        <v>0</v>
      </c>
      <c r="AB375" s="180">
        <f t="shared" si="156"/>
        <v>0</v>
      </c>
      <c r="AC375" s="180">
        <f t="shared" si="156"/>
        <v>0</v>
      </c>
      <c r="AD375" s="180">
        <f t="shared" si="156"/>
        <v>0</v>
      </c>
      <c r="AE375" s="180">
        <f t="shared" si="156"/>
        <v>0</v>
      </c>
      <c r="AF375" s="180">
        <f t="shared" si="156"/>
        <v>0</v>
      </c>
      <c r="AG375" s="180">
        <f t="shared" si="156"/>
        <v>0</v>
      </c>
      <c r="AH375" s="180">
        <f t="shared" si="156"/>
        <v>0</v>
      </c>
      <c r="AI375" s="180">
        <f t="shared" si="156"/>
        <v>0</v>
      </c>
      <c r="AJ375" s="180">
        <f t="shared" si="156"/>
        <v>0</v>
      </c>
      <c r="AK375" s="180">
        <f t="shared" si="156"/>
        <v>0</v>
      </c>
      <c r="AL375" s="180">
        <f t="shared" si="156"/>
        <v>0</v>
      </c>
      <c r="AM375" s="180">
        <f t="shared" si="156"/>
        <v>0</v>
      </c>
      <c r="AN375" s="180">
        <f t="shared" si="156"/>
        <v>0</v>
      </c>
      <c r="AO375" s="180">
        <f t="shared" si="156"/>
        <v>0</v>
      </c>
      <c r="AP375" s="180">
        <f t="shared" si="156"/>
        <v>0</v>
      </c>
    </row>
    <row r="376" spans="1:42" x14ac:dyDescent="0.2">
      <c r="A376" s="4">
        <f t="shared" si="149"/>
        <v>10</v>
      </c>
      <c r="B376" s="178">
        <f t="shared" si="146"/>
        <v>0</v>
      </c>
      <c r="C376" s="180">
        <f t="shared" ref="C376:AP376" si="157">LOOKUP(C364,$B$299:$AP$299,$B$300:$AP$300)/100*$B712</f>
        <v>0</v>
      </c>
      <c r="D376" s="180">
        <f t="shared" si="157"/>
        <v>0</v>
      </c>
      <c r="E376" s="180">
        <f t="shared" si="157"/>
        <v>0</v>
      </c>
      <c r="F376" s="180">
        <f t="shared" si="157"/>
        <v>0</v>
      </c>
      <c r="G376" s="180">
        <f t="shared" si="157"/>
        <v>0</v>
      </c>
      <c r="H376" s="180">
        <f t="shared" si="157"/>
        <v>0</v>
      </c>
      <c r="I376" s="180">
        <f t="shared" si="157"/>
        <v>0</v>
      </c>
      <c r="J376" s="180">
        <f t="shared" si="157"/>
        <v>0</v>
      </c>
      <c r="K376" s="180">
        <f t="shared" si="157"/>
        <v>0</v>
      </c>
      <c r="L376" s="180">
        <f t="shared" si="157"/>
        <v>0</v>
      </c>
      <c r="M376" s="180">
        <f t="shared" si="157"/>
        <v>0</v>
      </c>
      <c r="N376" s="180">
        <f t="shared" si="157"/>
        <v>0</v>
      </c>
      <c r="O376" s="180">
        <f t="shared" si="157"/>
        <v>0</v>
      </c>
      <c r="P376" s="180">
        <f t="shared" si="157"/>
        <v>0</v>
      </c>
      <c r="Q376" s="180">
        <f t="shared" si="157"/>
        <v>0</v>
      </c>
      <c r="R376" s="180">
        <f t="shared" si="157"/>
        <v>0</v>
      </c>
      <c r="S376" s="180">
        <f t="shared" si="157"/>
        <v>0</v>
      </c>
      <c r="T376" s="180">
        <f t="shared" si="157"/>
        <v>0</v>
      </c>
      <c r="U376" s="180">
        <f t="shared" si="157"/>
        <v>0</v>
      </c>
      <c r="V376" s="180">
        <f t="shared" si="157"/>
        <v>0</v>
      </c>
      <c r="W376" s="180">
        <f t="shared" si="157"/>
        <v>0</v>
      </c>
      <c r="X376" s="180">
        <f t="shared" si="157"/>
        <v>0</v>
      </c>
      <c r="Y376" s="180">
        <f t="shared" si="157"/>
        <v>0</v>
      </c>
      <c r="Z376" s="180">
        <f t="shared" si="157"/>
        <v>0</v>
      </c>
      <c r="AA376" s="180">
        <f t="shared" si="157"/>
        <v>0</v>
      </c>
      <c r="AB376" s="180">
        <f t="shared" si="157"/>
        <v>0</v>
      </c>
      <c r="AC376" s="180">
        <f t="shared" si="157"/>
        <v>0</v>
      </c>
      <c r="AD376" s="180">
        <f t="shared" si="157"/>
        <v>0</v>
      </c>
      <c r="AE376" s="180">
        <f t="shared" si="157"/>
        <v>0</v>
      </c>
      <c r="AF376" s="180">
        <f t="shared" si="157"/>
        <v>0</v>
      </c>
      <c r="AG376" s="180">
        <f t="shared" si="157"/>
        <v>0</v>
      </c>
      <c r="AH376" s="180">
        <f t="shared" si="157"/>
        <v>0</v>
      </c>
      <c r="AI376" s="180">
        <f t="shared" si="157"/>
        <v>0</v>
      </c>
      <c r="AJ376" s="180">
        <f t="shared" si="157"/>
        <v>0</v>
      </c>
      <c r="AK376" s="180">
        <f t="shared" si="157"/>
        <v>0</v>
      </c>
      <c r="AL376" s="180">
        <f t="shared" si="157"/>
        <v>0</v>
      </c>
      <c r="AM376" s="180">
        <f t="shared" si="157"/>
        <v>0</v>
      </c>
      <c r="AN376" s="180">
        <f t="shared" si="157"/>
        <v>0</v>
      </c>
      <c r="AO376" s="180">
        <f t="shared" si="157"/>
        <v>0</v>
      </c>
      <c r="AP376" s="180">
        <f t="shared" si="157"/>
        <v>0</v>
      </c>
    </row>
    <row r="377" spans="1:42" ht="12" customHeight="1" x14ac:dyDescent="0.2">
      <c r="A377" s="27" t="s">
        <v>13</v>
      </c>
      <c r="B377" s="15"/>
      <c r="C377" s="163">
        <f>SUM(C367:C376)</f>
        <v>0</v>
      </c>
      <c r="D377" s="163">
        <f t="shared" ref="D377:AP377" si="158">SUM(D367:D376)</f>
        <v>0</v>
      </c>
      <c r="E377" s="163">
        <f t="shared" si="158"/>
        <v>0</v>
      </c>
      <c r="F377" s="163">
        <f t="shared" si="158"/>
        <v>0</v>
      </c>
      <c r="G377" s="163">
        <f t="shared" si="158"/>
        <v>0</v>
      </c>
      <c r="H377" s="163">
        <f t="shared" si="158"/>
        <v>0</v>
      </c>
      <c r="I377" s="163">
        <f t="shared" si="158"/>
        <v>0</v>
      </c>
      <c r="J377" s="163">
        <f t="shared" si="158"/>
        <v>0</v>
      </c>
      <c r="K377" s="163">
        <f t="shared" si="158"/>
        <v>0</v>
      </c>
      <c r="L377" s="163">
        <f t="shared" si="158"/>
        <v>0</v>
      </c>
      <c r="M377" s="163">
        <f t="shared" si="158"/>
        <v>0</v>
      </c>
      <c r="N377" s="163">
        <f t="shared" si="158"/>
        <v>0</v>
      </c>
      <c r="O377" s="163">
        <f t="shared" si="158"/>
        <v>0</v>
      </c>
      <c r="P377" s="163">
        <f t="shared" si="158"/>
        <v>0</v>
      </c>
      <c r="Q377" s="163">
        <f t="shared" si="158"/>
        <v>0</v>
      </c>
      <c r="R377" s="163">
        <f t="shared" si="158"/>
        <v>0</v>
      </c>
      <c r="S377" s="163">
        <f t="shared" si="158"/>
        <v>0</v>
      </c>
      <c r="T377" s="163">
        <f t="shared" si="158"/>
        <v>0</v>
      </c>
      <c r="U377" s="163">
        <f t="shared" si="158"/>
        <v>0</v>
      </c>
      <c r="V377" s="163">
        <f t="shared" si="158"/>
        <v>0</v>
      </c>
      <c r="W377" s="163">
        <f t="shared" si="158"/>
        <v>0</v>
      </c>
      <c r="X377" s="163">
        <f t="shared" si="158"/>
        <v>0</v>
      </c>
      <c r="Y377" s="163">
        <f t="shared" si="158"/>
        <v>0</v>
      </c>
      <c r="Z377" s="163">
        <f t="shared" si="158"/>
        <v>0</v>
      </c>
      <c r="AA377" s="163">
        <f t="shared" si="158"/>
        <v>0</v>
      </c>
      <c r="AB377" s="163">
        <f t="shared" si="158"/>
        <v>0</v>
      </c>
      <c r="AC377" s="163">
        <f t="shared" si="158"/>
        <v>0</v>
      </c>
      <c r="AD377" s="163">
        <f t="shared" si="158"/>
        <v>0</v>
      </c>
      <c r="AE377" s="163">
        <f t="shared" si="158"/>
        <v>0</v>
      </c>
      <c r="AF377" s="163">
        <f t="shared" si="158"/>
        <v>0</v>
      </c>
      <c r="AG377" s="163">
        <f t="shared" si="158"/>
        <v>0</v>
      </c>
      <c r="AH377" s="163">
        <f t="shared" si="158"/>
        <v>0</v>
      </c>
      <c r="AI377" s="163">
        <f t="shared" si="158"/>
        <v>0</v>
      </c>
      <c r="AJ377" s="163">
        <f t="shared" si="158"/>
        <v>0</v>
      </c>
      <c r="AK377" s="163">
        <f t="shared" si="158"/>
        <v>0</v>
      </c>
      <c r="AL377" s="163">
        <f t="shared" si="158"/>
        <v>0</v>
      </c>
      <c r="AM377" s="163">
        <f t="shared" si="158"/>
        <v>0</v>
      </c>
      <c r="AN377" s="163">
        <f t="shared" si="158"/>
        <v>0</v>
      </c>
      <c r="AO377" s="163">
        <f t="shared" si="158"/>
        <v>0</v>
      </c>
      <c r="AP377" s="163">
        <f t="shared" si="158"/>
        <v>0</v>
      </c>
    </row>
    <row r="378" spans="1:42" x14ac:dyDescent="0.2">
      <c r="A378" s="22"/>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row>
    <row r="379" spans="1:42" x14ac:dyDescent="0.2">
      <c r="A379" s="20" t="s">
        <v>96</v>
      </c>
    </row>
    <row r="380" spans="1:42" x14ac:dyDescent="0.2">
      <c r="A380" s="4" t="s">
        <v>22</v>
      </c>
      <c r="G380" s="325" t="s">
        <v>65</v>
      </c>
      <c r="H380" s="326"/>
      <c r="I380" s="326"/>
      <c r="J380" s="327"/>
      <c r="K380" s="328" t="s">
        <v>66</v>
      </c>
      <c r="L380" s="329"/>
    </row>
    <row r="381" spans="1:42" ht="51" x14ac:dyDescent="0.2">
      <c r="B381" s="14" t="s">
        <v>55</v>
      </c>
      <c r="C381" s="14" t="s">
        <v>51</v>
      </c>
      <c r="D381" s="14" t="s">
        <v>53</v>
      </c>
      <c r="E381" s="24" t="s">
        <v>54</v>
      </c>
      <c r="F381" s="14" t="s">
        <v>56</v>
      </c>
      <c r="G381" s="14" t="s">
        <v>60</v>
      </c>
      <c r="H381" s="14" t="s">
        <v>62</v>
      </c>
      <c r="I381" s="52" t="s">
        <v>61</v>
      </c>
      <c r="J381" s="14" t="s">
        <v>63</v>
      </c>
      <c r="K381" s="14" t="s">
        <v>61</v>
      </c>
      <c r="L381" s="144" t="s">
        <v>63</v>
      </c>
      <c r="M381" s="25" t="s">
        <v>67</v>
      </c>
      <c r="N381" s="25" t="s">
        <v>68</v>
      </c>
      <c r="O381" s="14" t="s">
        <v>57</v>
      </c>
      <c r="P381" s="143" t="s">
        <v>87</v>
      </c>
      <c r="Q381" s="14" t="s">
        <v>88</v>
      </c>
    </row>
    <row r="382" spans="1:42" x14ac:dyDescent="0.2">
      <c r="A382" s="22" t="str">
        <f t="shared" ref="A382:A387" si="159">A246</f>
        <v>5-yr MACRS</v>
      </c>
      <c r="B382" s="217">
        <f>IF(Inputs!$C$145=0,0,depr_alloc_macrs_5_percent*100/Inputs!$C$145)</f>
        <v>92.783505154639172</v>
      </c>
      <c r="C382" s="123">
        <f>-$B$102*depr_alloc_macrs_5_percent/100</f>
        <v>102296832.75</v>
      </c>
      <c r="D382" s="123">
        <f t="shared" ref="D382:E388" si="160">$B382/100*D$389</f>
        <v>0</v>
      </c>
      <c r="E382" s="123">
        <f t="shared" si="160"/>
        <v>0</v>
      </c>
      <c r="F382" s="125">
        <f>C382-D382-E382</f>
        <v>102296832.75</v>
      </c>
      <c r="G382" s="126">
        <f>IF(depr_itc_fed_macrs_5="Yes",F382,0)</f>
        <v>102296832.75</v>
      </c>
      <c r="H382" s="136">
        <f t="shared" ref="H382:H388" si="161">IF($G$389=0,0,G382/$G$389)*100</f>
        <v>100</v>
      </c>
      <c r="I382" s="129">
        <f t="shared" ref="I382:I388" si="162">$I$389*H382/100</f>
        <v>30689049.824999999</v>
      </c>
      <c r="J382" s="130">
        <f>I382*0.5</f>
        <v>15344524.9125</v>
      </c>
      <c r="K382" s="125">
        <f t="shared" ref="K382:K388" si="163">H382/100*$K$389</f>
        <v>0</v>
      </c>
      <c r="L382" s="125">
        <f>K382*0.5</f>
        <v>0</v>
      </c>
      <c r="M382" s="123">
        <f t="shared" ref="M382:M388" si="164">IF(itc_sta_amount_deprbas_fed="Yes",L246,0)+IF(itc_sta_percent_deprbas_fed="Yes",J246,0)</f>
        <v>0</v>
      </c>
      <c r="N382" s="123">
        <f t="shared" ref="N382:N388" si="165">IF(itc_fed_amount_deprbas_fed="Yes",L382,0)+IF(itc_fed_percent_deprbas_fed="Yes",J382,0)</f>
        <v>15344524.9125</v>
      </c>
      <c r="O382" s="131">
        <f t="shared" ref="O382:O386" si="166">F382-M382-N382</f>
        <v>86952307.837500006</v>
      </c>
      <c r="P382" s="123">
        <f>IF(depr_bonus_fed_macrs_5="Yes",O382*depr_bonus_fed/100,0)</f>
        <v>0</v>
      </c>
      <c r="Q382" s="125">
        <f>O382-P382</f>
        <v>86952307.837500006</v>
      </c>
    </row>
    <row r="383" spans="1:42" x14ac:dyDescent="0.2">
      <c r="A383" s="22" t="str">
        <f t="shared" si="159"/>
        <v>15-yr MACRS</v>
      </c>
      <c r="B383" s="217">
        <f>IF(Inputs!$C$145=0,0,depr_alloc_macrs_15_percent*100/Inputs!$C$145)</f>
        <v>1.5463917525773196</v>
      </c>
      <c r="C383" s="123">
        <f>-$B$102*depr_alloc_macrs_15_percent/100</f>
        <v>1704947.2124999999</v>
      </c>
      <c r="D383" s="123">
        <f t="shared" si="160"/>
        <v>0</v>
      </c>
      <c r="E383" s="123">
        <f t="shared" si="160"/>
        <v>0</v>
      </c>
      <c r="F383" s="125">
        <f t="shared" ref="F383:F386" si="167">C383-D383-E383</f>
        <v>1704947.2124999999</v>
      </c>
      <c r="G383" s="127">
        <f>IF(depr_itc_fed_macrs_15="Yes",F383,0)</f>
        <v>0</v>
      </c>
      <c r="H383" s="137">
        <f t="shared" si="161"/>
        <v>0</v>
      </c>
      <c r="I383" s="123">
        <f t="shared" si="162"/>
        <v>0</v>
      </c>
      <c r="J383" s="132">
        <f t="shared" ref="J383:J388" si="168">I383*0.5</f>
        <v>0</v>
      </c>
      <c r="K383" s="125">
        <f t="shared" si="163"/>
        <v>0</v>
      </c>
      <c r="L383" s="125">
        <f t="shared" ref="L383:L388" si="169">K383*0.5</f>
        <v>0</v>
      </c>
      <c r="M383" s="123">
        <f t="shared" si="164"/>
        <v>0</v>
      </c>
      <c r="N383" s="123">
        <f t="shared" si="165"/>
        <v>0</v>
      </c>
      <c r="O383" s="125">
        <f t="shared" si="166"/>
        <v>1704947.2124999999</v>
      </c>
      <c r="P383" s="123">
        <f>IF(depr_bonus_fed_macrs_15="Yes",O383*depr_bonus_fed/100,0)</f>
        <v>0</v>
      </c>
      <c r="Q383" s="125">
        <f t="shared" ref="Q383:Q386" si="170">O383-P383</f>
        <v>1704947.2124999999</v>
      </c>
    </row>
    <row r="384" spans="1:42" x14ac:dyDescent="0.2">
      <c r="A384" s="22" t="str">
        <f t="shared" si="159"/>
        <v>5-yr SL</v>
      </c>
      <c r="B384" s="217">
        <f>IF(Inputs!$C$145=0,0,depr_alloc_sl_5_percent*100/Inputs!$C$145)</f>
        <v>0</v>
      </c>
      <c r="C384" s="123">
        <f>-$B$102*depr_alloc_sl_5_percent/100</f>
        <v>0</v>
      </c>
      <c r="D384" s="123">
        <f t="shared" si="160"/>
        <v>0</v>
      </c>
      <c r="E384" s="123">
        <f t="shared" si="160"/>
        <v>0</v>
      </c>
      <c r="F384" s="125">
        <f t="shared" si="167"/>
        <v>0</v>
      </c>
      <c r="G384" s="127">
        <f>IF(depr_itc_fed_sl_5="Yes",F384,0)</f>
        <v>0</v>
      </c>
      <c r="H384" s="137">
        <f t="shared" si="161"/>
        <v>0</v>
      </c>
      <c r="I384" s="123">
        <f t="shared" si="162"/>
        <v>0</v>
      </c>
      <c r="J384" s="132">
        <f t="shared" si="168"/>
        <v>0</v>
      </c>
      <c r="K384" s="125">
        <f t="shared" si="163"/>
        <v>0</v>
      </c>
      <c r="L384" s="125">
        <f t="shared" si="169"/>
        <v>0</v>
      </c>
      <c r="M384" s="123">
        <f t="shared" si="164"/>
        <v>0</v>
      </c>
      <c r="N384" s="123">
        <f t="shared" si="165"/>
        <v>0</v>
      </c>
      <c r="O384" s="125">
        <f t="shared" si="166"/>
        <v>0</v>
      </c>
      <c r="P384" s="123">
        <f>IF(depr_bonus_fed_sl_5="Yes",O384*depr_bonus_fed/100,0)</f>
        <v>0</v>
      </c>
      <c r="Q384" s="125">
        <f t="shared" si="170"/>
        <v>0</v>
      </c>
    </row>
    <row r="385" spans="1:17" x14ac:dyDescent="0.2">
      <c r="A385" s="22" t="str">
        <f t="shared" si="159"/>
        <v>15-yr SL</v>
      </c>
      <c r="B385" s="217">
        <f>IF(Inputs!$C$145=0,0,depr_alloc_sl_15_percent*100/Inputs!$C$145)</f>
        <v>2.5773195876288661</v>
      </c>
      <c r="C385" s="123">
        <f>-$B$102*depr_alloc_sl_15_percent/100</f>
        <v>2841578.6875</v>
      </c>
      <c r="D385" s="123">
        <f t="shared" si="160"/>
        <v>0</v>
      </c>
      <c r="E385" s="123">
        <f t="shared" si="160"/>
        <v>0</v>
      </c>
      <c r="F385" s="125">
        <f t="shared" si="167"/>
        <v>2841578.6875</v>
      </c>
      <c r="G385" s="127">
        <f>IF(depr_itc_fed_sl_15="Yes",F385,0)</f>
        <v>0</v>
      </c>
      <c r="H385" s="137">
        <f t="shared" si="161"/>
        <v>0</v>
      </c>
      <c r="I385" s="123">
        <f t="shared" si="162"/>
        <v>0</v>
      </c>
      <c r="J385" s="132">
        <f t="shared" si="168"/>
        <v>0</v>
      </c>
      <c r="K385" s="125">
        <f t="shared" si="163"/>
        <v>0</v>
      </c>
      <c r="L385" s="125">
        <f t="shared" si="169"/>
        <v>0</v>
      </c>
      <c r="M385" s="123">
        <f t="shared" si="164"/>
        <v>0</v>
      </c>
      <c r="N385" s="123">
        <f t="shared" si="165"/>
        <v>0</v>
      </c>
      <c r="O385" s="125">
        <f t="shared" si="166"/>
        <v>2841578.6875</v>
      </c>
      <c r="P385" s="123">
        <f>IF(depr_bonus_fed_sl_15="Yes",O385*depr_bonus_fed/100,0)</f>
        <v>0</v>
      </c>
      <c r="Q385" s="125">
        <f t="shared" si="170"/>
        <v>2841578.6875</v>
      </c>
    </row>
    <row r="386" spans="1:17" x14ac:dyDescent="0.2">
      <c r="A386" s="22" t="str">
        <f t="shared" si="159"/>
        <v>20-yr SL</v>
      </c>
      <c r="B386" s="217">
        <f>IF(Inputs!$C$145=0,0,depr_alloc_sl_20_percent*100/Inputs!$C$145)</f>
        <v>3.0927835051546393</v>
      </c>
      <c r="C386" s="123">
        <f>-$B$102*depr_alloc_sl_20_percent/100</f>
        <v>3409894.4249999998</v>
      </c>
      <c r="D386" s="123">
        <f t="shared" si="160"/>
        <v>0</v>
      </c>
      <c r="E386" s="123">
        <f t="shared" si="160"/>
        <v>0</v>
      </c>
      <c r="F386" s="125">
        <f t="shared" si="167"/>
        <v>3409894.4249999998</v>
      </c>
      <c r="G386" s="127">
        <f>IF(depr_itc_fed_sl_20="Yes",F386,0)</f>
        <v>0</v>
      </c>
      <c r="H386" s="137">
        <f t="shared" si="161"/>
        <v>0</v>
      </c>
      <c r="I386" s="123">
        <f t="shared" si="162"/>
        <v>0</v>
      </c>
      <c r="J386" s="132">
        <f t="shared" si="168"/>
        <v>0</v>
      </c>
      <c r="K386" s="125">
        <f t="shared" si="163"/>
        <v>0</v>
      </c>
      <c r="L386" s="125">
        <f t="shared" si="169"/>
        <v>0</v>
      </c>
      <c r="M386" s="123">
        <f t="shared" si="164"/>
        <v>0</v>
      </c>
      <c r="N386" s="123">
        <f t="shared" si="165"/>
        <v>0</v>
      </c>
      <c r="O386" s="125">
        <f t="shared" si="166"/>
        <v>3409894.4249999998</v>
      </c>
      <c r="P386" s="123">
        <f>IF(depr_bonus_fed_sl_20="Yes",O386*depr_bonus_fed/100,0)</f>
        <v>0</v>
      </c>
      <c r="Q386" s="125">
        <f t="shared" si="170"/>
        <v>3409894.4249999998</v>
      </c>
    </row>
    <row r="387" spans="1:17" x14ac:dyDescent="0.2">
      <c r="A387" s="22" t="str">
        <f t="shared" si="159"/>
        <v>39-yr SL</v>
      </c>
      <c r="B387" s="217">
        <f>IF(Inputs!$C$145=0,0,depr_alloc_sl_39_percent*100/Inputs!$C$145)</f>
        <v>0</v>
      </c>
      <c r="C387" s="123">
        <f>-$B$102*depr_alloc_sl_39_percent/100</f>
        <v>0</v>
      </c>
      <c r="D387" s="123">
        <f t="shared" si="160"/>
        <v>0</v>
      </c>
      <c r="E387" s="123">
        <f t="shared" si="160"/>
        <v>0</v>
      </c>
      <c r="F387" s="125">
        <f>C387-D387-E387</f>
        <v>0</v>
      </c>
      <c r="G387" s="127">
        <f>IF(depr_itc_fed_sl_39="Yes",F387,0)</f>
        <v>0</v>
      </c>
      <c r="H387" s="137">
        <f t="shared" si="161"/>
        <v>0</v>
      </c>
      <c r="I387" s="123">
        <f t="shared" si="162"/>
        <v>0</v>
      </c>
      <c r="J387" s="132">
        <f t="shared" si="168"/>
        <v>0</v>
      </c>
      <c r="K387" s="125">
        <f t="shared" si="163"/>
        <v>0</v>
      </c>
      <c r="L387" s="125">
        <f t="shared" si="169"/>
        <v>0</v>
      </c>
      <c r="M387" s="127">
        <f t="shared" si="164"/>
        <v>0</v>
      </c>
      <c r="N387" s="123">
        <f t="shared" si="165"/>
        <v>0</v>
      </c>
      <c r="O387" s="125">
        <f>F387-M387-N387</f>
        <v>0</v>
      </c>
      <c r="P387" s="123">
        <f>IF(depr_bonus_fed_sl_39="Yes",O387*depr_bonus_fed/100,0)</f>
        <v>0</v>
      </c>
      <c r="Q387" s="125">
        <f>O387-P387</f>
        <v>0</v>
      </c>
    </row>
    <row r="388" spans="1:17" x14ac:dyDescent="0.2">
      <c r="A388" s="22" t="s">
        <v>324</v>
      </c>
      <c r="B388" s="218">
        <f>IF(Inputs!$C$145=0,0,depr_alloc_custom_percent*100/Inputs!$C$145)</f>
        <v>0</v>
      </c>
      <c r="C388" s="124">
        <f>-$B$102*depr_alloc_custom_percent/100</f>
        <v>0</v>
      </c>
      <c r="D388" s="123">
        <f t="shared" si="160"/>
        <v>0</v>
      </c>
      <c r="E388" s="123">
        <f t="shared" si="160"/>
        <v>0</v>
      </c>
      <c r="F388" s="128">
        <f>C388-D388-E388</f>
        <v>0</v>
      </c>
      <c r="G388" s="127">
        <f>IF(depr_itc_fed_custom="Yes",F388,0)</f>
        <v>0</v>
      </c>
      <c r="H388" s="137">
        <f t="shared" si="161"/>
        <v>0</v>
      </c>
      <c r="I388" s="123">
        <f t="shared" si="162"/>
        <v>0</v>
      </c>
      <c r="J388" s="132">
        <f t="shared" si="168"/>
        <v>0</v>
      </c>
      <c r="K388" s="125">
        <f t="shared" si="163"/>
        <v>0</v>
      </c>
      <c r="L388" s="125">
        <f t="shared" si="169"/>
        <v>0</v>
      </c>
      <c r="M388" s="138">
        <f t="shared" si="164"/>
        <v>0</v>
      </c>
      <c r="N388" s="280">
        <f t="shared" si="165"/>
        <v>0</v>
      </c>
      <c r="O388" s="128">
        <f>F388-M388-N388</f>
        <v>0</v>
      </c>
      <c r="P388" s="124">
        <f>IF(depr_bonus_fed_custom="Yes",O388*depr_bonus_fed/100,0)</f>
        <v>0</v>
      </c>
      <c r="Q388" s="128">
        <f>O388-P388</f>
        <v>0</v>
      </c>
    </row>
    <row r="389" spans="1:17" x14ac:dyDescent="0.2">
      <c r="B389" s="218">
        <f>SUM(B382:B388)</f>
        <v>100</v>
      </c>
      <c r="C389" s="124">
        <f>SUM(C382:C388)</f>
        <v>110253253.075</v>
      </c>
      <c r="D389" s="141">
        <f>B398+B404</f>
        <v>0</v>
      </c>
      <c r="E389" s="142">
        <f>B410</f>
        <v>0</v>
      </c>
      <c r="F389" s="138">
        <f>SUM(F382:F388)</f>
        <v>110253253.075</v>
      </c>
      <c r="G389" s="139">
        <f>SUM(G382:G388)</f>
        <v>102296832.75</v>
      </c>
      <c r="H389" s="140">
        <f>SUM(H382:H388)</f>
        <v>100</v>
      </c>
      <c r="I389" s="141">
        <f>SUM(C528:AP528)</f>
        <v>30689049.824999999</v>
      </c>
      <c r="J389" s="141">
        <f>SUM(J382:J388)</f>
        <v>15344524.9125</v>
      </c>
      <c r="K389" s="139">
        <f>SUM(C525:AP525)</f>
        <v>0</v>
      </c>
      <c r="L389" s="142">
        <f t="shared" ref="L389:Q389" si="171">SUM(L382:L388)</f>
        <v>0</v>
      </c>
      <c r="M389" s="124">
        <f t="shared" si="171"/>
        <v>0</v>
      </c>
      <c r="N389" s="124">
        <f t="shared" si="171"/>
        <v>15344524.9125</v>
      </c>
      <c r="O389" s="128">
        <f t="shared" si="171"/>
        <v>94908728.162500009</v>
      </c>
      <c r="P389" s="128">
        <f t="shared" si="171"/>
        <v>0</v>
      </c>
      <c r="Q389" s="128">
        <f t="shared" si="171"/>
        <v>94908728.162500009</v>
      </c>
    </row>
    <row r="391" spans="1:17" x14ac:dyDescent="0.2">
      <c r="A391" s="4" t="s">
        <v>64</v>
      </c>
    </row>
    <row r="392" spans="1:17" x14ac:dyDescent="0.2">
      <c r="A392" s="90" t="str">
        <f>A256</f>
        <v>Investment Based Incentive (IBI)</v>
      </c>
    </row>
    <row r="393" spans="1:17" x14ac:dyDescent="0.2">
      <c r="A393" s="22" t="str">
        <f>A257</f>
        <v>As fixed amount</v>
      </c>
    </row>
    <row r="394" spans="1:17" x14ac:dyDescent="0.2">
      <c r="A394" s="91" t="s">
        <v>4</v>
      </c>
      <c r="B394" s="163">
        <f>IF(ibi_fed_amount_deprbas_fed="Yes",ibi_fed_amount,0)</f>
        <v>0</v>
      </c>
    </row>
    <row r="395" spans="1:17" x14ac:dyDescent="0.2">
      <c r="A395" s="91" t="s">
        <v>5</v>
      </c>
      <c r="B395" s="163">
        <f>IF(ibi_sta_amount_deprbas_fed="Yes",ibi_sta_amount,0)</f>
        <v>0</v>
      </c>
    </row>
    <row r="396" spans="1:17" x14ac:dyDescent="0.2">
      <c r="A396" s="91" t="s">
        <v>185</v>
      </c>
      <c r="B396" s="163">
        <f>IF(ibi_uti_amount_deprbas_fed="Yes",ibi_uti_amount,0)</f>
        <v>0</v>
      </c>
    </row>
    <row r="397" spans="1:17" x14ac:dyDescent="0.2">
      <c r="A397" s="91" t="s">
        <v>186</v>
      </c>
      <c r="B397" s="164">
        <f>IF(ibi_oth_amount_deprbas_fed="Yes",ibi_oth_amount,0)</f>
        <v>0</v>
      </c>
    </row>
    <row r="398" spans="1:17" x14ac:dyDescent="0.2">
      <c r="A398" s="91" t="str">
        <f>A262</f>
        <v>Total</v>
      </c>
      <c r="B398" s="163">
        <f>SUM(B394:B397)</f>
        <v>0</v>
      </c>
    </row>
    <row r="399" spans="1:17" x14ac:dyDescent="0.2">
      <c r="A399" s="22" t="str">
        <f>A263</f>
        <v>As percentage</v>
      </c>
    </row>
    <row r="400" spans="1:17" x14ac:dyDescent="0.2">
      <c r="A400" s="91" t="s">
        <v>4</v>
      </c>
      <c r="B400" s="163">
        <f>IF(ibi_fed_percent_deprbas_fed="Yes",C552,0)</f>
        <v>0</v>
      </c>
    </row>
    <row r="401" spans="1:42" x14ac:dyDescent="0.2">
      <c r="A401" s="91" t="s">
        <v>5</v>
      </c>
      <c r="B401" s="163">
        <f>IF(ibi_sta_percent_deprbas_fed="Yes",C553,0)</f>
        <v>0</v>
      </c>
    </row>
    <row r="402" spans="1:42" x14ac:dyDescent="0.2">
      <c r="A402" s="91" t="s">
        <v>185</v>
      </c>
      <c r="B402" s="163">
        <f>IF(ibi_uti_percent_deprbas_fed="Yes",C554,0)</f>
        <v>0</v>
      </c>
    </row>
    <row r="403" spans="1:42" x14ac:dyDescent="0.2">
      <c r="A403" s="91" t="s">
        <v>186</v>
      </c>
      <c r="B403" s="164">
        <f>IF(ibi_oth_percent_deprbas_fed="Yes",C555,0)</f>
        <v>0</v>
      </c>
    </row>
    <row r="404" spans="1:42" x14ac:dyDescent="0.2">
      <c r="A404" s="91" t="str">
        <f>A268</f>
        <v>Total</v>
      </c>
      <c r="B404" s="163">
        <f>SUM(B400:B403)</f>
        <v>0</v>
      </c>
    </row>
    <row r="405" spans="1:42" x14ac:dyDescent="0.2">
      <c r="A405" s="90" t="str">
        <f>A269</f>
        <v>Capacity Based Incentive (CBI)</v>
      </c>
    </row>
    <row r="406" spans="1:42" x14ac:dyDescent="0.2">
      <c r="A406" s="22" t="s">
        <v>4</v>
      </c>
      <c r="B406" s="163">
        <f>IF(cbi_fed_deprbas_fed="Yes",C559,0)</f>
        <v>0</v>
      </c>
    </row>
    <row r="407" spans="1:42" x14ac:dyDescent="0.2">
      <c r="A407" s="22" t="s">
        <v>5</v>
      </c>
      <c r="B407" s="163">
        <f>IF(cbi_sta_deprbas_fed="Yes",C560,0)</f>
        <v>0</v>
      </c>
    </row>
    <row r="408" spans="1:42" x14ac:dyDescent="0.2">
      <c r="A408" s="22" t="s">
        <v>185</v>
      </c>
      <c r="B408" s="163">
        <f>IF(cbi_uti_deprbas_fed="Yes",C561,0)</f>
        <v>0</v>
      </c>
    </row>
    <row r="409" spans="1:42" x14ac:dyDescent="0.2">
      <c r="A409" s="22" t="s">
        <v>186</v>
      </c>
      <c r="B409" s="164">
        <f>IF(cbi_oth_deprbas_fed="Yes",C562,0)</f>
        <v>0</v>
      </c>
    </row>
    <row r="410" spans="1:42" x14ac:dyDescent="0.2">
      <c r="A410" s="22" t="str">
        <f>A274</f>
        <v>Total</v>
      </c>
      <c r="B410" s="164">
        <f>SUM(B406:B409)</f>
        <v>0</v>
      </c>
    </row>
    <row r="411" spans="1:42" x14ac:dyDescent="0.2">
      <c r="A411" s="90" t="str">
        <f>A275</f>
        <v>Total Basis Reduction</v>
      </c>
      <c r="B411" s="163">
        <f>B398+B404+B410</f>
        <v>0</v>
      </c>
    </row>
    <row r="413" spans="1:42" x14ac:dyDescent="0.2">
      <c r="A413" s="4" t="s">
        <v>83</v>
      </c>
    </row>
    <row r="414" spans="1:42" x14ac:dyDescent="0.2">
      <c r="A414" s="22" t="s">
        <v>58</v>
      </c>
    </row>
    <row r="415" spans="1:42" x14ac:dyDescent="0.2">
      <c r="A415" s="23" t="str">
        <f t="shared" ref="A415:A420" si="172">A382</f>
        <v>5-yr MACRS</v>
      </c>
      <c r="B415" s="171">
        <f t="array" ref="B415">SUM(IF(ISNUMBER(C415:AP415),C415:AP415))</f>
        <v>100</v>
      </c>
      <c r="C415" s="172">
        <f>LOOKUP(C$2,'Depreciation Schedules'!$A$3:$A$42,'Depreciation Schedules'!$B$3:$B$42)</f>
        <v>20</v>
      </c>
      <c r="D415" s="172">
        <f>LOOKUP(D$2,'Depreciation Schedules'!$A$3:$A$42,'Depreciation Schedules'!$B$3:$B$42)</f>
        <v>32</v>
      </c>
      <c r="E415" s="172">
        <f>LOOKUP(E$2,'Depreciation Schedules'!$A$3:$A$42,'Depreciation Schedules'!$B$3:$B$42)</f>
        <v>19.2</v>
      </c>
      <c r="F415" s="172">
        <f>LOOKUP(F$2,'Depreciation Schedules'!$A$3:$A$42,'Depreciation Schedules'!$B$3:$B$42)</f>
        <v>11.52</v>
      </c>
      <c r="G415" s="172">
        <f>LOOKUP(G$2,'Depreciation Schedules'!$A$3:$A$42,'Depreciation Schedules'!$B$3:$B$42)</f>
        <v>11.52</v>
      </c>
      <c r="H415" s="172">
        <f>LOOKUP(H$2,'Depreciation Schedules'!$A$3:$A$42,'Depreciation Schedules'!$B$3:$B$42)</f>
        <v>5.76</v>
      </c>
      <c r="I415" s="172">
        <f>LOOKUP(I$2,'Depreciation Schedules'!$A$3:$A$42,'Depreciation Schedules'!$B$3:$B$42)</f>
        <v>0</v>
      </c>
      <c r="J415" s="172">
        <f>LOOKUP(J$2,'Depreciation Schedules'!$A$3:$A$42,'Depreciation Schedules'!$B$3:$B$42)</f>
        <v>0</v>
      </c>
      <c r="K415" s="172">
        <f>LOOKUP(K$2,'Depreciation Schedules'!$A$3:$A$42,'Depreciation Schedules'!$B$3:$B$42)</f>
        <v>0</v>
      </c>
      <c r="L415" s="172">
        <f>LOOKUP(L$2,'Depreciation Schedules'!$A$3:$A$42,'Depreciation Schedules'!$B$3:$B$42)</f>
        <v>0</v>
      </c>
      <c r="M415" s="172">
        <f>LOOKUP(M$2,'Depreciation Schedules'!$A$3:$A$42,'Depreciation Schedules'!$B$3:$B$42)</f>
        <v>0</v>
      </c>
      <c r="N415" s="172">
        <f>LOOKUP(N$2,'Depreciation Schedules'!$A$3:$A$42,'Depreciation Schedules'!$B$3:$B$42)</f>
        <v>0</v>
      </c>
      <c r="O415" s="172">
        <f>LOOKUP(O$2,'Depreciation Schedules'!$A$3:$A$42,'Depreciation Schedules'!$B$3:$B$42)</f>
        <v>0</v>
      </c>
      <c r="P415" s="172">
        <f>LOOKUP(P$2,'Depreciation Schedules'!$A$3:$A$42,'Depreciation Schedules'!$B$3:$B$42)</f>
        <v>0</v>
      </c>
      <c r="Q415" s="172">
        <f>LOOKUP(Q$2,'Depreciation Schedules'!$A$3:$A$42,'Depreciation Schedules'!$B$3:$B$42)</f>
        <v>0</v>
      </c>
      <c r="R415" s="172">
        <f>LOOKUP(R$2,'Depreciation Schedules'!$A$3:$A$42,'Depreciation Schedules'!$B$3:$B$42)</f>
        <v>0</v>
      </c>
      <c r="S415" s="172">
        <f>LOOKUP(S$2,'Depreciation Schedules'!$A$3:$A$42,'Depreciation Schedules'!$B$3:$B$42)</f>
        <v>0</v>
      </c>
      <c r="T415" s="172">
        <f>LOOKUP(T$2,'Depreciation Schedules'!$A$3:$A$42,'Depreciation Schedules'!$B$3:$B$42)</f>
        <v>0</v>
      </c>
      <c r="U415" s="172">
        <f>LOOKUP(U$2,'Depreciation Schedules'!$A$3:$A$42,'Depreciation Schedules'!$B$3:$B$42)</f>
        <v>0</v>
      </c>
      <c r="V415" s="172">
        <f>LOOKUP(V$2,'Depreciation Schedules'!$A$3:$A$42,'Depreciation Schedules'!$B$3:$B$42)</f>
        <v>0</v>
      </c>
      <c r="W415" s="172">
        <f>LOOKUP(W$2,'Depreciation Schedules'!$A$3:$A$42,'Depreciation Schedules'!$B$3:$B$42)</f>
        <v>0</v>
      </c>
      <c r="X415" s="172">
        <f>LOOKUP(X$2,'Depreciation Schedules'!$A$3:$A$42,'Depreciation Schedules'!$B$3:$B$42)</f>
        <v>0</v>
      </c>
      <c r="Y415" s="172">
        <f>LOOKUP(Y$2,'Depreciation Schedules'!$A$3:$A$42,'Depreciation Schedules'!$B$3:$B$42)</f>
        <v>0</v>
      </c>
      <c r="Z415" s="172">
        <f>LOOKUP(Z$2,'Depreciation Schedules'!$A$3:$A$42,'Depreciation Schedules'!$B$3:$B$42)</f>
        <v>0</v>
      </c>
      <c r="AA415" s="172">
        <f>LOOKUP(AA$2,'Depreciation Schedules'!$A$3:$A$42,'Depreciation Schedules'!$B$3:$B$42)</f>
        <v>0</v>
      </c>
      <c r="AB415" s="172" t="e">
        <f>LOOKUP(AB$2,'Depreciation Schedules'!$A$3:$A$42,'Depreciation Schedules'!$B$3:$B$42)</f>
        <v>#N/A</v>
      </c>
      <c r="AC415" s="172" t="e">
        <f>LOOKUP(AC$2,'Depreciation Schedules'!$A$3:$A$42,'Depreciation Schedules'!$B$3:$B$42)</f>
        <v>#N/A</v>
      </c>
      <c r="AD415" s="172" t="e">
        <f>LOOKUP(AD$2,'Depreciation Schedules'!$A$3:$A$42,'Depreciation Schedules'!$B$3:$B$42)</f>
        <v>#N/A</v>
      </c>
      <c r="AE415" s="172" t="e">
        <f>LOOKUP(AE$2,'Depreciation Schedules'!$A$3:$A$42,'Depreciation Schedules'!$B$3:$B$42)</f>
        <v>#N/A</v>
      </c>
      <c r="AF415" s="172" t="e">
        <f>LOOKUP(AF$2,'Depreciation Schedules'!$A$3:$A$42,'Depreciation Schedules'!$B$3:$B$42)</f>
        <v>#N/A</v>
      </c>
      <c r="AG415" s="172" t="e">
        <f>LOOKUP(AG$2,'Depreciation Schedules'!$A$3:$A$42,'Depreciation Schedules'!$B$3:$B$42)</f>
        <v>#N/A</v>
      </c>
      <c r="AH415" s="172" t="e">
        <f>LOOKUP(AH$2,'Depreciation Schedules'!$A$3:$A$42,'Depreciation Schedules'!$B$3:$B$42)</f>
        <v>#N/A</v>
      </c>
      <c r="AI415" s="172" t="e">
        <f>LOOKUP(AI$2,'Depreciation Schedules'!$A$3:$A$42,'Depreciation Schedules'!$B$3:$B$42)</f>
        <v>#N/A</v>
      </c>
      <c r="AJ415" s="172" t="e">
        <f>LOOKUP(AJ$2,'Depreciation Schedules'!$A$3:$A$42,'Depreciation Schedules'!$B$3:$B$42)</f>
        <v>#N/A</v>
      </c>
      <c r="AK415" s="172" t="e">
        <f>LOOKUP(AK$2,'Depreciation Schedules'!$A$3:$A$42,'Depreciation Schedules'!$B$3:$B$42)</f>
        <v>#N/A</v>
      </c>
      <c r="AL415" s="172" t="e">
        <f>LOOKUP(AL$2,'Depreciation Schedules'!$A$3:$A$42,'Depreciation Schedules'!$B$3:$B$42)</f>
        <v>#N/A</v>
      </c>
      <c r="AM415" s="172" t="e">
        <f>LOOKUP(AM$2,'Depreciation Schedules'!$A$3:$A$42,'Depreciation Schedules'!$B$3:$B$42)</f>
        <v>#N/A</v>
      </c>
      <c r="AN415" s="172" t="e">
        <f>LOOKUP(AN$2,'Depreciation Schedules'!$A$3:$A$42,'Depreciation Schedules'!$B$3:$B$42)</f>
        <v>#N/A</v>
      </c>
      <c r="AO415" s="172" t="e">
        <f>LOOKUP(AO$2,'Depreciation Schedules'!$A$3:$A$42,'Depreciation Schedules'!$B$3:$B$42)</f>
        <v>#N/A</v>
      </c>
      <c r="AP415" s="172" t="e">
        <f>LOOKUP(AP$2,'Depreciation Schedules'!$A$3:$A$42,'Depreciation Schedules'!$B$3:$B$42)</f>
        <v>#N/A</v>
      </c>
    </row>
    <row r="416" spans="1:42" x14ac:dyDescent="0.2">
      <c r="A416" s="23" t="str">
        <f t="shared" si="172"/>
        <v>15-yr MACRS</v>
      </c>
      <c r="B416" s="171">
        <f t="array" ref="B416">SUM(IF(ISNUMBER(C416:AP416),C416:AP416))</f>
        <v>99.990000000000009</v>
      </c>
      <c r="C416" s="172">
        <f>LOOKUP(C$2,'Depreciation Schedules'!$A$3:$A$42,'Depreciation Schedules'!$C$3:$C$42)</f>
        <v>5</v>
      </c>
      <c r="D416" s="172">
        <f>LOOKUP(D$2,'Depreciation Schedules'!$A$3:$A$42,'Depreciation Schedules'!$C$3:$C$42)</f>
        <v>9.5</v>
      </c>
      <c r="E416" s="172">
        <f>LOOKUP(E$2,'Depreciation Schedules'!$A$3:$A$42,'Depreciation Schedules'!$C$3:$C$42)</f>
        <v>8.5500000000000007</v>
      </c>
      <c r="F416" s="172">
        <f>LOOKUP(F$2,'Depreciation Schedules'!$A$3:$A$42,'Depreciation Schedules'!$C$3:$C$42)</f>
        <v>7.7</v>
      </c>
      <c r="G416" s="172">
        <f>LOOKUP(G$2,'Depreciation Schedules'!$A$3:$A$42,'Depreciation Schedules'!$C$3:$C$42)</f>
        <v>6.93</v>
      </c>
      <c r="H416" s="172">
        <f>LOOKUP(H$2,'Depreciation Schedules'!$A$3:$A$42,'Depreciation Schedules'!$C$3:$C$42)</f>
        <v>6.23</v>
      </c>
      <c r="I416" s="172">
        <f>LOOKUP(I$2,'Depreciation Schedules'!$A$3:$A$42,'Depreciation Schedules'!$C$3:$C$42)</f>
        <v>5.9</v>
      </c>
      <c r="J416" s="172">
        <f>LOOKUP(J$2,'Depreciation Schedules'!$A$3:$A$42,'Depreciation Schedules'!$C$3:$C$42)</f>
        <v>5.9</v>
      </c>
      <c r="K416" s="172">
        <f>LOOKUP(K$2,'Depreciation Schedules'!$A$3:$A$42,'Depreciation Schedules'!$C$3:$C$42)</f>
        <v>5.91</v>
      </c>
      <c r="L416" s="172">
        <f>LOOKUP(L$2,'Depreciation Schedules'!$A$3:$A$42,'Depreciation Schedules'!$C$3:$C$42)</f>
        <v>5.9</v>
      </c>
      <c r="M416" s="172">
        <f>LOOKUP(M$2,'Depreciation Schedules'!$A$3:$A$42,'Depreciation Schedules'!$C$3:$C$42)</f>
        <v>5.91</v>
      </c>
      <c r="N416" s="172">
        <f>LOOKUP(N$2,'Depreciation Schedules'!$A$3:$A$42,'Depreciation Schedules'!$C$3:$C$42)</f>
        <v>5.9</v>
      </c>
      <c r="O416" s="172">
        <f>LOOKUP(O$2,'Depreciation Schedules'!$A$3:$A$42,'Depreciation Schedules'!$C$3:$C$42)</f>
        <v>5.91</v>
      </c>
      <c r="P416" s="172">
        <f>LOOKUP(P$2,'Depreciation Schedules'!$A$3:$A$42,'Depreciation Schedules'!$C$3:$C$42)</f>
        <v>5.9</v>
      </c>
      <c r="Q416" s="172">
        <f>LOOKUP(Q$2,'Depreciation Schedules'!$A$3:$A$42,'Depreciation Schedules'!$C$3:$C$42)</f>
        <v>5.9</v>
      </c>
      <c r="R416" s="172">
        <f>LOOKUP(R$2,'Depreciation Schedules'!$A$3:$A$42,'Depreciation Schedules'!$C$3:$C$42)</f>
        <v>2.95</v>
      </c>
      <c r="S416" s="172">
        <f>LOOKUP(S$2,'Depreciation Schedules'!$A$3:$A$42,'Depreciation Schedules'!$C$3:$C$42)</f>
        <v>0</v>
      </c>
      <c r="T416" s="172">
        <f>LOOKUP(T$2,'Depreciation Schedules'!$A$3:$A$42,'Depreciation Schedules'!$C$3:$C$42)</f>
        <v>0</v>
      </c>
      <c r="U416" s="172">
        <f>LOOKUP(U$2,'Depreciation Schedules'!$A$3:$A$42,'Depreciation Schedules'!$C$3:$C$42)</f>
        <v>0</v>
      </c>
      <c r="V416" s="172">
        <f>LOOKUP(V$2,'Depreciation Schedules'!$A$3:$A$42,'Depreciation Schedules'!$C$3:$C$42)</f>
        <v>0</v>
      </c>
      <c r="W416" s="172">
        <f>LOOKUP(W$2,'Depreciation Schedules'!$A$3:$A$42,'Depreciation Schedules'!$C$3:$C$42)</f>
        <v>0</v>
      </c>
      <c r="X416" s="172">
        <f>LOOKUP(X$2,'Depreciation Schedules'!$A$3:$A$42,'Depreciation Schedules'!$C$3:$C$42)</f>
        <v>0</v>
      </c>
      <c r="Y416" s="172">
        <f>LOOKUP(Y$2,'Depreciation Schedules'!$A$3:$A$42,'Depreciation Schedules'!$C$3:$C$42)</f>
        <v>0</v>
      </c>
      <c r="Z416" s="172">
        <f>LOOKUP(Z$2,'Depreciation Schedules'!$A$3:$A$42,'Depreciation Schedules'!$C$3:$C$42)</f>
        <v>0</v>
      </c>
      <c r="AA416" s="172">
        <f>LOOKUP(AA$2,'Depreciation Schedules'!$A$3:$A$42,'Depreciation Schedules'!$C$3:$C$42)</f>
        <v>0</v>
      </c>
      <c r="AB416" s="172" t="e">
        <f>LOOKUP(AB$2,'Depreciation Schedules'!$A$3:$A$42,'Depreciation Schedules'!$C$3:$C$42)</f>
        <v>#N/A</v>
      </c>
      <c r="AC416" s="172" t="e">
        <f>LOOKUP(AC$2,'Depreciation Schedules'!$A$3:$A$42,'Depreciation Schedules'!$C$3:$C$42)</f>
        <v>#N/A</v>
      </c>
      <c r="AD416" s="172" t="e">
        <f>LOOKUP(AD$2,'Depreciation Schedules'!$A$3:$A$42,'Depreciation Schedules'!$C$3:$C$42)</f>
        <v>#N/A</v>
      </c>
      <c r="AE416" s="172" t="e">
        <f>LOOKUP(AE$2,'Depreciation Schedules'!$A$3:$A$42,'Depreciation Schedules'!$C$3:$C$42)</f>
        <v>#N/A</v>
      </c>
      <c r="AF416" s="172" t="e">
        <f>LOOKUP(AF$2,'Depreciation Schedules'!$A$3:$A$42,'Depreciation Schedules'!$C$3:$C$42)</f>
        <v>#N/A</v>
      </c>
      <c r="AG416" s="172" t="e">
        <f>LOOKUP(AG$2,'Depreciation Schedules'!$A$3:$A$42,'Depreciation Schedules'!$C$3:$C$42)</f>
        <v>#N/A</v>
      </c>
      <c r="AH416" s="172" t="e">
        <f>LOOKUP(AH$2,'Depreciation Schedules'!$A$3:$A$42,'Depreciation Schedules'!$C$3:$C$42)</f>
        <v>#N/A</v>
      </c>
      <c r="AI416" s="172" t="e">
        <f>LOOKUP(AI$2,'Depreciation Schedules'!$A$3:$A$42,'Depreciation Schedules'!$C$3:$C$42)</f>
        <v>#N/A</v>
      </c>
      <c r="AJ416" s="172" t="e">
        <f>LOOKUP(AJ$2,'Depreciation Schedules'!$A$3:$A$42,'Depreciation Schedules'!$C$3:$C$42)</f>
        <v>#N/A</v>
      </c>
      <c r="AK416" s="172" t="e">
        <f>LOOKUP(AK$2,'Depreciation Schedules'!$A$3:$A$42,'Depreciation Schedules'!$C$3:$C$42)</f>
        <v>#N/A</v>
      </c>
      <c r="AL416" s="172" t="e">
        <f>LOOKUP(AL$2,'Depreciation Schedules'!$A$3:$A$42,'Depreciation Schedules'!$C$3:$C$42)</f>
        <v>#N/A</v>
      </c>
      <c r="AM416" s="172" t="e">
        <f>LOOKUP(AM$2,'Depreciation Schedules'!$A$3:$A$42,'Depreciation Schedules'!$C$3:$C$42)</f>
        <v>#N/A</v>
      </c>
      <c r="AN416" s="172" t="e">
        <f>LOOKUP(AN$2,'Depreciation Schedules'!$A$3:$A$42,'Depreciation Schedules'!$C$3:$C$42)</f>
        <v>#N/A</v>
      </c>
      <c r="AO416" s="172" t="e">
        <f>LOOKUP(AO$2,'Depreciation Schedules'!$A$3:$A$42,'Depreciation Schedules'!$C$3:$C$42)</f>
        <v>#N/A</v>
      </c>
      <c r="AP416" s="172" t="e">
        <f>LOOKUP(AP$2,'Depreciation Schedules'!$A$3:$A$42,'Depreciation Schedules'!$C$3:$C$42)</f>
        <v>#N/A</v>
      </c>
    </row>
    <row r="417" spans="1:42" x14ac:dyDescent="0.2">
      <c r="A417" s="23" t="str">
        <f t="shared" si="172"/>
        <v>5-yr SL</v>
      </c>
      <c r="B417" s="171">
        <f t="array" ref="B417">SUM(IF(ISNUMBER(C417:AP417),C417:AP417))</f>
        <v>100</v>
      </c>
      <c r="C417" s="172">
        <f>LOOKUP(C$2,'Depreciation Schedules'!$A$3:$A$42,'Depreciation Schedules'!$D$3:$D$42)</f>
        <v>10</v>
      </c>
      <c r="D417" s="172">
        <f>LOOKUP(D$2,'Depreciation Schedules'!$A$3:$A$42,'Depreciation Schedules'!$D$3:$D$42)</f>
        <v>20</v>
      </c>
      <c r="E417" s="172">
        <f>LOOKUP(E$2,'Depreciation Schedules'!$A$3:$A$42,'Depreciation Schedules'!$D$3:$D$42)</f>
        <v>20</v>
      </c>
      <c r="F417" s="172">
        <f>LOOKUP(F$2,'Depreciation Schedules'!$A$3:$A$42,'Depreciation Schedules'!$D$3:$D$42)</f>
        <v>20</v>
      </c>
      <c r="G417" s="172">
        <f>LOOKUP(G$2,'Depreciation Schedules'!$A$3:$A$42,'Depreciation Schedules'!$D$3:$D$42)</f>
        <v>20</v>
      </c>
      <c r="H417" s="172">
        <f>LOOKUP(H$2,'Depreciation Schedules'!$A$3:$A$42,'Depreciation Schedules'!$D$3:$D$42)</f>
        <v>10</v>
      </c>
      <c r="I417" s="172">
        <f>LOOKUP(I$2,'Depreciation Schedules'!$A$3:$A$42,'Depreciation Schedules'!$D$3:$D$42)</f>
        <v>0</v>
      </c>
      <c r="J417" s="172">
        <f>LOOKUP(J$2,'Depreciation Schedules'!$A$3:$A$42,'Depreciation Schedules'!$D$3:$D$42)</f>
        <v>0</v>
      </c>
      <c r="K417" s="172">
        <f>LOOKUP(K$2,'Depreciation Schedules'!$A$3:$A$42,'Depreciation Schedules'!$D$3:$D$42)</f>
        <v>0</v>
      </c>
      <c r="L417" s="172">
        <f>LOOKUP(L$2,'Depreciation Schedules'!$A$3:$A$42,'Depreciation Schedules'!$D$3:$D$42)</f>
        <v>0</v>
      </c>
      <c r="M417" s="172">
        <f>LOOKUP(M$2,'Depreciation Schedules'!$A$3:$A$42,'Depreciation Schedules'!$D$3:$D$42)</f>
        <v>0</v>
      </c>
      <c r="N417" s="172">
        <f>LOOKUP(N$2,'Depreciation Schedules'!$A$3:$A$42,'Depreciation Schedules'!$D$3:$D$42)</f>
        <v>0</v>
      </c>
      <c r="O417" s="172">
        <f>LOOKUP(O$2,'Depreciation Schedules'!$A$3:$A$42,'Depreciation Schedules'!$D$3:$D$42)</f>
        <v>0</v>
      </c>
      <c r="P417" s="172">
        <f>LOOKUP(P$2,'Depreciation Schedules'!$A$3:$A$42,'Depreciation Schedules'!$D$3:$D$42)</f>
        <v>0</v>
      </c>
      <c r="Q417" s="172">
        <f>LOOKUP(Q$2,'Depreciation Schedules'!$A$3:$A$42,'Depreciation Schedules'!$D$3:$D$42)</f>
        <v>0</v>
      </c>
      <c r="R417" s="172">
        <f>LOOKUP(R$2,'Depreciation Schedules'!$A$3:$A$42,'Depreciation Schedules'!$D$3:$D$42)</f>
        <v>0</v>
      </c>
      <c r="S417" s="172">
        <f>LOOKUP(S$2,'Depreciation Schedules'!$A$3:$A$42,'Depreciation Schedules'!$D$3:$D$42)</f>
        <v>0</v>
      </c>
      <c r="T417" s="172">
        <f>LOOKUP(T$2,'Depreciation Schedules'!$A$3:$A$42,'Depreciation Schedules'!$D$3:$D$42)</f>
        <v>0</v>
      </c>
      <c r="U417" s="172">
        <f>LOOKUP(U$2,'Depreciation Schedules'!$A$3:$A$42,'Depreciation Schedules'!$D$3:$D$42)</f>
        <v>0</v>
      </c>
      <c r="V417" s="172">
        <f>LOOKUP(V$2,'Depreciation Schedules'!$A$3:$A$42,'Depreciation Schedules'!$D$3:$D$42)</f>
        <v>0</v>
      </c>
      <c r="W417" s="172">
        <f>LOOKUP(W$2,'Depreciation Schedules'!$A$3:$A$42,'Depreciation Schedules'!$D$3:$D$42)</f>
        <v>0</v>
      </c>
      <c r="X417" s="172">
        <f>LOOKUP(X$2,'Depreciation Schedules'!$A$3:$A$42,'Depreciation Schedules'!$D$3:$D$42)</f>
        <v>0</v>
      </c>
      <c r="Y417" s="172">
        <f>LOOKUP(Y$2,'Depreciation Schedules'!$A$3:$A$42,'Depreciation Schedules'!$D$3:$D$42)</f>
        <v>0</v>
      </c>
      <c r="Z417" s="172">
        <f>LOOKUP(Z$2,'Depreciation Schedules'!$A$3:$A$42,'Depreciation Schedules'!$D$3:$D$42)</f>
        <v>0</v>
      </c>
      <c r="AA417" s="172">
        <f>LOOKUP(AA$2,'Depreciation Schedules'!$A$3:$A$42,'Depreciation Schedules'!$D$3:$D$42)</f>
        <v>0</v>
      </c>
      <c r="AB417" s="172" t="e">
        <f>LOOKUP(AB$2,'Depreciation Schedules'!$A$3:$A$42,'Depreciation Schedules'!$D$3:$D$42)</f>
        <v>#N/A</v>
      </c>
      <c r="AC417" s="172" t="e">
        <f>LOOKUP(AC$2,'Depreciation Schedules'!$A$3:$A$42,'Depreciation Schedules'!$D$3:$D$42)</f>
        <v>#N/A</v>
      </c>
      <c r="AD417" s="172" t="e">
        <f>LOOKUP(AD$2,'Depreciation Schedules'!$A$3:$A$42,'Depreciation Schedules'!$D$3:$D$42)</f>
        <v>#N/A</v>
      </c>
      <c r="AE417" s="172" t="e">
        <f>LOOKUP(AE$2,'Depreciation Schedules'!$A$3:$A$42,'Depreciation Schedules'!$D$3:$D$42)</f>
        <v>#N/A</v>
      </c>
      <c r="AF417" s="172" t="e">
        <f>LOOKUP(AF$2,'Depreciation Schedules'!$A$3:$A$42,'Depreciation Schedules'!$D$3:$D$42)</f>
        <v>#N/A</v>
      </c>
      <c r="AG417" s="172" t="e">
        <f>LOOKUP(AG$2,'Depreciation Schedules'!$A$3:$A$42,'Depreciation Schedules'!$D$3:$D$42)</f>
        <v>#N/A</v>
      </c>
      <c r="AH417" s="172" t="e">
        <f>LOOKUP(AH$2,'Depreciation Schedules'!$A$3:$A$42,'Depreciation Schedules'!$D$3:$D$42)</f>
        <v>#N/A</v>
      </c>
      <c r="AI417" s="172" t="e">
        <f>LOOKUP(AI$2,'Depreciation Schedules'!$A$3:$A$42,'Depreciation Schedules'!$D$3:$D$42)</f>
        <v>#N/A</v>
      </c>
      <c r="AJ417" s="172" t="e">
        <f>LOOKUP(AJ$2,'Depreciation Schedules'!$A$3:$A$42,'Depreciation Schedules'!$D$3:$D$42)</f>
        <v>#N/A</v>
      </c>
      <c r="AK417" s="172" t="e">
        <f>LOOKUP(AK$2,'Depreciation Schedules'!$A$3:$A$42,'Depreciation Schedules'!$D$3:$D$42)</f>
        <v>#N/A</v>
      </c>
      <c r="AL417" s="172" t="e">
        <f>LOOKUP(AL$2,'Depreciation Schedules'!$A$3:$A$42,'Depreciation Schedules'!$D$3:$D$42)</f>
        <v>#N/A</v>
      </c>
      <c r="AM417" s="172" t="e">
        <f>LOOKUP(AM$2,'Depreciation Schedules'!$A$3:$A$42,'Depreciation Schedules'!$D$3:$D$42)</f>
        <v>#N/A</v>
      </c>
      <c r="AN417" s="172" t="e">
        <f>LOOKUP(AN$2,'Depreciation Schedules'!$A$3:$A$42,'Depreciation Schedules'!$D$3:$D$42)</f>
        <v>#N/A</v>
      </c>
      <c r="AO417" s="172" t="e">
        <f>LOOKUP(AO$2,'Depreciation Schedules'!$A$3:$A$42,'Depreciation Schedules'!$D$3:$D$42)</f>
        <v>#N/A</v>
      </c>
      <c r="AP417" s="172" t="e">
        <f>LOOKUP(AP$2,'Depreciation Schedules'!$A$3:$A$42,'Depreciation Schedules'!$D$3:$D$42)</f>
        <v>#N/A</v>
      </c>
    </row>
    <row r="418" spans="1:42" x14ac:dyDescent="0.2">
      <c r="A418" s="23" t="str">
        <f t="shared" si="172"/>
        <v>15-yr SL</v>
      </c>
      <c r="B418" s="171">
        <f t="array" ref="B418">SUM(IF(ISNUMBER(C418:AP418),C418:AP418))</f>
        <v>100.02000000000001</v>
      </c>
      <c r="C418" s="172">
        <f>LOOKUP(C$2,'Depreciation Schedules'!$A$3:$A$42,'Depreciation Schedules'!$E$3:$E$42)</f>
        <v>3.33</v>
      </c>
      <c r="D418" s="172">
        <f>LOOKUP(D$2,'Depreciation Schedules'!$A$3:$A$42,'Depreciation Schedules'!$E$3:$E$42)</f>
        <v>6.67</v>
      </c>
      <c r="E418" s="172">
        <f>LOOKUP(E$2,'Depreciation Schedules'!$A$3:$A$42,'Depreciation Schedules'!$E$3:$E$42)</f>
        <v>6.67</v>
      </c>
      <c r="F418" s="172">
        <f>LOOKUP(F$2,'Depreciation Schedules'!$A$3:$A$42,'Depreciation Schedules'!$E$3:$E$42)</f>
        <v>6.67</v>
      </c>
      <c r="G418" s="172">
        <f>LOOKUP(G$2,'Depreciation Schedules'!$A$3:$A$42,'Depreciation Schedules'!$E$3:$E$42)</f>
        <v>6.67</v>
      </c>
      <c r="H418" s="172">
        <f>LOOKUP(H$2,'Depreciation Schedules'!$A$3:$A$42,'Depreciation Schedules'!$E$3:$E$42)</f>
        <v>6.67</v>
      </c>
      <c r="I418" s="172">
        <f>LOOKUP(I$2,'Depreciation Schedules'!$A$3:$A$42,'Depreciation Schedules'!$E$3:$E$42)</f>
        <v>6.67</v>
      </c>
      <c r="J418" s="172">
        <f>LOOKUP(J$2,'Depreciation Schedules'!$A$3:$A$42,'Depreciation Schedules'!$E$3:$E$42)</f>
        <v>6.67</v>
      </c>
      <c r="K418" s="172">
        <f>LOOKUP(K$2,'Depreciation Schedules'!$A$3:$A$42,'Depreciation Schedules'!$E$3:$E$42)</f>
        <v>6.67</v>
      </c>
      <c r="L418" s="172">
        <f>LOOKUP(L$2,'Depreciation Schedules'!$A$3:$A$42,'Depreciation Schedules'!$E$3:$E$42)</f>
        <v>6.67</v>
      </c>
      <c r="M418" s="172">
        <f>LOOKUP(M$2,'Depreciation Schedules'!$A$3:$A$42,'Depreciation Schedules'!$E$3:$E$42)</f>
        <v>6.67</v>
      </c>
      <c r="N418" s="172">
        <f>LOOKUP(N$2,'Depreciation Schedules'!$A$3:$A$42,'Depreciation Schedules'!$E$3:$E$42)</f>
        <v>6.66</v>
      </c>
      <c r="O418" s="172">
        <f>LOOKUP(O$2,'Depreciation Schedules'!$A$3:$A$42,'Depreciation Schedules'!$E$3:$E$42)</f>
        <v>6.67</v>
      </c>
      <c r="P418" s="172">
        <f>LOOKUP(P$2,'Depreciation Schedules'!$A$3:$A$42,'Depreciation Schedules'!$E$3:$E$42)</f>
        <v>6.66</v>
      </c>
      <c r="Q418" s="172">
        <f>LOOKUP(Q$2,'Depreciation Schedules'!$A$3:$A$42,'Depreciation Schedules'!$E$3:$E$42)</f>
        <v>6.67</v>
      </c>
      <c r="R418" s="172">
        <f>LOOKUP(R$2,'Depreciation Schedules'!$A$3:$A$42,'Depreciation Schedules'!$E$3:$E$42)</f>
        <v>3.33</v>
      </c>
      <c r="S418" s="172">
        <f>LOOKUP(S$2,'Depreciation Schedules'!$A$3:$A$42,'Depreciation Schedules'!$E$3:$E$42)</f>
        <v>0</v>
      </c>
      <c r="T418" s="172">
        <f>LOOKUP(T$2,'Depreciation Schedules'!$A$3:$A$42,'Depreciation Schedules'!$E$3:$E$42)</f>
        <v>0</v>
      </c>
      <c r="U418" s="172">
        <f>LOOKUP(U$2,'Depreciation Schedules'!$A$3:$A$42,'Depreciation Schedules'!$E$3:$E$42)</f>
        <v>0</v>
      </c>
      <c r="V418" s="172">
        <f>LOOKUP(V$2,'Depreciation Schedules'!$A$3:$A$42,'Depreciation Schedules'!$E$3:$E$42)</f>
        <v>0</v>
      </c>
      <c r="W418" s="172">
        <f>LOOKUP(W$2,'Depreciation Schedules'!$A$3:$A$42,'Depreciation Schedules'!$E$3:$E$42)</f>
        <v>0</v>
      </c>
      <c r="X418" s="172">
        <f>LOOKUP(X$2,'Depreciation Schedules'!$A$3:$A$42,'Depreciation Schedules'!$E$3:$E$42)</f>
        <v>0</v>
      </c>
      <c r="Y418" s="172">
        <f>LOOKUP(Y$2,'Depreciation Schedules'!$A$3:$A$42,'Depreciation Schedules'!$E$3:$E$42)</f>
        <v>0</v>
      </c>
      <c r="Z418" s="172">
        <f>LOOKUP(Z$2,'Depreciation Schedules'!$A$3:$A$42,'Depreciation Schedules'!$E$3:$E$42)</f>
        <v>0</v>
      </c>
      <c r="AA418" s="172">
        <f>LOOKUP(AA$2,'Depreciation Schedules'!$A$3:$A$42,'Depreciation Schedules'!$E$3:$E$42)</f>
        <v>0</v>
      </c>
      <c r="AB418" s="172" t="e">
        <f>LOOKUP(AB$2,'Depreciation Schedules'!$A$3:$A$42,'Depreciation Schedules'!$E$3:$E$42)</f>
        <v>#N/A</v>
      </c>
      <c r="AC418" s="172" t="e">
        <f>LOOKUP(AC$2,'Depreciation Schedules'!$A$3:$A$42,'Depreciation Schedules'!$E$3:$E$42)</f>
        <v>#N/A</v>
      </c>
      <c r="AD418" s="172" t="e">
        <f>LOOKUP(AD$2,'Depreciation Schedules'!$A$3:$A$42,'Depreciation Schedules'!$E$3:$E$42)</f>
        <v>#N/A</v>
      </c>
      <c r="AE418" s="172" t="e">
        <f>LOOKUP(AE$2,'Depreciation Schedules'!$A$3:$A$42,'Depreciation Schedules'!$E$3:$E$42)</f>
        <v>#N/A</v>
      </c>
      <c r="AF418" s="172" t="e">
        <f>LOOKUP(AF$2,'Depreciation Schedules'!$A$3:$A$42,'Depreciation Schedules'!$E$3:$E$42)</f>
        <v>#N/A</v>
      </c>
      <c r="AG418" s="172" t="e">
        <f>LOOKUP(AG$2,'Depreciation Schedules'!$A$3:$A$42,'Depreciation Schedules'!$E$3:$E$42)</f>
        <v>#N/A</v>
      </c>
      <c r="AH418" s="172" t="e">
        <f>LOOKUP(AH$2,'Depreciation Schedules'!$A$3:$A$42,'Depreciation Schedules'!$E$3:$E$42)</f>
        <v>#N/A</v>
      </c>
      <c r="AI418" s="172" t="e">
        <f>LOOKUP(AI$2,'Depreciation Schedules'!$A$3:$A$42,'Depreciation Schedules'!$E$3:$E$42)</f>
        <v>#N/A</v>
      </c>
      <c r="AJ418" s="172" t="e">
        <f>LOOKUP(AJ$2,'Depreciation Schedules'!$A$3:$A$42,'Depreciation Schedules'!$E$3:$E$42)</f>
        <v>#N/A</v>
      </c>
      <c r="AK418" s="172" t="e">
        <f>LOOKUP(AK$2,'Depreciation Schedules'!$A$3:$A$42,'Depreciation Schedules'!$E$3:$E$42)</f>
        <v>#N/A</v>
      </c>
      <c r="AL418" s="172" t="e">
        <f>LOOKUP(AL$2,'Depreciation Schedules'!$A$3:$A$42,'Depreciation Schedules'!$E$3:$E$42)</f>
        <v>#N/A</v>
      </c>
      <c r="AM418" s="172" t="e">
        <f>LOOKUP(AM$2,'Depreciation Schedules'!$A$3:$A$42,'Depreciation Schedules'!$E$3:$E$42)</f>
        <v>#N/A</v>
      </c>
      <c r="AN418" s="172" t="e">
        <f>LOOKUP(AN$2,'Depreciation Schedules'!$A$3:$A$42,'Depreciation Schedules'!$E$3:$E$42)</f>
        <v>#N/A</v>
      </c>
      <c r="AO418" s="172" t="e">
        <f>LOOKUP(AO$2,'Depreciation Schedules'!$A$3:$A$42,'Depreciation Schedules'!$E$3:$E$42)</f>
        <v>#N/A</v>
      </c>
      <c r="AP418" s="172" t="e">
        <f>LOOKUP(AP$2,'Depreciation Schedules'!$A$3:$A$42,'Depreciation Schedules'!$E$3:$E$42)</f>
        <v>#N/A</v>
      </c>
    </row>
    <row r="419" spans="1:42" x14ac:dyDescent="0.2">
      <c r="A419" s="23" t="str">
        <f t="shared" si="172"/>
        <v>20-yr SL</v>
      </c>
      <c r="B419" s="171">
        <f t="array" ref="B419">SUM(IF(ISNUMBER(C419:AP419),C419:AP419))</f>
        <v>100</v>
      </c>
      <c r="C419" s="172">
        <f>LOOKUP(C$2,'Depreciation Schedules'!$A$3:$A$42,'Depreciation Schedules'!$F$3:$F$42)</f>
        <v>2.5</v>
      </c>
      <c r="D419" s="172">
        <f>LOOKUP(D$2,'Depreciation Schedules'!$A$3:$A$42,'Depreciation Schedules'!$F$3:$F$42)</f>
        <v>5</v>
      </c>
      <c r="E419" s="172">
        <f>LOOKUP(E$2,'Depreciation Schedules'!$A$3:$A$42,'Depreciation Schedules'!$F$3:$F$42)</f>
        <v>5</v>
      </c>
      <c r="F419" s="172">
        <f>LOOKUP(F$2,'Depreciation Schedules'!$A$3:$A$42,'Depreciation Schedules'!$F$3:$F$42)</f>
        <v>5</v>
      </c>
      <c r="G419" s="172">
        <f>LOOKUP(G$2,'Depreciation Schedules'!$A$3:$A$42,'Depreciation Schedules'!$F$3:$F$42)</f>
        <v>5</v>
      </c>
      <c r="H419" s="172">
        <f>LOOKUP(H$2,'Depreciation Schedules'!$A$3:$A$42,'Depreciation Schedules'!$F$3:$F$42)</f>
        <v>5</v>
      </c>
      <c r="I419" s="172">
        <f>LOOKUP(I$2,'Depreciation Schedules'!$A$3:$A$42,'Depreciation Schedules'!$F$3:$F$42)</f>
        <v>5</v>
      </c>
      <c r="J419" s="172">
        <f>LOOKUP(J$2,'Depreciation Schedules'!$A$3:$A$42,'Depreciation Schedules'!$F$3:$F$42)</f>
        <v>5</v>
      </c>
      <c r="K419" s="172">
        <f>LOOKUP(K$2,'Depreciation Schedules'!$A$3:$A$42,'Depreciation Schedules'!$F$3:$F$42)</f>
        <v>5</v>
      </c>
      <c r="L419" s="172">
        <f>LOOKUP(L$2,'Depreciation Schedules'!$A$3:$A$42,'Depreciation Schedules'!$F$3:$F$42)</f>
        <v>5</v>
      </c>
      <c r="M419" s="172">
        <f>LOOKUP(M$2,'Depreciation Schedules'!$A$3:$A$42,'Depreciation Schedules'!$F$3:$F$42)</f>
        <v>5</v>
      </c>
      <c r="N419" s="172">
        <f>LOOKUP(N$2,'Depreciation Schedules'!$A$3:$A$42,'Depreciation Schedules'!$F$3:$F$42)</f>
        <v>5</v>
      </c>
      <c r="O419" s="172">
        <f>LOOKUP(O$2,'Depreciation Schedules'!$A$3:$A$42,'Depreciation Schedules'!$F$3:$F$42)</f>
        <v>5</v>
      </c>
      <c r="P419" s="172">
        <f>LOOKUP(P$2,'Depreciation Schedules'!$A$3:$A$42,'Depreciation Schedules'!$F$3:$F$42)</f>
        <v>5</v>
      </c>
      <c r="Q419" s="172">
        <f>LOOKUP(Q$2,'Depreciation Schedules'!$A$3:$A$42,'Depreciation Schedules'!$F$3:$F$42)</f>
        <v>5</v>
      </c>
      <c r="R419" s="172">
        <f>LOOKUP(R$2,'Depreciation Schedules'!$A$3:$A$42,'Depreciation Schedules'!$F$3:$F$42)</f>
        <v>5</v>
      </c>
      <c r="S419" s="172">
        <f>LOOKUP(S$2,'Depreciation Schedules'!$A$3:$A$42,'Depreciation Schedules'!$F$3:$F$42)</f>
        <v>5</v>
      </c>
      <c r="T419" s="172">
        <f>LOOKUP(T$2,'Depreciation Schedules'!$A$3:$A$42,'Depreciation Schedules'!$F$3:$F$42)</f>
        <v>5</v>
      </c>
      <c r="U419" s="172">
        <f>LOOKUP(U$2,'Depreciation Schedules'!$A$3:$A$42,'Depreciation Schedules'!$F$3:$F$42)</f>
        <v>5</v>
      </c>
      <c r="V419" s="172">
        <f>LOOKUP(V$2,'Depreciation Schedules'!$A$3:$A$42,'Depreciation Schedules'!$F$3:$F$42)</f>
        <v>5</v>
      </c>
      <c r="W419" s="172">
        <f>LOOKUP(W$2,'Depreciation Schedules'!$A$3:$A$42,'Depreciation Schedules'!$F$3:$F$42)</f>
        <v>2.5</v>
      </c>
      <c r="X419" s="172">
        <f>LOOKUP(X$2,'Depreciation Schedules'!$A$3:$A$42,'Depreciation Schedules'!$F$3:$F$42)</f>
        <v>0</v>
      </c>
      <c r="Y419" s="172">
        <f>LOOKUP(Y$2,'Depreciation Schedules'!$A$3:$A$42,'Depreciation Schedules'!$F$3:$F$42)</f>
        <v>0</v>
      </c>
      <c r="Z419" s="172">
        <f>LOOKUP(Z$2,'Depreciation Schedules'!$A$3:$A$42,'Depreciation Schedules'!$F$3:$F$42)</f>
        <v>0</v>
      </c>
      <c r="AA419" s="172">
        <f>LOOKUP(AA$2,'Depreciation Schedules'!$A$3:$A$42,'Depreciation Schedules'!$F$3:$F$42)</f>
        <v>0</v>
      </c>
      <c r="AB419" s="172" t="e">
        <f>LOOKUP(AB$2,'Depreciation Schedules'!$A$3:$A$42,'Depreciation Schedules'!$F$3:$F$42)</f>
        <v>#N/A</v>
      </c>
      <c r="AC419" s="172" t="e">
        <f>LOOKUP(AC$2,'Depreciation Schedules'!$A$3:$A$42,'Depreciation Schedules'!$F$3:$F$42)</f>
        <v>#N/A</v>
      </c>
      <c r="AD419" s="172" t="e">
        <f>LOOKUP(AD$2,'Depreciation Schedules'!$A$3:$A$42,'Depreciation Schedules'!$F$3:$F$42)</f>
        <v>#N/A</v>
      </c>
      <c r="AE419" s="172" t="e">
        <f>LOOKUP(AE$2,'Depreciation Schedules'!$A$3:$A$42,'Depreciation Schedules'!$F$3:$F$42)</f>
        <v>#N/A</v>
      </c>
      <c r="AF419" s="172" t="e">
        <f>LOOKUP(AF$2,'Depreciation Schedules'!$A$3:$A$42,'Depreciation Schedules'!$F$3:$F$42)</f>
        <v>#N/A</v>
      </c>
      <c r="AG419" s="172" t="e">
        <f>LOOKUP(AG$2,'Depreciation Schedules'!$A$3:$A$42,'Depreciation Schedules'!$F$3:$F$42)</f>
        <v>#N/A</v>
      </c>
      <c r="AH419" s="172" t="e">
        <f>LOOKUP(AH$2,'Depreciation Schedules'!$A$3:$A$42,'Depreciation Schedules'!$F$3:$F$42)</f>
        <v>#N/A</v>
      </c>
      <c r="AI419" s="172" t="e">
        <f>LOOKUP(AI$2,'Depreciation Schedules'!$A$3:$A$42,'Depreciation Schedules'!$F$3:$F$42)</f>
        <v>#N/A</v>
      </c>
      <c r="AJ419" s="172" t="e">
        <f>LOOKUP(AJ$2,'Depreciation Schedules'!$A$3:$A$42,'Depreciation Schedules'!$F$3:$F$42)</f>
        <v>#N/A</v>
      </c>
      <c r="AK419" s="172" t="e">
        <f>LOOKUP(AK$2,'Depreciation Schedules'!$A$3:$A$42,'Depreciation Schedules'!$F$3:$F$42)</f>
        <v>#N/A</v>
      </c>
      <c r="AL419" s="172" t="e">
        <f>LOOKUP(AL$2,'Depreciation Schedules'!$A$3:$A$42,'Depreciation Schedules'!$F$3:$F$42)</f>
        <v>#N/A</v>
      </c>
      <c r="AM419" s="172" t="e">
        <f>LOOKUP(AM$2,'Depreciation Schedules'!$A$3:$A$42,'Depreciation Schedules'!$F$3:$F$42)</f>
        <v>#N/A</v>
      </c>
      <c r="AN419" s="172" t="e">
        <f>LOOKUP(AN$2,'Depreciation Schedules'!$A$3:$A$42,'Depreciation Schedules'!$F$3:$F$42)</f>
        <v>#N/A</v>
      </c>
      <c r="AO419" s="172" t="e">
        <f>LOOKUP(AO$2,'Depreciation Schedules'!$A$3:$A$42,'Depreciation Schedules'!$F$3:$F$42)</f>
        <v>#N/A</v>
      </c>
      <c r="AP419" s="172" t="e">
        <f>LOOKUP(AP$2,'Depreciation Schedules'!$A$3:$A$42,'Depreciation Schedules'!$F$3:$F$42)</f>
        <v>#N/A</v>
      </c>
    </row>
    <row r="420" spans="1:42" x14ac:dyDescent="0.2">
      <c r="A420" s="23" t="str">
        <f t="shared" si="172"/>
        <v>39-yr SL</v>
      </c>
      <c r="B420" s="175">
        <f t="array" ref="B420">SUM(IF(ISNUMBER(C420:AP420),C420:AP420))</f>
        <v>62.820512820512739</v>
      </c>
      <c r="C420" s="172">
        <f>LOOKUP(C$2,'Depreciation Schedules'!$A$3:$A$42,'Depreciation Schedules'!$G$3:$G$42)</f>
        <v>1.2820512820512799</v>
      </c>
      <c r="D420" s="172">
        <f>LOOKUP(D$2,'Depreciation Schedules'!$A$3:$A$42,'Depreciation Schedules'!$G$3:$G$42)</f>
        <v>2.5641025641025599</v>
      </c>
      <c r="E420" s="172">
        <f>LOOKUP(E$2,'Depreciation Schedules'!$A$3:$A$42,'Depreciation Schedules'!$G$3:$G$42)</f>
        <v>2.5641025641025599</v>
      </c>
      <c r="F420" s="172">
        <f>LOOKUP(F$2,'Depreciation Schedules'!$A$3:$A$42,'Depreciation Schedules'!$G$3:$G$42)</f>
        <v>2.5641025641025599</v>
      </c>
      <c r="G420" s="172">
        <f>LOOKUP(G$2,'Depreciation Schedules'!$A$3:$A$42,'Depreciation Schedules'!$G$3:$G$42)</f>
        <v>2.5641025641025599</v>
      </c>
      <c r="H420" s="172">
        <f>LOOKUP(H$2,'Depreciation Schedules'!$A$3:$A$42,'Depreciation Schedules'!$G$3:$G$42)</f>
        <v>2.5641025641025599</v>
      </c>
      <c r="I420" s="172">
        <f>LOOKUP(I$2,'Depreciation Schedules'!$A$3:$A$42,'Depreciation Schedules'!$G$3:$G$42)</f>
        <v>2.5641025641025599</v>
      </c>
      <c r="J420" s="172">
        <f>LOOKUP(J$2,'Depreciation Schedules'!$A$3:$A$42,'Depreciation Schedules'!$G$3:$G$42)</f>
        <v>2.5641025641025599</v>
      </c>
      <c r="K420" s="172">
        <f>LOOKUP(K$2,'Depreciation Schedules'!$A$3:$A$42,'Depreciation Schedules'!$G$3:$G$42)</f>
        <v>2.5641025641025599</v>
      </c>
      <c r="L420" s="172">
        <f>LOOKUP(L$2,'Depreciation Schedules'!$A$3:$A$42,'Depreciation Schedules'!$G$3:$G$42)</f>
        <v>2.5641025641025599</v>
      </c>
      <c r="M420" s="172">
        <f>LOOKUP(M$2,'Depreciation Schedules'!$A$3:$A$42,'Depreciation Schedules'!$G$3:$G$42)</f>
        <v>2.5641025641025599</v>
      </c>
      <c r="N420" s="172">
        <f>LOOKUP(N$2,'Depreciation Schedules'!$A$3:$A$42,'Depreciation Schedules'!$G$3:$G$42)</f>
        <v>2.5641025641025599</v>
      </c>
      <c r="O420" s="172">
        <f>LOOKUP(O$2,'Depreciation Schedules'!$A$3:$A$42,'Depreciation Schedules'!$G$3:$G$42)</f>
        <v>2.5641025641025599</v>
      </c>
      <c r="P420" s="172">
        <f>LOOKUP(P$2,'Depreciation Schedules'!$A$3:$A$42,'Depreciation Schedules'!$G$3:$G$42)</f>
        <v>2.5641025641025599</v>
      </c>
      <c r="Q420" s="172">
        <f>LOOKUP(Q$2,'Depreciation Schedules'!$A$3:$A$42,'Depreciation Schedules'!$G$3:$G$42)</f>
        <v>2.5641025641025599</v>
      </c>
      <c r="R420" s="172">
        <f>LOOKUP(R$2,'Depreciation Schedules'!$A$3:$A$42,'Depreciation Schedules'!$G$3:$G$42)</f>
        <v>2.5641025641025599</v>
      </c>
      <c r="S420" s="172">
        <f>LOOKUP(S$2,'Depreciation Schedules'!$A$3:$A$42,'Depreciation Schedules'!$G$3:$G$42)</f>
        <v>2.5641025641025599</v>
      </c>
      <c r="T420" s="172">
        <f>LOOKUP(T$2,'Depreciation Schedules'!$A$3:$A$42,'Depreciation Schedules'!$G$3:$G$42)</f>
        <v>2.5641025641025599</v>
      </c>
      <c r="U420" s="172">
        <f>LOOKUP(U$2,'Depreciation Schedules'!$A$3:$A$42,'Depreciation Schedules'!$G$3:$G$42)</f>
        <v>2.5641025641025599</v>
      </c>
      <c r="V420" s="172">
        <f>LOOKUP(V$2,'Depreciation Schedules'!$A$3:$A$42,'Depreciation Schedules'!$G$3:$G$42)</f>
        <v>2.5641025641025599</v>
      </c>
      <c r="W420" s="172">
        <f>LOOKUP(W$2,'Depreciation Schedules'!$A$3:$A$42,'Depreciation Schedules'!$G$3:$G$42)</f>
        <v>2.5641025641025599</v>
      </c>
      <c r="X420" s="172">
        <f>LOOKUP(X$2,'Depreciation Schedules'!$A$3:$A$42,'Depreciation Schedules'!$G$3:$G$42)</f>
        <v>2.5641025641025599</v>
      </c>
      <c r="Y420" s="172">
        <f>LOOKUP(Y$2,'Depreciation Schedules'!$A$3:$A$42,'Depreciation Schedules'!$G$3:$G$42)</f>
        <v>2.5641025641025599</v>
      </c>
      <c r="Z420" s="172">
        <f>LOOKUP(Z$2,'Depreciation Schedules'!$A$3:$A$42,'Depreciation Schedules'!$G$3:$G$42)</f>
        <v>2.5641025641025599</v>
      </c>
      <c r="AA420" s="172">
        <f>LOOKUP(AA$2,'Depreciation Schedules'!$A$3:$A$42,'Depreciation Schedules'!$G$3:$G$42)</f>
        <v>2.5641025641025599</v>
      </c>
      <c r="AB420" s="172" t="e">
        <f>LOOKUP(AB$2,'Depreciation Schedules'!$A$3:$A$42,'Depreciation Schedules'!$G$3:$G$42)</f>
        <v>#N/A</v>
      </c>
      <c r="AC420" s="172" t="e">
        <f>LOOKUP(AC$2,'Depreciation Schedules'!$A$3:$A$42,'Depreciation Schedules'!$G$3:$G$42)</f>
        <v>#N/A</v>
      </c>
      <c r="AD420" s="172" t="e">
        <f>LOOKUP(AD$2,'Depreciation Schedules'!$A$3:$A$42,'Depreciation Schedules'!$G$3:$G$42)</f>
        <v>#N/A</v>
      </c>
      <c r="AE420" s="172" t="e">
        <f>LOOKUP(AE$2,'Depreciation Schedules'!$A$3:$A$42,'Depreciation Schedules'!$G$3:$G$42)</f>
        <v>#N/A</v>
      </c>
      <c r="AF420" s="172" t="e">
        <f>LOOKUP(AF$2,'Depreciation Schedules'!$A$3:$A$42,'Depreciation Schedules'!$G$3:$G$42)</f>
        <v>#N/A</v>
      </c>
      <c r="AG420" s="172" t="e">
        <f>LOOKUP(AG$2,'Depreciation Schedules'!$A$3:$A$42,'Depreciation Schedules'!$G$3:$G$42)</f>
        <v>#N/A</v>
      </c>
      <c r="AH420" s="172" t="e">
        <f>LOOKUP(AH$2,'Depreciation Schedules'!$A$3:$A$42,'Depreciation Schedules'!$G$3:$G$42)</f>
        <v>#N/A</v>
      </c>
      <c r="AI420" s="172" t="e">
        <f>LOOKUP(AI$2,'Depreciation Schedules'!$A$3:$A$42,'Depreciation Schedules'!$G$3:$G$42)</f>
        <v>#N/A</v>
      </c>
      <c r="AJ420" s="172" t="e">
        <f>LOOKUP(AJ$2,'Depreciation Schedules'!$A$3:$A$42,'Depreciation Schedules'!$G$3:$G$42)</f>
        <v>#N/A</v>
      </c>
      <c r="AK420" s="172" t="e">
        <f>LOOKUP(AK$2,'Depreciation Schedules'!$A$3:$A$42,'Depreciation Schedules'!$G$3:$G$42)</f>
        <v>#N/A</v>
      </c>
      <c r="AL420" s="172" t="e">
        <f>LOOKUP(AL$2,'Depreciation Schedules'!$A$3:$A$42,'Depreciation Schedules'!$G$3:$G$42)</f>
        <v>#N/A</v>
      </c>
      <c r="AM420" s="172" t="e">
        <f>LOOKUP(AM$2,'Depreciation Schedules'!$A$3:$A$42,'Depreciation Schedules'!$G$3:$G$42)</f>
        <v>#N/A</v>
      </c>
      <c r="AN420" s="172" t="e">
        <f>LOOKUP(AN$2,'Depreciation Schedules'!$A$3:$A$42,'Depreciation Schedules'!$G$3:$G$42)</f>
        <v>#N/A</v>
      </c>
      <c r="AO420" s="172" t="e">
        <f>LOOKUP(AO$2,'Depreciation Schedules'!$A$3:$A$42,'Depreciation Schedules'!$G$3:$G$42)</f>
        <v>#N/A</v>
      </c>
      <c r="AP420" s="172" t="e">
        <f>LOOKUP(AP$2,'Depreciation Schedules'!$A$3:$A$42,'Depreciation Schedules'!$G$3:$G$42)</f>
        <v>#N/A</v>
      </c>
    </row>
    <row r="421" spans="1:42" x14ac:dyDescent="0.2">
      <c r="A421" s="23" t="s">
        <v>324</v>
      </c>
      <c r="B421" s="175">
        <f t="array" ref="B421">SUM(IF(ISNUMBER(C421:AP421),C421:AP421))</f>
        <v>0</v>
      </c>
      <c r="C421" s="172">
        <f t="array" ref="C421:AP421">Inputs!D207:AQ207</f>
        <v>0</v>
      </c>
      <c r="D421" s="172">
        <v>0</v>
      </c>
      <c r="E421" s="172">
        <v>0</v>
      </c>
      <c r="F421" s="172">
        <v>0</v>
      </c>
      <c r="G421" s="172">
        <v>0</v>
      </c>
      <c r="H421" s="172">
        <v>0</v>
      </c>
      <c r="I421" s="172">
        <v>0</v>
      </c>
      <c r="J421" s="172">
        <v>0</v>
      </c>
      <c r="K421" s="172">
        <v>0</v>
      </c>
      <c r="L421" s="172">
        <v>0</v>
      </c>
      <c r="M421" s="172">
        <v>0</v>
      </c>
      <c r="N421" s="172">
        <v>0</v>
      </c>
      <c r="O421" s="172">
        <v>0</v>
      </c>
      <c r="P421" s="172">
        <v>0</v>
      </c>
      <c r="Q421" s="172">
        <v>0</v>
      </c>
      <c r="R421" s="172">
        <v>0</v>
      </c>
      <c r="S421" s="172">
        <v>0</v>
      </c>
      <c r="T421" s="172">
        <v>0</v>
      </c>
      <c r="U421" s="172">
        <v>0</v>
      </c>
      <c r="V421" s="172">
        <v>0</v>
      </c>
      <c r="W421" s="172">
        <v>0</v>
      </c>
      <c r="X421" s="172">
        <v>0</v>
      </c>
      <c r="Y421" s="172">
        <v>0</v>
      </c>
      <c r="Z421" s="172">
        <v>0</v>
      </c>
      <c r="AA421" s="172">
        <v>0</v>
      </c>
      <c r="AB421" s="172">
        <v>0</v>
      </c>
      <c r="AC421" s="172">
        <v>0</v>
      </c>
      <c r="AD421" s="172">
        <v>0</v>
      </c>
      <c r="AE421" s="172">
        <v>0</v>
      </c>
      <c r="AF421" s="172">
        <v>0</v>
      </c>
      <c r="AG421" s="172">
        <v>0</v>
      </c>
      <c r="AH421" s="172">
        <v>0</v>
      </c>
      <c r="AI421" s="172">
        <v>0</v>
      </c>
      <c r="AJ421" s="172">
        <v>0</v>
      </c>
      <c r="AK421" s="172">
        <v>0</v>
      </c>
      <c r="AL421" s="172">
        <v>0</v>
      </c>
      <c r="AM421" s="172">
        <v>0</v>
      </c>
      <c r="AN421" s="172">
        <v>0</v>
      </c>
      <c r="AO421" s="172">
        <v>0</v>
      </c>
      <c r="AP421" s="172">
        <v>0</v>
      </c>
    </row>
    <row r="422" spans="1:42" x14ac:dyDescent="0.2">
      <c r="A422" s="22" t="s">
        <v>3</v>
      </c>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row>
    <row r="423" spans="1:42" x14ac:dyDescent="0.2">
      <c r="A423" s="23" t="str">
        <f t="shared" ref="A423:A428" si="173">A415</f>
        <v>5-yr MACRS</v>
      </c>
      <c r="B423" s="181">
        <f t="array" ref="B423">SUM(IF(ISNUMBER(C423:AP423),C423:AP423))</f>
        <v>86952307.837500006</v>
      </c>
      <c r="C423" s="123">
        <f>C415/100*$Q$382</f>
        <v>17390461.567500003</v>
      </c>
      <c r="D423" s="123">
        <f t="shared" ref="D423:AP423" si="174">D415/100*$Q$382</f>
        <v>27824738.508000001</v>
      </c>
      <c r="E423" s="123">
        <f t="shared" si="174"/>
        <v>16694843.104800001</v>
      </c>
      <c r="F423" s="123">
        <f t="shared" si="174"/>
        <v>10016905.862880001</v>
      </c>
      <c r="G423" s="123">
        <f t="shared" si="174"/>
        <v>10016905.862880001</v>
      </c>
      <c r="H423" s="123">
        <f t="shared" si="174"/>
        <v>5008452.9314400004</v>
      </c>
      <c r="I423" s="123">
        <f t="shared" si="174"/>
        <v>0</v>
      </c>
      <c r="J423" s="123">
        <f t="shared" si="174"/>
        <v>0</v>
      </c>
      <c r="K423" s="123">
        <f t="shared" si="174"/>
        <v>0</v>
      </c>
      <c r="L423" s="123">
        <f t="shared" si="174"/>
        <v>0</v>
      </c>
      <c r="M423" s="123">
        <f t="shared" si="174"/>
        <v>0</v>
      </c>
      <c r="N423" s="123">
        <f t="shared" si="174"/>
        <v>0</v>
      </c>
      <c r="O423" s="123">
        <f t="shared" si="174"/>
        <v>0</v>
      </c>
      <c r="P423" s="123">
        <f t="shared" si="174"/>
        <v>0</v>
      </c>
      <c r="Q423" s="123">
        <f t="shared" si="174"/>
        <v>0</v>
      </c>
      <c r="R423" s="123">
        <f t="shared" si="174"/>
        <v>0</v>
      </c>
      <c r="S423" s="123">
        <f t="shared" si="174"/>
        <v>0</v>
      </c>
      <c r="T423" s="123">
        <f t="shared" si="174"/>
        <v>0</v>
      </c>
      <c r="U423" s="123">
        <f t="shared" si="174"/>
        <v>0</v>
      </c>
      <c r="V423" s="123">
        <f t="shared" si="174"/>
        <v>0</v>
      </c>
      <c r="W423" s="123">
        <f t="shared" si="174"/>
        <v>0</v>
      </c>
      <c r="X423" s="123">
        <f t="shared" si="174"/>
        <v>0</v>
      </c>
      <c r="Y423" s="123">
        <f t="shared" si="174"/>
        <v>0</v>
      </c>
      <c r="Z423" s="123">
        <f t="shared" si="174"/>
        <v>0</v>
      </c>
      <c r="AA423" s="123">
        <f t="shared" si="174"/>
        <v>0</v>
      </c>
      <c r="AB423" s="123" t="e">
        <f t="shared" si="174"/>
        <v>#N/A</v>
      </c>
      <c r="AC423" s="123" t="e">
        <f t="shared" si="174"/>
        <v>#N/A</v>
      </c>
      <c r="AD423" s="123" t="e">
        <f t="shared" si="174"/>
        <v>#N/A</v>
      </c>
      <c r="AE423" s="123" t="e">
        <f t="shared" si="174"/>
        <v>#N/A</v>
      </c>
      <c r="AF423" s="123" t="e">
        <f t="shared" si="174"/>
        <v>#N/A</v>
      </c>
      <c r="AG423" s="123" t="e">
        <f t="shared" si="174"/>
        <v>#N/A</v>
      </c>
      <c r="AH423" s="123" t="e">
        <f t="shared" si="174"/>
        <v>#N/A</v>
      </c>
      <c r="AI423" s="123" t="e">
        <f t="shared" si="174"/>
        <v>#N/A</v>
      </c>
      <c r="AJ423" s="123" t="e">
        <f t="shared" si="174"/>
        <v>#N/A</v>
      </c>
      <c r="AK423" s="123" t="e">
        <f t="shared" si="174"/>
        <v>#N/A</v>
      </c>
      <c r="AL423" s="123" t="e">
        <f t="shared" si="174"/>
        <v>#N/A</v>
      </c>
      <c r="AM423" s="123" t="e">
        <f t="shared" si="174"/>
        <v>#N/A</v>
      </c>
      <c r="AN423" s="123" t="e">
        <f t="shared" si="174"/>
        <v>#N/A</v>
      </c>
      <c r="AO423" s="123" t="e">
        <f t="shared" si="174"/>
        <v>#N/A</v>
      </c>
      <c r="AP423" s="123" t="e">
        <f t="shared" si="174"/>
        <v>#N/A</v>
      </c>
    </row>
    <row r="424" spans="1:42" x14ac:dyDescent="0.2">
      <c r="A424" s="23" t="str">
        <f t="shared" si="173"/>
        <v>15-yr MACRS</v>
      </c>
      <c r="B424" s="181">
        <f t="array" ref="B424">SUM(IF(ISNUMBER(C424:AP424),C424:AP424))</f>
        <v>1704776.71777875</v>
      </c>
      <c r="C424" s="123">
        <f>C416/100*$Q$383</f>
        <v>85247.360625000001</v>
      </c>
      <c r="D424" s="123">
        <f t="shared" ref="D424:AP424" si="175">D416/100*$Q$383</f>
        <v>161969.98518749999</v>
      </c>
      <c r="E424" s="123">
        <f t="shared" si="175"/>
        <v>145772.98666875</v>
      </c>
      <c r="F424" s="123">
        <f t="shared" si="175"/>
        <v>131280.93536249999</v>
      </c>
      <c r="G424" s="123">
        <f t="shared" si="175"/>
        <v>118152.84182624999</v>
      </c>
      <c r="H424" s="123">
        <f t="shared" si="175"/>
        <v>106218.21133875</v>
      </c>
      <c r="I424" s="123">
        <f t="shared" si="175"/>
        <v>100591.8855375</v>
      </c>
      <c r="J424" s="123">
        <f t="shared" si="175"/>
        <v>100591.8855375</v>
      </c>
      <c r="K424" s="123">
        <f t="shared" si="175"/>
        <v>100762.38025875</v>
      </c>
      <c r="L424" s="123">
        <f t="shared" si="175"/>
        <v>100591.8855375</v>
      </c>
      <c r="M424" s="123">
        <f t="shared" si="175"/>
        <v>100762.38025875</v>
      </c>
      <c r="N424" s="123">
        <f t="shared" si="175"/>
        <v>100591.8855375</v>
      </c>
      <c r="O424" s="123">
        <f t="shared" si="175"/>
        <v>100762.38025875</v>
      </c>
      <c r="P424" s="123">
        <f t="shared" si="175"/>
        <v>100591.8855375</v>
      </c>
      <c r="Q424" s="123">
        <f t="shared" si="175"/>
        <v>100591.8855375</v>
      </c>
      <c r="R424" s="123">
        <f t="shared" si="175"/>
        <v>50295.942768749999</v>
      </c>
      <c r="S424" s="123">
        <f t="shared" si="175"/>
        <v>0</v>
      </c>
      <c r="T424" s="123">
        <f t="shared" si="175"/>
        <v>0</v>
      </c>
      <c r="U424" s="123">
        <f t="shared" si="175"/>
        <v>0</v>
      </c>
      <c r="V424" s="123">
        <f t="shared" si="175"/>
        <v>0</v>
      </c>
      <c r="W424" s="123">
        <f t="shared" si="175"/>
        <v>0</v>
      </c>
      <c r="X424" s="123">
        <f t="shared" si="175"/>
        <v>0</v>
      </c>
      <c r="Y424" s="123">
        <f t="shared" si="175"/>
        <v>0</v>
      </c>
      <c r="Z424" s="123">
        <f t="shared" si="175"/>
        <v>0</v>
      </c>
      <c r="AA424" s="123">
        <f t="shared" si="175"/>
        <v>0</v>
      </c>
      <c r="AB424" s="123" t="e">
        <f t="shared" si="175"/>
        <v>#N/A</v>
      </c>
      <c r="AC424" s="123" t="e">
        <f t="shared" si="175"/>
        <v>#N/A</v>
      </c>
      <c r="AD424" s="123" t="e">
        <f t="shared" si="175"/>
        <v>#N/A</v>
      </c>
      <c r="AE424" s="123" t="e">
        <f t="shared" si="175"/>
        <v>#N/A</v>
      </c>
      <c r="AF424" s="123" t="e">
        <f t="shared" si="175"/>
        <v>#N/A</v>
      </c>
      <c r="AG424" s="123" t="e">
        <f t="shared" si="175"/>
        <v>#N/A</v>
      </c>
      <c r="AH424" s="123" t="e">
        <f t="shared" si="175"/>
        <v>#N/A</v>
      </c>
      <c r="AI424" s="123" t="e">
        <f t="shared" si="175"/>
        <v>#N/A</v>
      </c>
      <c r="AJ424" s="123" t="e">
        <f t="shared" si="175"/>
        <v>#N/A</v>
      </c>
      <c r="AK424" s="123" t="e">
        <f t="shared" si="175"/>
        <v>#N/A</v>
      </c>
      <c r="AL424" s="123" t="e">
        <f t="shared" si="175"/>
        <v>#N/A</v>
      </c>
      <c r="AM424" s="123" t="e">
        <f t="shared" si="175"/>
        <v>#N/A</v>
      </c>
      <c r="AN424" s="123" t="e">
        <f t="shared" si="175"/>
        <v>#N/A</v>
      </c>
      <c r="AO424" s="123" t="e">
        <f t="shared" si="175"/>
        <v>#N/A</v>
      </c>
      <c r="AP424" s="123" t="e">
        <f t="shared" si="175"/>
        <v>#N/A</v>
      </c>
    </row>
    <row r="425" spans="1:42" x14ac:dyDescent="0.2">
      <c r="A425" s="23" t="str">
        <f t="shared" si="173"/>
        <v>5-yr SL</v>
      </c>
      <c r="B425" s="181">
        <f t="array" ref="B425">SUM(IF(ISNUMBER(C425:AP425),C425:AP425))</f>
        <v>0</v>
      </c>
      <c r="C425" s="123">
        <f>C417/100*$Q$384</f>
        <v>0</v>
      </c>
      <c r="D425" s="123">
        <f t="shared" ref="D425:AP425" si="176">D417/100*$Q$384</f>
        <v>0</v>
      </c>
      <c r="E425" s="123">
        <f t="shared" si="176"/>
        <v>0</v>
      </c>
      <c r="F425" s="123">
        <f t="shared" si="176"/>
        <v>0</v>
      </c>
      <c r="G425" s="123">
        <f t="shared" si="176"/>
        <v>0</v>
      </c>
      <c r="H425" s="123">
        <f t="shared" si="176"/>
        <v>0</v>
      </c>
      <c r="I425" s="123">
        <f t="shared" si="176"/>
        <v>0</v>
      </c>
      <c r="J425" s="123">
        <f t="shared" si="176"/>
        <v>0</v>
      </c>
      <c r="K425" s="123">
        <f t="shared" si="176"/>
        <v>0</v>
      </c>
      <c r="L425" s="123">
        <f t="shared" si="176"/>
        <v>0</v>
      </c>
      <c r="M425" s="123">
        <f t="shared" si="176"/>
        <v>0</v>
      </c>
      <c r="N425" s="123">
        <f t="shared" si="176"/>
        <v>0</v>
      </c>
      <c r="O425" s="123">
        <f t="shared" si="176"/>
        <v>0</v>
      </c>
      <c r="P425" s="123">
        <f t="shared" si="176"/>
        <v>0</v>
      </c>
      <c r="Q425" s="123">
        <f t="shared" si="176"/>
        <v>0</v>
      </c>
      <c r="R425" s="123">
        <f t="shared" si="176"/>
        <v>0</v>
      </c>
      <c r="S425" s="123">
        <f t="shared" si="176"/>
        <v>0</v>
      </c>
      <c r="T425" s="123">
        <f t="shared" si="176"/>
        <v>0</v>
      </c>
      <c r="U425" s="123">
        <f t="shared" si="176"/>
        <v>0</v>
      </c>
      <c r="V425" s="123">
        <f t="shared" si="176"/>
        <v>0</v>
      </c>
      <c r="W425" s="123">
        <f t="shared" si="176"/>
        <v>0</v>
      </c>
      <c r="X425" s="123">
        <f t="shared" si="176"/>
        <v>0</v>
      </c>
      <c r="Y425" s="123">
        <f t="shared" si="176"/>
        <v>0</v>
      </c>
      <c r="Z425" s="123">
        <f t="shared" si="176"/>
        <v>0</v>
      </c>
      <c r="AA425" s="123">
        <f t="shared" si="176"/>
        <v>0</v>
      </c>
      <c r="AB425" s="123" t="e">
        <f t="shared" si="176"/>
        <v>#N/A</v>
      </c>
      <c r="AC425" s="123" t="e">
        <f t="shared" si="176"/>
        <v>#N/A</v>
      </c>
      <c r="AD425" s="123" t="e">
        <f t="shared" si="176"/>
        <v>#N/A</v>
      </c>
      <c r="AE425" s="123" t="e">
        <f t="shared" si="176"/>
        <v>#N/A</v>
      </c>
      <c r="AF425" s="123" t="e">
        <f t="shared" si="176"/>
        <v>#N/A</v>
      </c>
      <c r="AG425" s="123" t="e">
        <f t="shared" si="176"/>
        <v>#N/A</v>
      </c>
      <c r="AH425" s="123" t="e">
        <f t="shared" si="176"/>
        <v>#N/A</v>
      </c>
      <c r="AI425" s="123" t="e">
        <f t="shared" si="176"/>
        <v>#N/A</v>
      </c>
      <c r="AJ425" s="123" t="e">
        <f t="shared" si="176"/>
        <v>#N/A</v>
      </c>
      <c r="AK425" s="123" t="e">
        <f t="shared" si="176"/>
        <v>#N/A</v>
      </c>
      <c r="AL425" s="123" t="e">
        <f t="shared" si="176"/>
        <v>#N/A</v>
      </c>
      <c r="AM425" s="123" t="e">
        <f t="shared" si="176"/>
        <v>#N/A</v>
      </c>
      <c r="AN425" s="123" t="e">
        <f t="shared" si="176"/>
        <v>#N/A</v>
      </c>
      <c r="AO425" s="123" t="e">
        <f t="shared" si="176"/>
        <v>#N/A</v>
      </c>
      <c r="AP425" s="123" t="e">
        <f t="shared" si="176"/>
        <v>#N/A</v>
      </c>
    </row>
    <row r="426" spans="1:42" x14ac:dyDescent="0.2">
      <c r="A426" s="23" t="str">
        <f t="shared" si="173"/>
        <v>15-yr SL</v>
      </c>
      <c r="B426" s="181">
        <f t="array" ref="B426">SUM(IF(ISNUMBER(C426:AP426),C426:AP426))</f>
        <v>2842147.0032375003</v>
      </c>
      <c r="C426" s="123">
        <f>C418/100*$Q$385</f>
        <v>94624.570293750003</v>
      </c>
      <c r="D426" s="123">
        <f t="shared" ref="D426:AP426" si="177">D418/100*$Q$385</f>
        <v>189533.29845624999</v>
      </c>
      <c r="E426" s="123">
        <f t="shared" si="177"/>
        <v>189533.29845624999</v>
      </c>
      <c r="F426" s="123">
        <f t="shared" si="177"/>
        <v>189533.29845624999</v>
      </c>
      <c r="G426" s="123">
        <f t="shared" si="177"/>
        <v>189533.29845624999</v>
      </c>
      <c r="H426" s="123">
        <f t="shared" si="177"/>
        <v>189533.29845624999</v>
      </c>
      <c r="I426" s="123">
        <f t="shared" si="177"/>
        <v>189533.29845624999</v>
      </c>
      <c r="J426" s="123">
        <f t="shared" si="177"/>
        <v>189533.29845624999</v>
      </c>
      <c r="K426" s="123">
        <f t="shared" si="177"/>
        <v>189533.29845624999</v>
      </c>
      <c r="L426" s="123">
        <f t="shared" si="177"/>
        <v>189533.29845624999</v>
      </c>
      <c r="M426" s="123">
        <f t="shared" si="177"/>
        <v>189533.29845624999</v>
      </c>
      <c r="N426" s="123">
        <f t="shared" si="177"/>
        <v>189249.14058750001</v>
      </c>
      <c r="O426" s="123">
        <f t="shared" si="177"/>
        <v>189533.29845624999</v>
      </c>
      <c r="P426" s="123">
        <f t="shared" si="177"/>
        <v>189249.14058750001</v>
      </c>
      <c r="Q426" s="123">
        <f t="shared" si="177"/>
        <v>189533.29845624999</v>
      </c>
      <c r="R426" s="123">
        <f t="shared" si="177"/>
        <v>94624.570293750003</v>
      </c>
      <c r="S426" s="123">
        <f t="shared" si="177"/>
        <v>0</v>
      </c>
      <c r="T426" s="123">
        <f t="shared" si="177"/>
        <v>0</v>
      </c>
      <c r="U426" s="123">
        <f t="shared" si="177"/>
        <v>0</v>
      </c>
      <c r="V426" s="123">
        <f t="shared" si="177"/>
        <v>0</v>
      </c>
      <c r="W426" s="123">
        <f t="shared" si="177"/>
        <v>0</v>
      </c>
      <c r="X426" s="123">
        <f t="shared" si="177"/>
        <v>0</v>
      </c>
      <c r="Y426" s="123">
        <f t="shared" si="177"/>
        <v>0</v>
      </c>
      <c r="Z426" s="123">
        <f t="shared" si="177"/>
        <v>0</v>
      </c>
      <c r="AA426" s="123">
        <f t="shared" si="177"/>
        <v>0</v>
      </c>
      <c r="AB426" s="123" t="e">
        <f t="shared" si="177"/>
        <v>#N/A</v>
      </c>
      <c r="AC426" s="123" t="e">
        <f t="shared" si="177"/>
        <v>#N/A</v>
      </c>
      <c r="AD426" s="123" t="e">
        <f t="shared" si="177"/>
        <v>#N/A</v>
      </c>
      <c r="AE426" s="123" t="e">
        <f t="shared" si="177"/>
        <v>#N/A</v>
      </c>
      <c r="AF426" s="123" t="e">
        <f t="shared" si="177"/>
        <v>#N/A</v>
      </c>
      <c r="AG426" s="123" t="e">
        <f t="shared" si="177"/>
        <v>#N/A</v>
      </c>
      <c r="AH426" s="123" t="e">
        <f t="shared" si="177"/>
        <v>#N/A</v>
      </c>
      <c r="AI426" s="123" t="e">
        <f t="shared" si="177"/>
        <v>#N/A</v>
      </c>
      <c r="AJ426" s="123" t="e">
        <f t="shared" si="177"/>
        <v>#N/A</v>
      </c>
      <c r="AK426" s="123" t="e">
        <f t="shared" si="177"/>
        <v>#N/A</v>
      </c>
      <c r="AL426" s="123" t="e">
        <f t="shared" si="177"/>
        <v>#N/A</v>
      </c>
      <c r="AM426" s="123" t="e">
        <f t="shared" si="177"/>
        <v>#N/A</v>
      </c>
      <c r="AN426" s="123" t="e">
        <f t="shared" si="177"/>
        <v>#N/A</v>
      </c>
      <c r="AO426" s="123" t="e">
        <f t="shared" si="177"/>
        <v>#N/A</v>
      </c>
      <c r="AP426" s="123" t="e">
        <f t="shared" si="177"/>
        <v>#N/A</v>
      </c>
    </row>
    <row r="427" spans="1:42" x14ac:dyDescent="0.2">
      <c r="A427" s="23" t="str">
        <f t="shared" si="173"/>
        <v>20-yr SL</v>
      </c>
      <c r="B427" s="181">
        <f t="array" ref="B427">SUM(IF(ISNUMBER(C427:AP427),C427:AP427))</f>
        <v>3409894.4249999993</v>
      </c>
      <c r="C427" s="123">
        <f>C419/100*$Q$386</f>
        <v>85247.360625000001</v>
      </c>
      <c r="D427" s="123">
        <f t="shared" ref="D427:AP427" si="178">D419/100*$Q$386</f>
        <v>170494.72125</v>
      </c>
      <c r="E427" s="123">
        <f t="shared" si="178"/>
        <v>170494.72125</v>
      </c>
      <c r="F427" s="123">
        <f t="shared" si="178"/>
        <v>170494.72125</v>
      </c>
      <c r="G427" s="123">
        <f t="shared" si="178"/>
        <v>170494.72125</v>
      </c>
      <c r="H427" s="123">
        <f t="shared" si="178"/>
        <v>170494.72125</v>
      </c>
      <c r="I427" s="123">
        <f t="shared" si="178"/>
        <v>170494.72125</v>
      </c>
      <c r="J427" s="123">
        <f t="shared" si="178"/>
        <v>170494.72125</v>
      </c>
      <c r="K427" s="123">
        <f t="shared" si="178"/>
        <v>170494.72125</v>
      </c>
      <c r="L427" s="123">
        <f t="shared" si="178"/>
        <v>170494.72125</v>
      </c>
      <c r="M427" s="123">
        <f t="shared" si="178"/>
        <v>170494.72125</v>
      </c>
      <c r="N427" s="123">
        <f t="shared" si="178"/>
        <v>170494.72125</v>
      </c>
      <c r="O427" s="123">
        <f t="shared" si="178"/>
        <v>170494.72125</v>
      </c>
      <c r="P427" s="123">
        <f t="shared" si="178"/>
        <v>170494.72125</v>
      </c>
      <c r="Q427" s="123">
        <f t="shared" si="178"/>
        <v>170494.72125</v>
      </c>
      <c r="R427" s="123">
        <f t="shared" si="178"/>
        <v>170494.72125</v>
      </c>
      <c r="S427" s="123">
        <f t="shared" si="178"/>
        <v>170494.72125</v>
      </c>
      <c r="T427" s="123">
        <f t="shared" si="178"/>
        <v>170494.72125</v>
      </c>
      <c r="U427" s="123">
        <f t="shared" si="178"/>
        <v>170494.72125</v>
      </c>
      <c r="V427" s="123">
        <f t="shared" si="178"/>
        <v>170494.72125</v>
      </c>
      <c r="W427" s="123">
        <f t="shared" si="178"/>
        <v>85247.360625000001</v>
      </c>
      <c r="X427" s="123">
        <f t="shared" si="178"/>
        <v>0</v>
      </c>
      <c r="Y427" s="123">
        <f t="shared" si="178"/>
        <v>0</v>
      </c>
      <c r="Z427" s="123">
        <f t="shared" si="178"/>
        <v>0</v>
      </c>
      <c r="AA427" s="123">
        <f t="shared" si="178"/>
        <v>0</v>
      </c>
      <c r="AB427" s="123" t="e">
        <f t="shared" si="178"/>
        <v>#N/A</v>
      </c>
      <c r="AC427" s="123" t="e">
        <f t="shared" si="178"/>
        <v>#N/A</v>
      </c>
      <c r="AD427" s="123" t="e">
        <f t="shared" si="178"/>
        <v>#N/A</v>
      </c>
      <c r="AE427" s="123" t="e">
        <f t="shared" si="178"/>
        <v>#N/A</v>
      </c>
      <c r="AF427" s="123" t="e">
        <f t="shared" si="178"/>
        <v>#N/A</v>
      </c>
      <c r="AG427" s="123" t="e">
        <f t="shared" si="178"/>
        <v>#N/A</v>
      </c>
      <c r="AH427" s="123" t="e">
        <f t="shared" si="178"/>
        <v>#N/A</v>
      </c>
      <c r="AI427" s="123" t="e">
        <f t="shared" si="178"/>
        <v>#N/A</v>
      </c>
      <c r="AJ427" s="123" t="e">
        <f t="shared" si="178"/>
        <v>#N/A</v>
      </c>
      <c r="AK427" s="123" t="e">
        <f t="shared" si="178"/>
        <v>#N/A</v>
      </c>
      <c r="AL427" s="123" t="e">
        <f t="shared" si="178"/>
        <v>#N/A</v>
      </c>
      <c r="AM427" s="123" t="e">
        <f t="shared" si="178"/>
        <v>#N/A</v>
      </c>
      <c r="AN427" s="123" t="e">
        <f t="shared" si="178"/>
        <v>#N/A</v>
      </c>
      <c r="AO427" s="123" t="e">
        <f t="shared" si="178"/>
        <v>#N/A</v>
      </c>
      <c r="AP427" s="123" t="e">
        <f t="shared" si="178"/>
        <v>#N/A</v>
      </c>
    </row>
    <row r="428" spans="1:42" x14ac:dyDescent="0.2">
      <c r="A428" s="23" t="str">
        <f t="shared" si="173"/>
        <v>39-yr SL</v>
      </c>
      <c r="B428" s="181">
        <f>SUM(IF(ISNUMBER(C428:AP428),C428:AP428))</f>
        <v>0</v>
      </c>
      <c r="C428" s="123">
        <f>C420/100*$Q$387</f>
        <v>0</v>
      </c>
      <c r="D428" s="123">
        <f t="shared" ref="D428:AP428" si="179">D420/100*$Q$387</f>
        <v>0</v>
      </c>
      <c r="E428" s="123">
        <f t="shared" si="179"/>
        <v>0</v>
      </c>
      <c r="F428" s="123">
        <f t="shared" si="179"/>
        <v>0</v>
      </c>
      <c r="G428" s="123">
        <f t="shared" si="179"/>
        <v>0</v>
      </c>
      <c r="H428" s="123">
        <f t="shared" si="179"/>
        <v>0</v>
      </c>
      <c r="I428" s="123">
        <f t="shared" si="179"/>
        <v>0</v>
      </c>
      <c r="J428" s="123">
        <f t="shared" si="179"/>
        <v>0</v>
      </c>
      <c r="K428" s="123">
        <f t="shared" si="179"/>
        <v>0</v>
      </c>
      <c r="L428" s="123">
        <f t="shared" si="179"/>
        <v>0</v>
      </c>
      <c r="M428" s="123">
        <f t="shared" si="179"/>
        <v>0</v>
      </c>
      <c r="N428" s="123">
        <f t="shared" si="179"/>
        <v>0</v>
      </c>
      <c r="O428" s="123">
        <f t="shared" si="179"/>
        <v>0</v>
      </c>
      <c r="P428" s="123">
        <f t="shared" si="179"/>
        <v>0</v>
      </c>
      <c r="Q428" s="123">
        <f t="shared" si="179"/>
        <v>0</v>
      </c>
      <c r="R428" s="123">
        <f t="shared" si="179"/>
        <v>0</v>
      </c>
      <c r="S428" s="123">
        <f t="shared" si="179"/>
        <v>0</v>
      </c>
      <c r="T428" s="123">
        <f t="shared" si="179"/>
        <v>0</v>
      </c>
      <c r="U428" s="123">
        <f t="shared" si="179"/>
        <v>0</v>
      </c>
      <c r="V428" s="123">
        <f t="shared" si="179"/>
        <v>0</v>
      </c>
      <c r="W428" s="123">
        <f t="shared" si="179"/>
        <v>0</v>
      </c>
      <c r="X428" s="123">
        <f t="shared" si="179"/>
        <v>0</v>
      </c>
      <c r="Y428" s="123">
        <f t="shared" si="179"/>
        <v>0</v>
      </c>
      <c r="Z428" s="123">
        <f t="shared" si="179"/>
        <v>0</v>
      </c>
      <c r="AA428" s="123">
        <f t="shared" si="179"/>
        <v>0</v>
      </c>
      <c r="AB428" s="123" t="e">
        <f t="shared" si="179"/>
        <v>#N/A</v>
      </c>
      <c r="AC428" s="123" t="e">
        <f t="shared" si="179"/>
        <v>#N/A</v>
      </c>
      <c r="AD428" s="123" t="e">
        <f t="shared" si="179"/>
        <v>#N/A</v>
      </c>
      <c r="AE428" s="123" t="e">
        <f t="shared" si="179"/>
        <v>#N/A</v>
      </c>
      <c r="AF428" s="123" t="e">
        <f t="shared" si="179"/>
        <v>#N/A</v>
      </c>
      <c r="AG428" s="123" t="e">
        <f t="shared" si="179"/>
        <v>#N/A</v>
      </c>
      <c r="AH428" s="123" t="e">
        <f t="shared" si="179"/>
        <v>#N/A</v>
      </c>
      <c r="AI428" s="123" t="e">
        <f t="shared" si="179"/>
        <v>#N/A</v>
      </c>
      <c r="AJ428" s="123" t="e">
        <f t="shared" si="179"/>
        <v>#N/A</v>
      </c>
      <c r="AK428" s="123" t="e">
        <f t="shared" si="179"/>
        <v>#N/A</v>
      </c>
      <c r="AL428" s="123" t="e">
        <f t="shared" si="179"/>
        <v>#N/A</v>
      </c>
      <c r="AM428" s="123" t="e">
        <f t="shared" si="179"/>
        <v>#N/A</v>
      </c>
      <c r="AN428" s="123" t="e">
        <f t="shared" si="179"/>
        <v>#N/A</v>
      </c>
      <c r="AO428" s="123" t="e">
        <f t="shared" si="179"/>
        <v>#N/A</v>
      </c>
      <c r="AP428" s="123" t="e">
        <f t="shared" si="179"/>
        <v>#N/A</v>
      </c>
    </row>
    <row r="429" spans="1:42" x14ac:dyDescent="0.2">
      <c r="A429" s="23" t="s">
        <v>324</v>
      </c>
      <c r="B429" s="181">
        <f>SUM(IF(ISNUMBER(C429:AP429),C429:AP429))</f>
        <v>0</v>
      </c>
      <c r="C429" s="123">
        <f t="shared" ref="C429:AP429" si="180">IF(C2&lt;=analysis_period,C421/100*$Q$388,0)</f>
        <v>0</v>
      </c>
      <c r="D429" s="123">
        <f t="shared" si="180"/>
        <v>0</v>
      </c>
      <c r="E429" s="123">
        <f t="shared" si="180"/>
        <v>0</v>
      </c>
      <c r="F429" s="123">
        <f t="shared" si="180"/>
        <v>0</v>
      </c>
      <c r="G429" s="123">
        <f t="shared" si="180"/>
        <v>0</v>
      </c>
      <c r="H429" s="123">
        <f t="shared" si="180"/>
        <v>0</v>
      </c>
      <c r="I429" s="123">
        <f t="shared" si="180"/>
        <v>0</v>
      </c>
      <c r="J429" s="123">
        <f t="shared" si="180"/>
        <v>0</v>
      </c>
      <c r="K429" s="123">
        <f t="shared" si="180"/>
        <v>0</v>
      </c>
      <c r="L429" s="123">
        <f t="shared" si="180"/>
        <v>0</v>
      </c>
      <c r="M429" s="123">
        <f t="shared" si="180"/>
        <v>0</v>
      </c>
      <c r="N429" s="123">
        <f t="shared" si="180"/>
        <v>0</v>
      </c>
      <c r="O429" s="123">
        <f t="shared" si="180"/>
        <v>0</v>
      </c>
      <c r="P429" s="123">
        <f t="shared" si="180"/>
        <v>0</v>
      </c>
      <c r="Q429" s="123">
        <f t="shared" si="180"/>
        <v>0</v>
      </c>
      <c r="R429" s="123">
        <f t="shared" si="180"/>
        <v>0</v>
      </c>
      <c r="S429" s="123">
        <f t="shared" si="180"/>
        <v>0</v>
      </c>
      <c r="T429" s="123">
        <f t="shared" si="180"/>
        <v>0</v>
      </c>
      <c r="U429" s="123">
        <f t="shared" si="180"/>
        <v>0</v>
      </c>
      <c r="V429" s="123">
        <f t="shared" si="180"/>
        <v>0</v>
      </c>
      <c r="W429" s="123">
        <f t="shared" si="180"/>
        <v>0</v>
      </c>
      <c r="X429" s="123">
        <f t="shared" si="180"/>
        <v>0</v>
      </c>
      <c r="Y429" s="123">
        <f t="shared" si="180"/>
        <v>0</v>
      </c>
      <c r="Z429" s="123">
        <f t="shared" si="180"/>
        <v>0</v>
      </c>
      <c r="AA429" s="123">
        <f t="shared" si="180"/>
        <v>0</v>
      </c>
      <c r="AB429" s="123">
        <f t="shared" si="180"/>
        <v>0</v>
      </c>
      <c r="AC429" s="123">
        <f t="shared" si="180"/>
        <v>0</v>
      </c>
      <c r="AD429" s="123">
        <f t="shared" si="180"/>
        <v>0</v>
      </c>
      <c r="AE429" s="123">
        <f t="shared" si="180"/>
        <v>0</v>
      </c>
      <c r="AF429" s="123">
        <f t="shared" si="180"/>
        <v>0</v>
      </c>
      <c r="AG429" s="123">
        <f t="shared" si="180"/>
        <v>0</v>
      </c>
      <c r="AH429" s="123">
        <f t="shared" si="180"/>
        <v>0</v>
      </c>
      <c r="AI429" s="123">
        <f t="shared" si="180"/>
        <v>0</v>
      </c>
      <c r="AJ429" s="123">
        <f t="shared" si="180"/>
        <v>0</v>
      </c>
      <c r="AK429" s="123">
        <f t="shared" si="180"/>
        <v>0</v>
      </c>
      <c r="AL429" s="123">
        <f t="shared" si="180"/>
        <v>0</v>
      </c>
      <c r="AM429" s="123">
        <f t="shared" si="180"/>
        <v>0</v>
      </c>
      <c r="AN429" s="123">
        <f t="shared" si="180"/>
        <v>0</v>
      </c>
      <c r="AO429" s="123">
        <f t="shared" si="180"/>
        <v>0</v>
      </c>
      <c r="AP429" s="123">
        <f t="shared" si="180"/>
        <v>0</v>
      </c>
    </row>
    <row r="430" spans="1:42" x14ac:dyDescent="0.2">
      <c r="A430" s="23" t="s">
        <v>87</v>
      </c>
      <c r="B430" s="181">
        <f t="array" ref="B430">SUM(IF(ISNUMBER(C430:AP430),C430:AP430))</f>
        <v>0</v>
      </c>
      <c r="C430" s="124">
        <f>P389</f>
        <v>0</v>
      </c>
      <c r="D430" s="124">
        <v>0</v>
      </c>
      <c r="E430" s="124">
        <v>0</v>
      </c>
      <c r="F430" s="124">
        <v>0</v>
      </c>
      <c r="G430" s="124">
        <v>0</v>
      </c>
      <c r="H430" s="124">
        <v>0</v>
      </c>
      <c r="I430" s="124">
        <v>0</v>
      </c>
      <c r="J430" s="124">
        <v>0</v>
      </c>
      <c r="K430" s="124">
        <v>0</v>
      </c>
      <c r="L430" s="124">
        <v>0</v>
      </c>
      <c r="M430" s="124">
        <v>0</v>
      </c>
      <c r="N430" s="124">
        <v>0</v>
      </c>
      <c r="O430" s="124">
        <v>0</v>
      </c>
      <c r="P430" s="124">
        <v>0</v>
      </c>
      <c r="Q430" s="124">
        <v>0</v>
      </c>
      <c r="R430" s="124">
        <v>0</v>
      </c>
      <c r="S430" s="124">
        <v>0</v>
      </c>
      <c r="T430" s="124">
        <v>0</v>
      </c>
      <c r="U430" s="124">
        <v>0</v>
      </c>
      <c r="V430" s="124">
        <v>0</v>
      </c>
      <c r="W430" s="124">
        <v>0</v>
      </c>
      <c r="X430" s="124">
        <v>0</v>
      </c>
      <c r="Y430" s="124">
        <v>0</v>
      </c>
      <c r="Z430" s="124">
        <v>0</v>
      </c>
      <c r="AA430" s="124">
        <v>0</v>
      </c>
      <c r="AB430" s="124">
        <v>0</v>
      </c>
      <c r="AC430" s="124">
        <v>0</v>
      </c>
      <c r="AD430" s="124">
        <v>0</v>
      </c>
      <c r="AE430" s="124">
        <v>0</v>
      </c>
      <c r="AF430" s="124">
        <v>0</v>
      </c>
      <c r="AG430" s="124">
        <v>0</v>
      </c>
      <c r="AH430" s="124">
        <v>0</v>
      </c>
      <c r="AI430" s="124">
        <v>0</v>
      </c>
      <c r="AJ430" s="124">
        <v>0</v>
      </c>
      <c r="AK430" s="124">
        <v>0</v>
      </c>
      <c r="AL430" s="124">
        <v>0</v>
      </c>
      <c r="AM430" s="124">
        <v>0</v>
      </c>
      <c r="AN430" s="124">
        <v>0</v>
      </c>
      <c r="AO430" s="124">
        <v>0</v>
      </c>
      <c r="AP430" s="124">
        <v>0</v>
      </c>
    </row>
    <row r="431" spans="1:42" x14ac:dyDescent="0.2">
      <c r="A431" s="22"/>
      <c r="B431" s="182">
        <f t="array" ref="B431">SUM(IF(ISNUMBER(C431:AP431),C431:AP431))</f>
        <v>94909125.983516276</v>
      </c>
      <c r="C431" s="123">
        <f>SUM(C423:C430)</f>
        <v>17655580.859043751</v>
      </c>
      <c r="D431" s="123">
        <f t="shared" ref="D431:AP431" si="181">SUM(D423:D430)</f>
        <v>28346736.512893755</v>
      </c>
      <c r="E431" s="123">
        <f t="shared" si="181"/>
        <v>17200644.111175004</v>
      </c>
      <c r="F431" s="123">
        <f t="shared" si="181"/>
        <v>10508214.817948749</v>
      </c>
      <c r="G431" s="123">
        <f t="shared" si="181"/>
        <v>10495086.724412501</v>
      </c>
      <c r="H431" s="123">
        <f t="shared" si="181"/>
        <v>5474699.1624850007</v>
      </c>
      <c r="I431" s="123">
        <f t="shared" si="181"/>
        <v>460619.90524375002</v>
      </c>
      <c r="J431" s="123">
        <f t="shared" si="181"/>
        <v>460619.90524375002</v>
      </c>
      <c r="K431" s="123">
        <f t="shared" si="181"/>
        <v>460790.39996499999</v>
      </c>
      <c r="L431" s="123">
        <f t="shared" si="181"/>
        <v>460619.90524375002</v>
      </c>
      <c r="M431" s="123">
        <f t="shared" si="181"/>
        <v>460790.39996499999</v>
      </c>
      <c r="N431" s="123">
        <f t="shared" si="181"/>
        <v>460335.74737499998</v>
      </c>
      <c r="O431" s="123">
        <f t="shared" si="181"/>
        <v>460790.39996499999</v>
      </c>
      <c r="P431" s="123">
        <f t="shared" si="181"/>
        <v>460335.74737499998</v>
      </c>
      <c r="Q431" s="123">
        <f t="shared" si="181"/>
        <v>460619.90524375002</v>
      </c>
      <c r="R431" s="123">
        <f t="shared" si="181"/>
        <v>315415.23431249999</v>
      </c>
      <c r="S431" s="123">
        <f t="shared" si="181"/>
        <v>170494.72125</v>
      </c>
      <c r="T431" s="123">
        <f t="shared" si="181"/>
        <v>170494.72125</v>
      </c>
      <c r="U431" s="123">
        <f t="shared" si="181"/>
        <v>170494.72125</v>
      </c>
      <c r="V431" s="123">
        <f t="shared" si="181"/>
        <v>170494.72125</v>
      </c>
      <c r="W431" s="123">
        <f t="shared" si="181"/>
        <v>85247.360625000001</v>
      </c>
      <c r="X431" s="123">
        <f t="shared" si="181"/>
        <v>0</v>
      </c>
      <c r="Y431" s="123">
        <f t="shared" si="181"/>
        <v>0</v>
      </c>
      <c r="Z431" s="123">
        <f t="shared" si="181"/>
        <v>0</v>
      </c>
      <c r="AA431" s="123">
        <f t="shared" si="181"/>
        <v>0</v>
      </c>
      <c r="AB431" s="123" t="e">
        <f t="shared" si="181"/>
        <v>#N/A</v>
      </c>
      <c r="AC431" s="123" t="e">
        <f t="shared" si="181"/>
        <v>#N/A</v>
      </c>
      <c r="AD431" s="123" t="e">
        <f t="shared" si="181"/>
        <v>#N/A</v>
      </c>
      <c r="AE431" s="123" t="e">
        <f t="shared" si="181"/>
        <v>#N/A</v>
      </c>
      <c r="AF431" s="123" t="e">
        <f t="shared" si="181"/>
        <v>#N/A</v>
      </c>
      <c r="AG431" s="123" t="e">
        <f t="shared" si="181"/>
        <v>#N/A</v>
      </c>
      <c r="AH431" s="123" t="e">
        <f t="shared" si="181"/>
        <v>#N/A</v>
      </c>
      <c r="AI431" s="123" t="e">
        <f t="shared" si="181"/>
        <v>#N/A</v>
      </c>
      <c r="AJ431" s="123" t="e">
        <f t="shared" si="181"/>
        <v>#N/A</v>
      </c>
      <c r="AK431" s="123" t="e">
        <f t="shared" si="181"/>
        <v>#N/A</v>
      </c>
      <c r="AL431" s="123" t="e">
        <f t="shared" si="181"/>
        <v>#N/A</v>
      </c>
      <c r="AM431" s="123" t="e">
        <f t="shared" si="181"/>
        <v>#N/A</v>
      </c>
      <c r="AN431" s="123" t="e">
        <f t="shared" si="181"/>
        <v>#N/A</v>
      </c>
      <c r="AO431" s="123" t="e">
        <f t="shared" si="181"/>
        <v>#N/A</v>
      </c>
      <c r="AP431" s="123" t="e">
        <f t="shared" si="181"/>
        <v>#N/A</v>
      </c>
    </row>
    <row r="432" spans="1:42" x14ac:dyDescent="0.2">
      <c r="A432" s="22"/>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5"/>
    </row>
    <row r="433" spans="1:42" x14ac:dyDescent="0.2">
      <c r="A433" s="18" t="s">
        <v>74</v>
      </c>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5"/>
    </row>
    <row r="434" spans="1:42" x14ac:dyDescent="0.2">
      <c r="A434" s="22" t="s">
        <v>76</v>
      </c>
      <c r="B434" s="27" t="str">
        <f>equip_reserve_depr_fed</f>
        <v>5-yr MACRS</v>
      </c>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row>
    <row r="435" spans="1:42" x14ac:dyDescent="0.2">
      <c r="A435" s="22" t="s">
        <v>77</v>
      </c>
      <c r="B435" s="177">
        <f t="shared" ref="B435:AP435" si="182">B2</f>
        <v>0</v>
      </c>
      <c r="C435" s="177">
        <f t="shared" si="182"/>
        <v>1</v>
      </c>
      <c r="D435" s="177">
        <f t="shared" si="182"/>
        <v>2</v>
      </c>
      <c r="E435" s="177">
        <f t="shared" si="182"/>
        <v>3</v>
      </c>
      <c r="F435" s="177">
        <f t="shared" si="182"/>
        <v>4</v>
      </c>
      <c r="G435" s="177">
        <f t="shared" si="182"/>
        <v>5</v>
      </c>
      <c r="H435" s="177">
        <f t="shared" si="182"/>
        <v>6</v>
      </c>
      <c r="I435" s="177">
        <f t="shared" si="182"/>
        <v>7</v>
      </c>
      <c r="J435" s="177">
        <f t="shared" si="182"/>
        <v>8</v>
      </c>
      <c r="K435" s="177">
        <f t="shared" si="182"/>
        <v>9</v>
      </c>
      <c r="L435" s="177">
        <f t="shared" si="182"/>
        <v>10</v>
      </c>
      <c r="M435" s="177">
        <f t="shared" si="182"/>
        <v>11</v>
      </c>
      <c r="N435" s="177">
        <f t="shared" si="182"/>
        <v>12</v>
      </c>
      <c r="O435" s="177">
        <f t="shared" si="182"/>
        <v>13</v>
      </c>
      <c r="P435" s="177">
        <f t="shared" si="182"/>
        <v>14</v>
      </c>
      <c r="Q435" s="177">
        <f t="shared" si="182"/>
        <v>15</v>
      </c>
      <c r="R435" s="177">
        <f t="shared" si="182"/>
        <v>16</v>
      </c>
      <c r="S435" s="177">
        <f t="shared" si="182"/>
        <v>17</v>
      </c>
      <c r="T435" s="177">
        <f t="shared" si="182"/>
        <v>18</v>
      </c>
      <c r="U435" s="177">
        <f t="shared" si="182"/>
        <v>19</v>
      </c>
      <c r="V435" s="177">
        <f t="shared" si="182"/>
        <v>20</v>
      </c>
      <c r="W435" s="177">
        <f t="shared" si="182"/>
        <v>21</v>
      </c>
      <c r="X435" s="177">
        <f t="shared" si="182"/>
        <v>22</v>
      </c>
      <c r="Y435" s="177">
        <f t="shared" si="182"/>
        <v>23</v>
      </c>
      <c r="Z435" s="177">
        <f t="shared" si="182"/>
        <v>24</v>
      </c>
      <c r="AA435" s="177">
        <f t="shared" si="182"/>
        <v>25</v>
      </c>
      <c r="AB435" s="177" t="str">
        <f t="shared" si="182"/>
        <v/>
      </c>
      <c r="AC435" s="177" t="str">
        <f t="shared" si="182"/>
        <v/>
      </c>
      <c r="AD435" s="177" t="str">
        <f t="shared" si="182"/>
        <v/>
      </c>
      <c r="AE435" s="177" t="str">
        <f t="shared" si="182"/>
        <v/>
      </c>
      <c r="AF435" s="177" t="str">
        <f t="shared" si="182"/>
        <v/>
      </c>
      <c r="AG435" s="177" t="str">
        <f t="shared" si="182"/>
        <v/>
      </c>
      <c r="AH435" s="177" t="str">
        <f t="shared" si="182"/>
        <v/>
      </c>
      <c r="AI435" s="177" t="str">
        <f t="shared" si="182"/>
        <v/>
      </c>
      <c r="AJ435" s="177" t="str">
        <f t="shared" si="182"/>
        <v/>
      </c>
      <c r="AK435" s="177" t="str">
        <f t="shared" si="182"/>
        <v/>
      </c>
      <c r="AL435" s="177" t="str">
        <f t="shared" si="182"/>
        <v/>
      </c>
      <c r="AM435" s="177" t="str">
        <f t="shared" si="182"/>
        <v/>
      </c>
      <c r="AN435" s="177" t="str">
        <f t="shared" si="182"/>
        <v/>
      </c>
      <c r="AO435" s="177" t="str">
        <f t="shared" si="182"/>
        <v/>
      </c>
      <c r="AP435" s="177" t="str">
        <f t="shared" si="182"/>
        <v/>
      </c>
    </row>
    <row r="436" spans="1:42" x14ac:dyDescent="0.2">
      <c r="A436" s="22" t="s">
        <v>78</v>
      </c>
      <c r="B436" s="176">
        <v>0</v>
      </c>
      <c r="C436" s="172">
        <f t="shared" ref="C436:AP436" si="183">IF($B$434=$A415,C415,0)+IF($B$434=$A416,C416,0)+IF($B$434=$A417,C417,0)+IF($B$434=$A418,C418,0)+IF($B$434=$A419,C419,0)+IF($B$434=$A420,C420,0)</f>
        <v>20</v>
      </c>
      <c r="D436" s="172">
        <f t="shared" si="183"/>
        <v>32</v>
      </c>
      <c r="E436" s="172">
        <f t="shared" si="183"/>
        <v>19.2</v>
      </c>
      <c r="F436" s="172">
        <f t="shared" si="183"/>
        <v>11.52</v>
      </c>
      <c r="G436" s="172">
        <f t="shared" si="183"/>
        <v>11.52</v>
      </c>
      <c r="H436" s="172">
        <f t="shared" si="183"/>
        <v>5.76</v>
      </c>
      <c r="I436" s="172">
        <f t="shared" si="183"/>
        <v>0</v>
      </c>
      <c r="J436" s="172">
        <f t="shared" si="183"/>
        <v>0</v>
      </c>
      <c r="K436" s="172">
        <f t="shared" si="183"/>
        <v>0</v>
      </c>
      <c r="L436" s="172">
        <f t="shared" si="183"/>
        <v>0</v>
      </c>
      <c r="M436" s="172">
        <f t="shared" si="183"/>
        <v>0</v>
      </c>
      <c r="N436" s="172">
        <f t="shared" si="183"/>
        <v>0</v>
      </c>
      <c r="O436" s="172">
        <f t="shared" si="183"/>
        <v>0</v>
      </c>
      <c r="P436" s="172">
        <f t="shared" si="183"/>
        <v>0</v>
      </c>
      <c r="Q436" s="172">
        <f t="shared" si="183"/>
        <v>0</v>
      </c>
      <c r="R436" s="172">
        <f t="shared" si="183"/>
        <v>0</v>
      </c>
      <c r="S436" s="172">
        <f t="shared" si="183"/>
        <v>0</v>
      </c>
      <c r="T436" s="172">
        <f t="shared" si="183"/>
        <v>0</v>
      </c>
      <c r="U436" s="172">
        <f t="shared" si="183"/>
        <v>0</v>
      </c>
      <c r="V436" s="172">
        <f t="shared" si="183"/>
        <v>0</v>
      </c>
      <c r="W436" s="172">
        <f t="shared" si="183"/>
        <v>0</v>
      </c>
      <c r="X436" s="172">
        <f t="shared" si="183"/>
        <v>0</v>
      </c>
      <c r="Y436" s="172">
        <f t="shared" si="183"/>
        <v>0</v>
      </c>
      <c r="Z436" s="172">
        <f t="shared" si="183"/>
        <v>0</v>
      </c>
      <c r="AA436" s="172">
        <f t="shared" si="183"/>
        <v>0</v>
      </c>
      <c r="AB436" s="172" t="e">
        <f t="shared" si="183"/>
        <v>#N/A</v>
      </c>
      <c r="AC436" s="172" t="e">
        <f t="shared" si="183"/>
        <v>#N/A</v>
      </c>
      <c r="AD436" s="172" t="e">
        <f t="shared" si="183"/>
        <v>#N/A</v>
      </c>
      <c r="AE436" s="172" t="e">
        <f t="shared" si="183"/>
        <v>#N/A</v>
      </c>
      <c r="AF436" s="172" t="e">
        <f t="shared" si="183"/>
        <v>#N/A</v>
      </c>
      <c r="AG436" s="172" t="e">
        <f t="shared" si="183"/>
        <v>#N/A</v>
      </c>
      <c r="AH436" s="172" t="e">
        <f t="shared" si="183"/>
        <v>#N/A</v>
      </c>
      <c r="AI436" s="172" t="e">
        <f t="shared" si="183"/>
        <v>#N/A</v>
      </c>
      <c r="AJ436" s="172" t="e">
        <f t="shared" si="183"/>
        <v>#N/A</v>
      </c>
      <c r="AK436" s="172" t="e">
        <f t="shared" si="183"/>
        <v>#N/A</v>
      </c>
      <c r="AL436" s="172" t="e">
        <f t="shared" si="183"/>
        <v>#N/A</v>
      </c>
      <c r="AM436" s="172" t="e">
        <f t="shared" si="183"/>
        <v>#N/A</v>
      </c>
      <c r="AN436" s="172" t="e">
        <f t="shared" si="183"/>
        <v>#N/A</v>
      </c>
      <c r="AO436" s="172" t="e">
        <f t="shared" si="183"/>
        <v>#N/A</v>
      </c>
      <c r="AP436" s="172" t="e">
        <f t="shared" si="183"/>
        <v>#N/A</v>
      </c>
    </row>
    <row r="437" spans="1:42" x14ac:dyDescent="0.2">
      <c r="A437" s="18"/>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row>
    <row r="438" spans="1:42" x14ac:dyDescent="0.2">
      <c r="A438" s="18" t="s">
        <v>89</v>
      </c>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row>
    <row r="439" spans="1:42" x14ac:dyDescent="0.2">
      <c r="A439" s="22" t="s">
        <v>75</v>
      </c>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row>
    <row r="440" spans="1:42" x14ac:dyDescent="0.2">
      <c r="A440" s="4">
        <v>1</v>
      </c>
      <c r="C440" s="163">
        <f t="shared" ref="C440:AP440" si="184">C304</f>
        <v>0</v>
      </c>
      <c r="D440" s="163">
        <f t="shared" si="184"/>
        <v>0</v>
      </c>
      <c r="E440" s="163">
        <f t="shared" si="184"/>
        <v>0</v>
      </c>
      <c r="F440" s="163">
        <f t="shared" si="184"/>
        <v>0</v>
      </c>
      <c r="G440" s="163">
        <f t="shared" si="184"/>
        <v>0</v>
      </c>
      <c r="H440" s="163">
        <f t="shared" si="184"/>
        <v>0</v>
      </c>
      <c r="I440" s="163">
        <f t="shared" si="184"/>
        <v>0</v>
      </c>
      <c r="J440" s="163">
        <f t="shared" si="184"/>
        <v>0</v>
      </c>
      <c r="K440" s="163">
        <f t="shared" si="184"/>
        <v>0</v>
      </c>
      <c r="L440" s="163">
        <f t="shared" si="184"/>
        <v>0</v>
      </c>
      <c r="M440" s="163">
        <f t="shared" si="184"/>
        <v>0</v>
      </c>
      <c r="N440" s="163">
        <f t="shared" si="184"/>
        <v>0</v>
      </c>
      <c r="O440" s="163">
        <f t="shared" si="184"/>
        <v>0</v>
      </c>
      <c r="P440" s="163">
        <f t="shared" si="184"/>
        <v>0</v>
      </c>
      <c r="Q440" s="163">
        <f t="shared" si="184"/>
        <v>1</v>
      </c>
      <c r="R440" s="163">
        <f t="shared" si="184"/>
        <v>2</v>
      </c>
      <c r="S440" s="163">
        <f t="shared" si="184"/>
        <v>3</v>
      </c>
      <c r="T440" s="163">
        <f t="shared" si="184"/>
        <v>4</v>
      </c>
      <c r="U440" s="163">
        <f t="shared" si="184"/>
        <v>5</v>
      </c>
      <c r="V440" s="163">
        <f t="shared" si="184"/>
        <v>6</v>
      </c>
      <c r="W440" s="163">
        <f t="shared" si="184"/>
        <v>7</v>
      </c>
      <c r="X440" s="163">
        <f t="shared" si="184"/>
        <v>8</v>
      </c>
      <c r="Y440" s="163">
        <f t="shared" si="184"/>
        <v>9</v>
      </c>
      <c r="Z440" s="163">
        <f t="shared" si="184"/>
        <v>10</v>
      </c>
      <c r="AA440" s="163">
        <f t="shared" si="184"/>
        <v>11</v>
      </c>
      <c r="AB440" s="163">
        <f t="shared" si="184"/>
        <v>0</v>
      </c>
      <c r="AC440" s="163">
        <f t="shared" si="184"/>
        <v>0</v>
      </c>
      <c r="AD440" s="163">
        <f t="shared" si="184"/>
        <v>0</v>
      </c>
      <c r="AE440" s="163">
        <f t="shared" si="184"/>
        <v>0</v>
      </c>
      <c r="AF440" s="163">
        <f t="shared" si="184"/>
        <v>0</v>
      </c>
      <c r="AG440" s="163">
        <f t="shared" si="184"/>
        <v>0</v>
      </c>
      <c r="AH440" s="163">
        <f t="shared" si="184"/>
        <v>0</v>
      </c>
      <c r="AI440" s="163">
        <f t="shared" si="184"/>
        <v>0</v>
      </c>
      <c r="AJ440" s="163">
        <f t="shared" si="184"/>
        <v>0</v>
      </c>
      <c r="AK440" s="163">
        <f t="shared" si="184"/>
        <v>0</v>
      </c>
      <c r="AL440" s="163">
        <f t="shared" si="184"/>
        <v>0</v>
      </c>
      <c r="AM440" s="163">
        <f t="shared" si="184"/>
        <v>0</v>
      </c>
      <c r="AN440" s="163">
        <f t="shared" si="184"/>
        <v>0</v>
      </c>
      <c r="AO440" s="163">
        <f t="shared" si="184"/>
        <v>0</v>
      </c>
      <c r="AP440" s="163">
        <f t="shared" si="184"/>
        <v>0</v>
      </c>
    </row>
    <row r="441" spans="1:42" x14ac:dyDescent="0.2">
      <c r="A441" s="4">
        <f>A440+1</f>
        <v>2</v>
      </c>
      <c r="C441" s="163">
        <f t="shared" ref="C441:AP441" si="185">C305</f>
        <v>0</v>
      </c>
      <c r="D441" s="163">
        <f t="shared" si="185"/>
        <v>0</v>
      </c>
      <c r="E441" s="163">
        <f t="shared" si="185"/>
        <v>0</v>
      </c>
      <c r="F441" s="163">
        <f t="shared" si="185"/>
        <v>0</v>
      </c>
      <c r="G441" s="163">
        <f t="shared" si="185"/>
        <v>0</v>
      </c>
      <c r="H441" s="163">
        <f t="shared" si="185"/>
        <v>0</v>
      </c>
      <c r="I441" s="163">
        <f t="shared" si="185"/>
        <v>0</v>
      </c>
      <c r="J441" s="163">
        <f t="shared" si="185"/>
        <v>0</v>
      </c>
      <c r="K441" s="163">
        <f t="shared" si="185"/>
        <v>0</v>
      </c>
      <c r="L441" s="163">
        <f t="shared" si="185"/>
        <v>0</v>
      </c>
      <c r="M441" s="163">
        <f t="shared" si="185"/>
        <v>0</v>
      </c>
      <c r="N441" s="163">
        <f t="shared" si="185"/>
        <v>0</v>
      </c>
      <c r="O441" s="163">
        <f t="shared" si="185"/>
        <v>0</v>
      </c>
      <c r="P441" s="163">
        <f t="shared" si="185"/>
        <v>0</v>
      </c>
      <c r="Q441" s="163">
        <f t="shared" si="185"/>
        <v>0</v>
      </c>
      <c r="R441" s="163">
        <f t="shared" si="185"/>
        <v>0</v>
      </c>
      <c r="S441" s="163">
        <f t="shared" si="185"/>
        <v>0</v>
      </c>
      <c r="T441" s="163">
        <f t="shared" si="185"/>
        <v>0</v>
      </c>
      <c r="U441" s="163">
        <f t="shared" si="185"/>
        <v>0</v>
      </c>
      <c r="V441" s="163">
        <f t="shared" si="185"/>
        <v>0</v>
      </c>
      <c r="W441" s="163">
        <f t="shared" si="185"/>
        <v>0</v>
      </c>
      <c r="X441" s="163">
        <f t="shared" si="185"/>
        <v>0</v>
      </c>
      <c r="Y441" s="163">
        <f t="shared" si="185"/>
        <v>0</v>
      </c>
      <c r="Z441" s="163">
        <f t="shared" si="185"/>
        <v>0</v>
      </c>
      <c r="AA441" s="163">
        <f t="shared" si="185"/>
        <v>0</v>
      </c>
      <c r="AB441" s="163">
        <f t="shared" si="185"/>
        <v>0</v>
      </c>
      <c r="AC441" s="163">
        <f t="shared" si="185"/>
        <v>0</v>
      </c>
      <c r="AD441" s="163">
        <f t="shared" si="185"/>
        <v>0</v>
      </c>
      <c r="AE441" s="163">
        <f t="shared" si="185"/>
        <v>0</v>
      </c>
      <c r="AF441" s="163">
        <f t="shared" si="185"/>
        <v>0</v>
      </c>
      <c r="AG441" s="163">
        <f t="shared" si="185"/>
        <v>0</v>
      </c>
      <c r="AH441" s="163">
        <f t="shared" si="185"/>
        <v>0</v>
      </c>
      <c r="AI441" s="163">
        <f t="shared" si="185"/>
        <v>0</v>
      </c>
      <c r="AJ441" s="163">
        <f t="shared" si="185"/>
        <v>0</v>
      </c>
      <c r="AK441" s="163">
        <f t="shared" si="185"/>
        <v>0</v>
      </c>
      <c r="AL441" s="163">
        <f t="shared" si="185"/>
        <v>0</v>
      </c>
      <c r="AM441" s="163">
        <f t="shared" si="185"/>
        <v>0</v>
      </c>
      <c r="AN441" s="163">
        <f t="shared" si="185"/>
        <v>0</v>
      </c>
      <c r="AO441" s="163">
        <f t="shared" si="185"/>
        <v>0</v>
      </c>
      <c r="AP441" s="163">
        <f t="shared" si="185"/>
        <v>0</v>
      </c>
    </row>
    <row r="442" spans="1:42" x14ac:dyDescent="0.2">
      <c r="A442" s="4">
        <f t="shared" ref="A442:A447" si="186">A441+1</f>
        <v>3</v>
      </c>
      <c r="C442" s="163">
        <f t="shared" ref="C442:AP442" si="187">C306</f>
        <v>0</v>
      </c>
      <c r="D442" s="163">
        <f t="shared" si="187"/>
        <v>0</v>
      </c>
      <c r="E442" s="163">
        <f t="shared" si="187"/>
        <v>0</v>
      </c>
      <c r="F442" s="163">
        <f t="shared" si="187"/>
        <v>0</v>
      </c>
      <c r="G442" s="163">
        <f t="shared" si="187"/>
        <v>0</v>
      </c>
      <c r="H442" s="163">
        <f t="shared" si="187"/>
        <v>0</v>
      </c>
      <c r="I442" s="163">
        <f t="shared" si="187"/>
        <v>0</v>
      </c>
      <c r="J442" s="163">
        <f t="shared" si="187"/>
        <v>0</v>
      </c>
      <c r="K442" s="163">
        <f t="shared" si="187"/>
        <v>0</v>
      </c>
      <c r="L442" s="163">
        <f t="shared" si="187"/>
        <v>0</v>
      </c>
      <c r="M442" s="163">
        <f t="shared" si="187"/>
        <v>0</v>
      </c>
      <c r="N442" s="163">
        <f t="shared" si="187"/>
        <v>0</v>
      </c>
      <c r="O442" s="163">
        <f t="shared" si="187"/>
        <v>0</v>
      </c>
      <c r="P442" s="163">
        <f t="shared" si="187"/>
        <v>0</v>
      </c>
      <c r="Q442" s="163">
        <f t="shared" si="187"/>
        <v>0</v>
      </c>
      <c r="R442" s="163">
        <f t="shared" si="187"/>
        <v>0</v>
      </c>
      <c r="S442" s="163">
        <f t="shared" si="187"/>
        <v>0</v>
      </c>
      <c r="T442" s="163">
        <f t="shared" si="187"/>
        <v>0</v>
      </c>
      <c r="U442" s="163">
        <f t="shared" si="187"/>
        <v>0</v>
      </c>
      <c r="V442" s="163">
        <f t="shared" si="187"/>
        <v>0</v>
      </c>
      <c r="W442" s="163">
        <f t="shared" si="187"/>
        <v>0</v>
      </c>
      <c r="X442" s="163">
        <f t="shared" si="187"/>
        <v>0</v>
      </c>
      <c r="Y442" s="163">
        <f t="shared" si="187"/>
        <v>0</v>
      </c>
      <c r="Z442" s="163">
        <f t="shared" si="187"/>
        <v>0</v>
      </c>
      <c r="AA442" s="163">
        <f t="shared" si="187"/>
        <v>0</v>
      </c>
      <c r="AB442" s="163">
        <f t="shared" si="187"/>
        <v>0</v>
      </c>
      <c r="AC442" s="163">
        <f t="shared" si="187"/>
        <v>0</v>
      </c>
      <c r="AD442" s="163">
        <f t="shared" si="187"/>
        <v>0</v>
      </c>
      <c r="AE442" s="163">
        <f t="shared" si="187"/>
        <v>0</v>
      </c>
      <c r="AF442" s="163">
        <f t="shared" si="187"/>
        <v>0</v>
      </c>
      <c r="AG442" s="163">
        <f t="shared" si="187"/>
        <v>0</v>
      </c>
      <c r="AH442" s="163">
        <f t="shared" si="187"/>
        <v>0</v>
      </c>
      <c r="AI442" s="163">
        <f t="shared" si="187"/>
        <v>0</v>
      </c>
      <c r="AJ442" s="163">
        <f t="shared" si="187"/>
        <v>0</v>
      </c>
      <c r="AK442" s="163">
        <f t="shared" si="187"/>
        <v>0</v>
      </c>
      <c r="AL442" s="163">
        <f t="shared" si="187"/>
        <v>0</v>
      </c>
      <c r="AM442" s="163">
        <f t="shared" si="187"/>
        <v>0</v>
      </c>
      <c r="AN442" s="163">
        <f t="shared" si="187"/>
        <v>0</v>
      </c>
      <c r="AO442" s="163">
        <f t="shared" si="187"/>
        <v>0</v>
      </c>
      <c r="AP442" s="163">
        <f t="shared" si="187"/>
        <v>0</v>
      </c>
    </row>
    <row r="443" spans="1:42" x14ac:dyDescent="0.2">
      <c r="A443" s="4">
        <f t="shared" si="186"/>
        <v>4</v>
      </c>
      <c r="C443" s="163">
        <f t="shared" ref="C443:AP443" si="188">C307</f>
        <v>0</v>
      </c>
      <c r="D443" s="163">
        <f t="shared" si="188"/>
        <v>0</v>
      </c>
      <c r="E443" s="163">
        <f t="shared" si="188"/>
        <v>0</v>
      </c>
      <c r="F443" s="163">
        <f t="shared" si="188"/>
        <v>0</v>
      </c>
      <c r="G443" s="163">
        <f t="shared" si="188"/>
        <v>0</v>
      </c>
      <c r="H443" s="163">
        <f t="shared" si="188"/>
        <v>0</v>
      </c>
      <c r="I443" s="163">
        <f t="shared" si="188"/>
        <v>0</v>
      </c>
      <c r="J443" s="163">
        <f t="shared" si="188"/>
        <v>0</v>
      </c>
      <c r="K443" s="163">
        <f t="shared" si="188"/>
        <v>0</v>
      </c>
      <c r="L443" s="163">
        <f t="shared" si="188"/>
        <v>0</v>
      </c>
      <c r="M443" s="163">
        <f t="shared" si="188"/>
        <v>0</v>
      </c>
      <c r="N443" s="163">
        <f t="shared" si="188"/>
        <v>0</v>
      </c>
      <c r="O443" s="163">
        <f t="shared" si="188"/>
        <v>0</v>
      </c>
      <c r="P443" s="163">
        <f t="shared" si="188"/>
        <v>0</v>
      </c>
      <c r="Q443" s="163">
        <f t="shared" si="188"/>
        <v>0</v>
      </c>
      <c r="R443" s="163">
        <f t="shared" si="188"/>
        <v>0</v>
      </c>
      <c r="S443" s="163">
        <f t="shared" si="188"/>
        <v>0</v>
      </c>
      <c r="T443" s="163">
        <f t="shared" si="188"/>
        <v>0</v>
      </c>
      <c r="U443" s="163">
        <f t="shared" si="188"/>
        <v>0</v>
      </c>
      <c r="V443" s="163">
        <f t="shared" si="188"/>
        <v>0</v>
      </c>
      <c r="W443" s="163">
        <f t="shared" si="188"/>
        <v>0</v>
      </c>
      <c r="X443" s="163">
        <f t="shared" si="188"/>
        <v>0</v>
      </c>
      <c r="Y443" s="163">
        <f t="shared" si="188"/>
        <v>0</v>
      </c>
      <c r="Z443" s="163">
        <f t="shared" si="188"/>
        <v>0</v>
      </c>
      <c r="AA443" s="163">
        <f t="shared" si="188"/>
        <v>0</v>
      </c>
      <c r="AB443" s="163">
        <f t="shared" si="188"/>
        <v>0</v>
      </c>
      <c r="AC443" s="163">
        <f t="shared" si="188"/>
        <v>0</v>
      </c>
      <c r="AD443" s="163">
        <f t="shared" si="188"/>
        <v>0</v>
      </c>
      <c r="AE443" s="163">
        <f t="shared" si="188"/>
        <v>0</v>
      </c>
      <c r="AF443" s="163">
        <f t="shared" si="188"/>
        <v>0</v>
      </c>
      <c r="AG443" s="163">
        <f t="shared" si="188"/>
        <v>0</v>
      </c>
      <c r="AH443" s="163">
        <f t="shared" si="188"/>
        <v>0</v>
      </c>
      <c r="AI443" s="163">
        <f t="shared" si="188"/>
        <v>0</v>
      </c>
      <c r="AJ443" s="163">
        <f t="shared" si="188"/>
        <v>0</v>
      </c>
      <c r="AK443" s="163">
        <f t="shared" si="188"/>
        <v>0</v>
      </c>
      <c r="AL443" s="163">
        <f t="shared" si="188"/>
        <v>0</v>
      </c>
      <c r="AM443" s="163">
        <f t="shared" si="188"/>
        <v>0</v>
      </c>
      <c r="AN443" s="163">
        <f t="shared" si="188"/>
        <v>0</v>
      </c>
      <c r="AO443" s="163">
        <f t="shared" si="188"/>
        <v>0</v>
      </c>
      <c r="AP443" s="163">
        <f t="shared" si="188"/>
        <v>0</v>
      </c>
    </row>
    <row r="444" spans="1:42" x14ac:dyDescent="0.2">
      <c r="A444" s="4">
        <f t="shared" si="186"/>
        <v>5</v>
      </c>
      <c r="C444" s="163">
        <f t="shared" ref="C444:AP444" si="189">C308</f>
        <v>0</v>
      </c>
      <c r="D444" s="163">
        <f t="shared" si="189"/>
        <v>0</v>
      </c>
      <c r="E444" s="163">
        <f t="shared" si="189"/>
        <v>0</v>
      </c>
      <c r="F444" s="163">
        <f t="shared" si="189"/>
        <v>0</v>
      </c>
      <c r="G444" s="163">
        <f t="shared" si="189"/>
        <v>0</v>
      </c>
      <c r="H444" s="163">
        <f t="shared" si="189"/>
        <v>0</v>
      </c>
      <c r="I444" s="163">
        <f t="shared" si="189"/>
        <v>0</v>
      </c>
      <c r="J444" s="163">
        <f t="shared" si="189"/>
        <v>0</v>
      </c>
      <c r="K444" s="163">
        <f t="shared" si="189"/>
        <v>0</v>
      </c>
      <c r="L444" s="163">
        <f t="shared" si="189"/>
        <v>0</v>
      </c>
      <c r="M444" s="163">
        <f t="shared" si="189"/>
        <v>0</v>
      </c>
      <c r="N444" s="163">
        <f t="shared" si="189"/>
        <v>0</v>
      </c>
      <c r="O444" s="163">
        <f t="shared" si="189"/>
        <v>0</v>
      </c>
      <c r="P444" s="163">
        <f t="shared" si="189"/>
        <v>0</v>
      </c>
      <c r="Q444" s="163">
        <f t="shared" si="189"/>
        <v>0</v>
      </c>
      <c r="R444" s="163">
        <f t="shared" si="189"/>
        <v>0</v>
      </c>
      <c r="S444" s="163">
        <f t="shared" si="189"/>
        <v>0</v>
      </c>
      <c r="T444" s="163">
        <f t="shared" si="189"/>
        <v>0</v>
      </c>
      <c r="U444" s="163">
        <f t="shared" si="189"/>
        <v>0</v>
      </c>
      <c r="V444" s="163">
        <f t="shared" si="189"/>
        <v>0</v>
      </c>
      <c r="W444" s="163">
        <f t="shared" si="189"/>
        <v>0</v>
      </c>
      <c r="X444" s="163">
        <f t="shared" si="189"/>
        <v>0</v>
      </c>
      <c r="Y444" s="163">
        <f t="shared" si="189"/>
        <v>0</v>
      </c>
      <c r="Z444" s="163">
        <f t="shared" si="189"/>
        <v>0</v>
      </c>
      <c r="AA444" s="163">
        <f t="shared" si="189"/>
        <v>0</v>
      </c>
      <c r="AB444" s="163">
        <f t="shared" si="189"/>
        <v>0</v>
      </c>
      <c r="AC444" s="163">
        <f t="shared" si="189"/>
        <v>0</v>
      </c>
      <c r="AD444" s="163">
        <f t="shared" si="189"/>
        <v>0</v>
      </c>
      <c r="AE444" s="163">
        <f t="shared" si="189"/>
        <v>0</v>
      </c>
      <c r="AF444" s="163">
        <f t="shared" si="189"/>
        <v>0</v>
      </c>
      <c r="AG444" s="163">
        <f t="shared" si="189"/>
        <v>0</v>
      </c>
      <c r="AH444" s="163">
        <f t="shared" si="189"/>
        <v>0</v>
      </c>
      <c r="AI444" s="163">
        <f t="shared" si="189"/>
        <v>0</v>
      </c>
      <c r="AJ444" s="163">
        <f t="shared" si="189"/>
        <v>0</v>
      </c>
      <c r="AK444" s="163">
        <f t="shared" si="189"/>
        <v>0</v>
      </c>
      <c r="AL444" s="163">
        <f t="shared" si="189"/>
        <v>0</v>
      </c>
      <c r="AM444" s="163">
        <f t="shared" si="189"/>
        <v>0</v>
      </c>
      <c r="AN444" s="163">
        <f t="shared" si="189"/>
        <v>0</v>
      </c>
      <c r="AO444" s="163">
        <f t="shared" si="189"/>
        <v>0</v>
      </c>
      <c r="AP444" s="163">
        <f t="shared" si="189"/>
        <v>0</v>
      </c>
    </row>
    <row r="445" spans="1:42" x14ac:dyDescent="0.2">
      <c r="A445" s="4">
        <f t="shared" si="186"/>
        <v>6</v>
      </c>
      <c r="C445" s="163">
        <f t="shared" ref="C445:AP445" si="190">C309</f>
        <v>0</v>
      </c>
      <c r="D445" s="163">
        <f t="shared" si="190"/>
        <v>0</v>
      </c>
      <c r="E445" s="163">
        <f t="shared" si="190"/>
        <v>0</v>
      </c>
      <c r="F445" s="163">
        <f t="shared" si="190"/>
        <v>0</v>
      </c>
      <c r="G445" s="163">
        <f t="shared" si="190"/>
        <v>0</v>
      </c>
      <c r="H445" s="163">
        <f t="shared" si="190"/>
        <v>0</v>
      </c>
      <c r="I445" s="163">
        <f t="shared" si="190"/>
        <v>0</v>
      </c>
      <c r="J445" s="163">
        <f t="shared" si="190"/>
        <v>0</v>
      </c>
      <c r="K445" s="163">
        <f t="shared" si="190"/>
        <v>0</v>
      </c>
      <c r="L445" s="163">
        <f t="shared" si="190"/>
        <v>0</v>
      </c>
      <c r="M445" s="163">
        <f t="shared" si="190"/>
        <v>0</v>
      </c>
      <c r="N445" s="163">
        <f t="shared" si="190"/>
        <v>0</v>
      </c>
      <c r="O445" s="163">
        <f t="shared" si="190"/>
        <v>0</v>
      </c>
      <c r="P445" s="163">
        <f t="shared" si="190"/>
        <v>0</v>
      </c>
      <c r="Q445" s="163">
        <f t="shared" si="190"/>
        <v>0</v>
      </c>
      <c r="R445" s="163">
        <f t="shared" si="190"/>
        <v>0</v>
      </c>
      <c r="S445" s="163">
        <f t="shared" si="190"/>
        <v>0</v>
      </c>
      <c r="T445" s="163">
        <f t="shared" si="190"/>
        <v>0</v>
      </c>
      <c r="U445" s="163">
        <f t="shared" si="190"/>
        <v>0</v>
      </c>
      <c r="V445" s="163">
        <f t="shared" si="190"/>
        <v>0</v>
      </c>
      <c r="W445" s="163">
        <f t="shared" si="190"/>
        <v>0</v>
      </c>
      <c r="X445" s="163">
        <f t="shared" si="190"/>
        <v>0</v>
      </c>
      <c r="Y445" s="163">
        <f t="shared" si="190"/>
        <v>0</v>
      </c>
      <c r="Z445" s="163">
        <f t="shared" si="190"/>
        <v>0</v>
      </c>
      <c r="AA445" s="163">
        <f t="shared" si="190"/>
        <v>0</v>
      </c>
      <c r="AB445" s="163">
        <f t="shared" si="190"/>
        <v>0</v>
      </c>
      <c r="AC445" s="163">
        <f t="shared" si="190"/>
        <v>0</v>
      </c>
      <c r="AD445" s="163">
        <f t="shared" si="190"/>
        <v>0</v>
      </c>
      <c r="AE445" s="163">
        <f t="shared" si="190"/>
        <v>0</v>
      </c>
      <c r="AF445" s="163">
        <f t="shared" si="190"/>
        <v>0</v>
      </c>
      <c r="AG445" s="163">
        <f t="shared" si="190"/>
        <v>0</v>
      </c>
      <c r="AH445" s="163">
        <f t="shared" si="190"/>
        <v>0</v>
      </c>
      <c r="AI445" s="163">
        <f t="shared" si="190"/>
        <v>0</v>
      </c>
      <c r="AJ445" s="163">
        <f t="shared" si="190"/>
        <v>0</v>
      </c>
      <c r="AK445" s="163">
        <f t="shared" si="190"/>
        <v>0</v>
      </c>
      <c r="AL445" s="163">
        <f t="shared" si="190"/>
        <v>0</v>
      </c>
      <c r="AM445" s="163">
        <f t="shared" si="190"/>
        <v>0</v>
      </c>
      <c r="AN445" s="163">
        <f t="shared" si="190"/>
        <v>0</v>
      </c>
      <c r="AO445" s="163">
        <f t="shared" si="190"/>
        <v>0</v>
      </c>
      <c r="AP445" s="163">
        <f t="shared" si="190"/>
        <v>0</v>
      </c>
    </row>
    <row r="446" spans="1:42" x14ac:dyDescent="0.2">
      <c r="A446" s="4">
        <f t="shared" si="186"/>
        <v>7</v>
      </c>
      <c r="C446" s="163">
        <f t="shared" ref="C446:AP446" si="191">C310</f>
        <v>0</v>
      </c>
      <c r="D446" s="163">
        <f t="shared" si="191"/>
        <v>0</v>
      </c>
      <c r="E446" s="163">
        <f t="shared" si="191"/>
        <v>0</v>
      </c>
      <c r="F446" s="163">
        <f t="shared" si="191"/>
        <v>0</v>
      </c>
      <c r="G446" s="163">
        <f t="shared" si="191"/>
        <v>0</v>
      </c>
      <c r="H446" s="163">
        <f t="shared" si="191"/>
        <v>0</v>
      </c>
      <c r="I446" s="163">
        <f t="shared" si="191"/>
        <v>0</v>
      </c>
      <c r="J446" s="163">
        <f t="shared" si="191"/>
        <v>0</v>
      </c>
      <c r="K446" s="163">
        <f t="shared" si="191"/>
        <v>0</v>
      </c>
      <c r="L446" s="163">
        <f t="shared" si="191"/>
        <v>0</v>
      </c>
      <c r="M446" s="163">
        <f t="shared" si="191"/>
        <v>0</v>
      </c>
      <c r="N446" s="163">
        <f t="shared" si="191"/>
        <v>0</v>
      </c>
      <c r="O446" s="163">
        <f t="shared" si="191"/>
        <v>0</v>
      </c>
      <c r="P446" s="163">
        <f t="shared" si="191"/>
        <v>0</v>
      </c>
      <c r="Q446" s="163">
        <f t="shared" si="191"/>
        <v>0</v>
      </c>
      <c r="R446" s="163">
        <f t="shared" si="191"/>
        <v>0</v>
      </c>
      <c r="S446" s="163">
        <f t="shared" si="191"/>
        <v>0</v>
      </c>
      <c r="T446" s="163">
        <f t="shared" si="191"/>
        <v>0</v>
      </c>
      <c r="U446" s="163">
        <f t="shared" si="191"/>
        <v>0</v>
      </c>
      <c r="V446" s="163">
        <f t="shared" si="191"/>
        <v>0</v>
      </c>
      <c r="W446" s="163">
        <f t="shared" si="191"/>
        <v>0</v>
      </c>
      <c r="X446" s="163">
        <f t="shared" si="191"/>
        <v>0</v>
      </c>
      <c r="Y446" s="163">
        <f t="shared" si="191"/>
        <v>0</v>
      </c>
      <c r="Z446" s="163">
        <f t="shared" si="191"/>
        <v>0</v>
      </c>
      <c r="AA446" s="163">
        <f t="shared" si="191"/>
        <v>0</v>
      </c>
      <c r="AB446" s="163">
        <f t="shared" si="191"/>
        <v>0</v>
      </c>
      <c r="AC446" s="163">
        <f t="shared" si="191"/>
        <v>0</v>
      </c>
      <c r="AD446" s="163">
        <f t="shared" si="191"/>
        <v>0</v>
      </c>
      <c r="AE446" s="163">
        <f t="shared" si="191"/>
        <v>0</v>
      </c>
      <c r="AF446" s="163">
        <f t="shared" si="191"/>
        <v>0</v>
      </c>
      <c r="AG446" s="163">
        <f t="shared" si="191"/>
        <v>0</v>
      </c>
      <c r="AH446" s="163">
        <f t="shared" si="191"/>
        <v>0</v>
      </c>
      <c r="AI446" s="163">
        <f t="shared" si="191"/>
        <v>0</v>
      </c>
      <c r="AJ446" s="163">
        <f t="shared" si="191"/>
        <v>0</v>
      </c>
      <c r="AK446" s="163">
        <f t="shared" si="191"/>
        <v>0</v>
      </c>
      <c r="AL446" s="163">
        <f t="shared" si="191"/>
        <v>0</v>
      </c>
      <c r="AM446" s="163">
        <f t="shared" si="191"/>
        <v>0</v>
      </c>
      <c r="AN446" s="163">
        <f t="shared" si="191"/>
        <v>0</v>
      </c>
      <c r="AO446" s="163">
        <f t="shared" si="191"/>
        <v>0</v>
      </c>
      <c r="AP446" s="163">
        <f t="shared" si="191"/>
        <v>0</v>
      </c>
    </row>
    <row r="447" spans="1:42" x14ac:dyDescent="0.2">
      <c r="A447" s="4">
        <f t="shared" si="186"/>
        <v>8</v>
      </c>
      <c r="C447" s="163">
        <f t="shared" ref="C447:AP447" si="192">C311</f>
        <v>0</v>
      </c>
      <c r="D447" s="163">
        <f t="shared" si="192"/>
        <v>0</v>
      </c>
      <c r="E447" s="163">
        <f t="shared" si="192"/>
        <v>0</v>
      </c>
      <c r="F447" s="163">
        <f t="shared" si="192"/>
        <v>0</v>
      </c>
      <c r="G447" s="163">
        <f t="shared" si="192"/>
        <v>0</v>
      </c>
      <c r="H447" s="163">
        <f t="shared" si="192"/>
        <v>0</v>
      </c>
      <c r="I447" s="163">
        <f t="shared" si="192"/>
        <v>0</v>
      </c>
      <c r="J447" s="163">
        <f t="shared" si="192"/>
        <v>0</v>
      </c>
      <c r="K447" s="163">
        <f t="shared" si="192"/>
        <v>0</v>
      </c>
      <c r="L447" s="163">
        <f t="shared" si="192"/>
        <v>0</v>
      </c>
      <c r="M447" s="163">
        <f t="shared" si="192"/>
        <v>0</v>
      </c>
      <c r="N447" s="163">
        <f t="shared" si="192"/>
        <v>0</v>
      </c>
      <c r="O447" s="163">
        <f t="shared" si="192"/>
        <v>0</v>
      </c>
      <c r="P447" s="163">
        <f t="shared" si="192"/>
        <v>0</v>
      </c>
      <c r="Q447" s="163">
        <f t="shared" si="192"/>
        <v>0</v>
      </c>
      <c r="R447" s="163">
        <f t="shared" si="192"/>
        <v>0</v>
      </c>
      <c r="S447" s="163">
        <f t="shared" si="192"/>
        <v>0</v>
      </c>
      <c r="T447" s="163">
        <f t="shared" si="192"/>
        <v>0</v>
      </c>
      <c r="U447" s="163">
        <f t="shared" si="192"/>
        <v>0</v>
      </c>
      <c r="V447" s="163">
        <f t="shared" si="192"/>
        <v>0</v>
      </c>
      <c r="W447" s="163">
        <f t="shared" si="192"/>
        <v>0</v>
      </c>
      <c r="X447" s="163">
        <f t="shared" si="192"/>
        <v>0</v>
      </c>
      <c r="Y447" s="163">
        <f t="shared" si="192"/>
        <v>0</v>
      </c>
      <c r="Z447" s="163">
        <f t="shared" si="192"/>
        <v>0</v>
      </c>
      <c r="AA447" s="163">
        <f t="shared" si="192"/>
        <v>0</v>
      </c>
      <c r="AB447" s="163">
        <f t="shared" si="192"/>
        <v>0</v>
      </c>
      <c r="AC447" s="163">
        <f t="shared" si="192"/>
        <v>0</v>
      </c>
      <c r="AD447" s="163">
        <f t="shared" si="192"/>
        <v>0</v>
      </c>
      <c r="AE447" s="163">
        <f t="shared" si="192"/>
        <v>0</v>
      </c>
      <c r="AF447" s="163">
        <f t="shared" si="192"/>
        <v>0</v>
      </c>
      <c r="AG447" s="163">
        <f t="shared" si="192"/>
        <v>0</v>
      </c>
      <c r="AH447" s="163">
        <f t="shared" si="192"/>
        <v>0</v>
      </c>
      <c r="AI447" s="163">
        <f t="shared" si="192"/>
        <v>0</v>
      </c>
      <c r="AJ447" s="163">
        <f t="shared" si="192"/>
        <v>0</v>
      </c>
      <c r="AK447" s="163">
        <f t="shared" si="192"/>
        <v>0</v>
      </c>
      <c r="AL447" s="163">
        <f t="shared" si="192"/>
        <v>0</v>
      </c>
      <c r="AM447" s="163">
        <f t="shared" si="192"/>
        <v>0</v>
      </c>
      <c r="AN447" s="163">
        <f t="shared" si="192"/>
        <v>0</v>
      </c>
      <c r="AO447" s="163">
        <f t="shared" si="192"/>
        <v>0</v>
      </c>
      <c r="AP447" s="163">
        <f t="shared" si="192"/>
        <v>0</v>
      </c>
    </row>
    <row r="448" spans="1:42" x14ac:dyDescent="0.2">
      <c r="A448" s="4">
        <f>A447+1</f>
        <v>9</v>
      </c>
      <c r="C448" s="163">
        <f t="shared" ref="C448:AP448" si="193">C312</f>
        <v>0</v>
      </c>
      <c r="D448" s="163">
        <f t="shared" si="193"/>
        <v>0</v>
      </c>
      <c r="E448" s="163">
        <f t="shared" si="193"/>
        <v>0</v>
      </c>
      <c r="F448" s="163">
        <f t="shared" si="193"/>
        <v>0</v>
      </c>
      <c r="G448" s="163">
        <f t="shared" si="193"/>
        <v>0</v>
      </c>
      <c r="H448" s="163">
        <f t="shared" si="193"/>
        <v>0</v>
      </c>
      <c r="I448" s="163">
        <f t="shared" si="193"/>
        <v>0</v>
      </c>
      <c r="J448" s="163">
        <f t="shared" si="193"/>
        <v>0</v>
      </c>
      <c r="K448" s="163">
        <f t="shared" si="193"/>
        <v>0</v>
      </c>
      <c r="L448" s="163">
        <f t="shared" si="193"/>
        <v>0</v>
      </c>
      <c r="M448" s="163">
        <f t="shared" si="193"/>
        <v>0</v>
      </c>
      <c r="N448" s="163">
        <f t="shared" si="193"/>
        <v>0</v>
      </c>
      <c r="O448" s="163">
        <f t="shared" si="193"/>
        <v>0</v>
      </c>
      <c r="P448" s="163">
        <f t="shared" si="193"/>
        <v>0</v>
      </c>
      <c r="Q448" s="163">
        <f t="shared" si="193"/>
        <v>0</v>
      </c>
      <c r="R448" s="163">
        <f t="shared" si="193"/>
        <v>0</v>
      </c>
      <c r="S448" s="163">
        <f t="shared" si="193"/>
        <v>0</v>
      </c>
      <c r="T448" s="163">
        <f t="shared" si="193"/>
        <v>0</v>
      </c>
      <c r="U448" s="163">
        <f t="shared" si="193"/>
        <v>0</v>
      </c>
      <c r="V448" s="163">
        <f t="shared" si="193"/>
        <v>0</v>
      </c>
      <c r="W448" s="163">
        <f t="shared" si="193"/>
        <v>0</v>
      </c>
      <c r="X448" s="163">
        <f t="shared" si="193"/>
        <v>0</v>
      </c>
      <c r="Y448" s="163">
        <f t="shared" si="193"/>
        <v>0</v>
      </c>
      <c r="Z448" s="163">
        <f t="shared" si="193"/>
        <v>0</v>
      </c>
      <c r="AA448" s="163">
        <f t="shared" si="193"/>
        <v>0</v>
      </c>
      <c r="AB448" s="163">
        <f t="shared" si="193"/>
        <v>0</v>
      </c>
      <c r="AC448" s="163">
        <f t="shared" si="193"/>
        <v>0</v>
      </c>
      <c r="AD448" s="163">
        <f t="shared" si="193"/>
        <v>0</v>
      </c>
      <c r="AE448" s="163">
        <f t="shared" si="193"/>
        <v>0</v>
      </c>
      <c r="AF448" s="163">
        <f t="shared" si="193"/>
        <v>0</v>
      </c>
      <c r="AG448" s="163">
        <f t="shared" si="193"/>
        <v>0</v>
      </c>
      <c r="AH448" s="163">
        <f t="shared" si="193"/>
        <v>0</v>
      </c>
      <c r="AI448" s="163">
        <f t="shared" si="193"/>
        <v>0</v>
      </c>
      <c r="AJ448" s="163">
        <f t="shared" si="193"/>
        <v>0</v>
      </c>
      <c r="AK448" s="163">
        <f t="shared" si="193"/>
        <v>0</v>
      </c>
      <c r="AL448" s="163">
        <f t="shared" si="193"/>
        <v>0</v>
      </c>
      <c r="AM448" s="163">
        <f t="shared" si="193"/>
        <v>0</v>
      </c>
      <c r="AN448" s="163">
        <f t="shared" si="193"/>
        <v>0</v>
      </c>
      <c r="AO448" s="163">
        <f t="shared" si="193"/>
        <v>0</v>
      </c>
      <c r="AP448" s="163">
        <f t="shared" si="193"/>
        <v>0</v>
      </c>
    </row>
    <row r="449" spans="1:42" x14ac:dyDescent="0.2">
      <c r="A449" s="4">
        <f t="shared" ref="A449" si="194">A448+1</f>
        <v>10</v>
      </c>
      <c r="C449" s="163">
        <f t="shared" ref="C449:AP449" si="195">C313</f>
        <v>0</v>
      </c>
      <c r="D449" s="163">
        <f t="shared" si="195"/>
        <v>0</v>
      </c>
      <c r="E449" s="163">
        <f t="shared" si="195"/>
        <v>0</v>
      </c>
      <c r="F449" s="163">
        <f t="shared" si="195"/>
        <v>0</v>
      </c>
      <c r="G449" s="163">
        <f t="shared" si="195"/>
        <v>0</v>
      </c>
      <c r="H449" s="163">
        <f t="shared" si="195"/>
        <v>0</v>
      </c>
      <c r="I449" s="163">
        <f t="shared" si="195"/>
        <v>0</v>
      </c>
      <c r="J449" s="163">
        <f t="shared" si="195"/>
        <v>0</v>
      </c>
      <c r="K449" s="163">
        <f t="shared" si="195"/>
        <v>0</v>
      </c>
      <c r="L449" s="163">
        <f t="shared" si="195"/>
        <v>0</v>
      </c>
      <c r="M449" s="163">
        <f t="shared" si="195"/>
        <v>0</v>
      </c>
      <c r="N449" s="163">
        <f t="shared" si="195"/>
        <v>0</v>
      </c>
      <c r="O449" s="163">
        <f t="shared" si="195"/>
        <v>0</v>
      </c>
      <c r="P449" s="163">
        <f t="shared" si="195"/>
        <v>0</v>
      </c>
      <c r="Q449" s="163">
        <f t="shared" si="195"/>
        <v>0</v>
      </c>
      <c r="R449" s="163">
        <f t="shared" si="195"/>
        <v>0</v>
      </c>
      <c r="S449" s="163">
        <f t="shared" si="195"/>
        <v>0</v>
      </c>
      <c r="T449" s="163">
        <f t="shared" si="195"/>
        <v>0</v>
      </c>
      <c r="U449" s="163">
        <f t="shared" si="195"/>
        <v>0</v>
      </c>
      <c r="V449" s="163">
        <f t="shared" si="195"/>
        <v>0</v>
      </c>
      <c r="W449" s="163">
        <f t="shared" si="195"/>
        <v>0</v>
      </c>
      <c r="X449" s="163">
        <f t="shared" si="195"/>
        <v>0</v>
      </c>
      <c r="Y449" s="163">
        <f t="shared" si="195"/>
        <v>0</v>
      </c>
      <c r="Z449" s="163">
        <f t="shared" si="195"/>
        <v>0</v>
      </c>
      <c r="AA449" s="163">
        <f t="shared" si="195"/>
        <v>0</v>
      </c>
      <c r="AB449" s="163">
        <f t="shared" si="195"/>
        <v>0</v>
      </c>
      <c r="AC449" s="163">
        <f t="shared" si="195"/>
        <v>0</v>
      </c>
      <c r="AD449" s="163">
        <f t="shared" si="195"/>
        <v>0</v>
      </c>
      <c r="AE449" s="163">
        <f t="shared" si="195"/>
        <v>0</v>
      </c>
      <c r="AF449" s="163">
        <f t="shared" si="195"/>
        <v>0</v>
      </c>
      <c r="AG449" s="163">
        <f t="shared" si="195"/>
        <v>0</v>
      </c>
      <c r="AH449" s="163">
        <f t="shared" si="195"/>
        <v>0</v>
      </c>
      <c r="AI449" s="163">
        <f t="shared" si="195"/>
        <v>0</v>
      </c>
      <c r="AJ449" s="163">
        <f t="shared" si="195"/>
        <v>0</v>
      </c>
      <c r="AK449" s="163">
        <f t="shared" si="195"/>
        <v>0</v>
      </c>
      <c r="AL449" s="163">
        <f t="shared" si="195"/>
        <v>0</v>
      </c>
      <c r="AM449" s="163">
        <f t="shared" si="195"/>
        <v>0</v>
      </c>
      <c r="AN449" s="163">
        <f t="shared" si="195"/>
        <v>0</v>
      </c>
      <c r="AO449" s="163">
        <f t="shared" si="195"/>
        <v>0</v>
      </c>
      <c r="AP449" s="163">
        <f t="shared" si="195"/>
        <v>0</v>
      </c>
    </row>
    <row r="450" spans="1:42" x14ac:dyDescent="0.2">
      <c r="A450" s="22"/>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row>
    <row r="451" spans="1:42" x14ac:dyDescent="0.2">
      <c r="A451" s="22" t="s">
        <v>79</v>
      </c>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row>
    <row r="452" spans="1:42" x14ac:dyDescent="0.2">
      <c r="A452" s="4">
        <v>1</v>
      </c>
      <c r="B452" s="178">
        <f t="shared" ref="B452:B461" si="196">SUM(C452:AP452)</f>
        <v>14129738.209737662</v>
      </c>
      <c r="C452" s="180">
        <f t="shared" ref="C452:AP452" si="197">LOOKUP(C440,$B$435:$AP$435,$B$436:$AP$436)*$B639/100</f>
        <v>0</v>
      </c>
      <c r="D452" s="180">
        <f t="shared" si="197"/>
        <v>0</v>
      </c>
      <c r="E452" s="180">
        <f t="shared" si="197"/>
        <v>0</v>
      </c>
      <c r="F452" s="180">
        <f t="shared" si="197"/>
        <v>0</v>
      </c>
      <c r="G452" s="180">
        <f t="shared" si="197"/>
        <v>0</v>
      </c>
      <c r="H452" s="180">
        <f t="shared" si="197"/>
        <v>0</v>
      </c>
      <c r="I452" s="180">
        <f t="shared" si="197"/>
        <v>0</v>
      </c>
      <c r="J452" s="180">
        <f t="shared" si="197"/>
        <v>0</v>
      </c>
      <c r="K452" s="180">
        <f t="shared" si="197"/>
        <v>0</v>
      </c>
      <c r="L452" s="180">
        <f t="shared" si="197"/>
        <v>0</v>
      </c>
      <c r="M452" s="180">
        <f t="shared" si="197"/>
        <v>0</v>
      </c>
      <c r="N452" s="180">
        <f t="shared" si="197"/>
        <v>0</v>
      </c>
      <c r="O452" s="180">
        <f t="shared" si="197"/>
        <v>0</v>
      </c>
      <c r="P452" s="180">
        <f t="shared" si="197"/>
        <v>0</v>
      </c>
      <c r="Q452" s="180">
        <f t="shared" si="197"/>
        <v>2825947.6419475321</v>
      </c>
      <c r="R452" s="180">
        <f t="shared" si="197"/>
        <v>4521516.2271160511</v>
      </c>
      <c r="S452" s="180">
        <f t="shared" si="197"/>
        <v>2712909.736269631</v>
      </c>
      <c r="T452" s="180">
        <f t="shared" si="197"/>
        <v>1627745.8417617783</v>
      </c>
      <c r="U452" s="180">
        <f t="shared" si="197"/>
        <v>1627745.8417617783</v>
      </c>
      <c r="V452" s="180">
        <f t="shared" si="197"/>
        <v>813872.92088088917</v>
      </c>
      <c r="W452" s="180">
        <f t="shared" si="197"/>
        <v>0</v>
      </c>
      <c r="X452" s="180">
        <f t="shared" si="197"/>
        <v>0</v>
      </c>
      <c r="Y452" s="180">
        <f t="shared" si="197"/>
        <v>0</v>
      </c>
      <c r="Z452" s="180">
        <f t="shared" si="197"/>
        <v>0</v>
      </c>
      <c r="AA452" s="180">
        <f t="shared" si="197"/>
        <v>0</v>
      </c>
      <c r="AB452" s="180">
        <f t="shared" si="197"/>
        <v>0</v>
      </c>
      <c r="AC452" s="180">
        <f t="shared" si="197"/>
        <v>0</v>
      </c>
      <c r="AD452" s="180">
        <f t="shared" si="197"/>
        <v>0</v>
      </c>
      <c r="AE452" s="180">
        <f t="shared" si="197"/>
        <v>0</v>
      </c>
      <c r="AF452" s="180">
        <f t="shared" si="197"/>
        <v>0</v>
      </c>
      <c r="AG452" s="180">
        <f t="shared" si="197"/>
        <v>0</v>
      </c>
      <c r="AH452" s="180">
        <f t="shared" si="197"/>
        <v>0</v>
      </c>
      <c r="AI452" s="180">
        <f t="shared" si="197"/>
        <v>0</v>
      </c>
      <c r="AJ452" s="180">
        <f t="shared" si="197"/>
        <v>0</v>
      </c>
      <c r="AK452" s="180">
        <f t="shared" si="197"/>
        <v>0</v>
      </c>
      <c r="AL452" s="180">
        <f t="shared" si="197"/>
        <v>0</v>
      </c>
      <c r="AM452" s="180">
        <f t="shared" si="197"/>
        <v>0</v>
      </c>
      <c r="AN452" s="180">
        <f t="shared" si="197"/>
        <v>0</v>
      </c>
      <c r="AO452" s="180">
        <f t="shared" si="197"/>
        <v>0</v>
      </c>
      <c r="AP452" s="180">
        <f t="shared" si="197"/>
        <v>0</v>
      </c>
    </row>
    <row r="453" spans="1:42" x14ac:dyDescent="0.2">
      <c r="A453" s="4">
        <f>A452+1</f>
        <v>2</v>
      </c>
      <c r="B453" s="178">
        <f t="shared" si="196"/>
        <v>0</v>
      </c>
      <c r="C453" s="180">
        <f t="shared" ref="C453:AP453" si="198">LOOKUP(C441,$B$435:$AP$435,$B$436:$AP$436)*$B640/100</f>
        <v>0</v>
      </c>
      <c r="D453" s="180">
        <f t="shared" si="198"/>
        <v>0</v>
      </c>
      <c r="E453" s="180">
        <f t="shared" si="198"/>
        <v>0</v>
      </c>
      <c r="F453" s="180">
        <f t="shared" si="198"/>
        <v>0</v>
      </c>
      <c r="G453" s="180">
        <f t="shared" si="198"/>
        <v>0</v>
      </c>
      <c r="H453" s="180">
        <f t="shared" si="198"/>
        <v>0</v>
      </c>
      <c r="I453" s="180">
        <f t="shared" si="198"/>
        <v>0</v>
      </c>
      <c r="J453" s="180">
        <f t="shared" si="198"/>
        <v>0</v>
      </c>
      <c r="K453" s="180">
        <f t="shared" si="198"/>
        <v>0</v>
      </c>
      <c r="L453" s="180">
        <f t="shared" si="198"/>
        <v>0</v>
      </c>
      <c r="M453" s="180">
        <f t="shared" si="198"/>
        <v>0</v>
      </c>
      <c r="N453" s="180">
        <f t="shared" si="198"/>
        <v>0</v>
      </c>
      <c r="O453" s="180">
        <f t="shared" si="198"/>
        <v>0</v>
      </c>
      <c r="P453" s="180">
        <f t="shared" si="198"/>
        <v>0</v>
      </c>
      <c r="Q453" s="180">
        <f t="shared" si="198"/>
        <v>0</v>
      </c>
      <c r="R453" s="180">
        <f t="shared" si="198"/>
        <v>0</v>
      </c>
      <c r="S453" s="180">
        <f t="shared" si="198"/>
        <v>0</v>
      </c>
      <c r="T453" s="180">
        <f t="shared" si="198"/>
        <v>0</v>
      </c>
      <c r="U453" s="180">
        <f t="shared" si="198"/>
        <v>0</v>
      </c>
      <c r="V453" s="180">
        <f t="shared" si="198"/>
        <v>0</v>
      </c>
      <c r="W453" s="180">
        <f t="shared" si="198"/>
        <v>0</v>
      </c>
      <c r="X453" s="180">
        <f t="shared" si="198"/>
        <v>0</v>
      </c>
      <c r="Y453" s="180">
        <f t="shared" si="198"/>
        <v>0</v>
      </c>
      <c r="Z453" s="180">
        <f t="shared" si="198"/>
        <v>0</v>
      </c>
      <c r="AA453" s="180">
        <f t="shared" si="198"/>
        <v>0</v>
      </c>
      <c r="AB453" s="180">
        <f t="shared" si="198"/>
        <v>0</v>
      </c>
      <c r="AC453" s="180">
        <f t="shared" si="198"/>
        <v>0</v>
      </c>
      <c r="AD453" s="180">
        <f t="shared" si="198"/>
        <v>0</v>
      </c>
      <c r="AE453" s="180">
        <f t="shared" si="198"/>
        <v>0</v>
      </c>
      <c r="AF453" s="180">
        <f t="shared" si="198"/>
        <v>0</v>
      </c>
      <c r="AG453" s="180">
        <f t="shared" si="198"/>
        <v>0</v>
      </c>
      <c r="AH453" s="180">
        <f t="shared" si="198"/>
        <v>0</v>
      </c>
      <c r="AI453" s="180">
        <f t="shared" si="198"/>
        <v>0</v>
      </c>
      <c r="AJ453" s="180">
        <f t="shared" si="198"/>
        <v>0</v>
      </c>
      <c r="AK453" s="180">
        <f t="shared" si="198"/>
        <v>0</v>
      </c>
      <c r="AL453" s="180">
        <f t="shared" si="198"/>
        <v>0</v>
      </c>
      <c r="AM453" s="180">
        <f t="shared" si="198"/>
        <v>0</v>
      </c>
      <c r="AN453" s="180">
        <f t="shared" si="198"/>
        <v>0</v>
      </c>
      <c r="AO453" s="180">
        <f t="shared" si="198"/>
        <v>0</v>
      </c>
      <c r="AP453" s="180">
        <f t="shared" si="198"/>
        <v>0</v>
      </c>
    </row>
    <row r="454" spans="1:42" x14ac:dyDescent="0.2">
      <c r="A454" s="4">
        <f t="shared" ref="A454:A459" si="199">A453+1</f>
        <v>3</v>
      </c>
      <c r="B454" s="178">
        <f t="shared" si="196"/>
        <v>0</v>
      </c>
      <c r="C454" s="180">
        <f t="shared" ref="C454:AP454" si="200">LOOKUP(C442,$B$435:$AP$435,$B$436:$AP$436)*$B641/100</f>
        <v>0</v>
      </c>
      <c r="D454" s="180">
        <f t="shared" si="200"/>
        <v>0</v>
      </c>
      <c r="E454" s="180">
        <f t="shared" si="200"/>
        <v>0</v>
      </c>
      <c r="F454" s="180">
        <f t="shared" si="200"/>
        <v>0</v>
      </c>
      <c r="G454" s="180">
        <f t="shared" si="200"/>
        <v>0</v>
      </c>
      <c r="H454" s="180">
        <f t="shared" si="200"/>
        <v>0</v>
      </c>
      <c r="I454" s="180">
        <f t="shared" si="200"/>
        <v>0</v>
      </c>
      <c r="J454" s="180">
        <f t="shared" si="200"/>
        <v>0</v>
      </c>
      <c r="K454" s="180">
        <f t="shared" si="200"/>
        <v>0</v>
      </c>
      <c r="L454" s="180">
        <f t="shared" si="200"/>
        <v>0</v>
      </c>
      <c r="M454" s="180">
        <f t="shared" si="200"/>
        <v>0</v>
      </c>
      <c r="N454" s="180">
        <f t="shared" si="200"/>
        <v>0</v>
      </c>
      <c r="O454" s="180">
        <f t="shared" si="200"/>
        <v>0</v>
      </c>
      <c r="P454" s="180">
        <f t="shared" si="200"/>
        <v>0</v>
      </c>
      <c r="Q454" s="180">
        <f t="shared" si="200"/>
        <v>0</v>
      </c>
      <c r="R454" s="180">
        <f t="shared" si="200"/>
        <v>0</v>
      </c>
      <c r="S454" s="180">
        <f t="shared" si="200"/>
        <v>0</v>
      </c>
      <c r="T454" s="180">
        <f t="shared" si="200"/>
        <v>0</v>
      </c>
      <c r="U454" s="180">
        <f t="shared" si="200"/>
        <v>0</v>
      </c>
      <c r="V454" s="180">
        <f t="shared" si="200"/>
        <v>0</v>
      </c>
      <c r="W454" s="180">
        <f t="shared" si="200"/>
        <v>0</v>
      </c>
      <c r="X454" s="180">
        <f t="shared" si="200"/>
        <v>0</v>
      </c>
      <c r="Y454" s="180">
        <f t="shared" si="200"/>
        <v>0</v>
      </c>
      <c r="Z454" s="180">
        <f t="shared" si="200"/>
        <v>0</v>
      </c>
      <c r="AA454" s="180">
        <f t="shared" si="200"/>
        <v>0</v>
      </c>
      <c r="AB454" s="180">
        <f t="shared" si="200"/>
        <v>0</v>
      </c>
      <c r="AC454" s="180">
        <f t="shared" si="200"/>
        <v>0</v>
      </c>
      <c r="AD454" s="180">
        <f t="shared" si="200"/>
        <v>0</v>
      </c>
      <c r="AE454" s="180">
        <f t="shared" si="200"/>
        <v>0</v>
      </c>
      <c r="AF454" s="180">
        <f t="shared" si="200"/>
        <v>0</v>
      </c>
      <c r="AG454" s="180">
        <f t="shared" si="200"/>
        <v>0</v>
      </c>
      <c r="AH454" s="180">
        <f t="shared" si="200"/>
        <v>0</v>
      </c>
      <c r="AI454" s="180">
        <f t="shared" si="200"/>
        <v>0</v>
      </c>
      <c r="AJ454" s="180">
        <f t="shared" si="200"/>
        <v>0</v>
      </c>
      <c r="AK454" s="180">
        <f t="shared" si="200"/>
        <v>0</v>
      </c>
      <c r="AL454" s="180">
        <f t="shared" si="200"/>
        <v>0</v>
      </c>
      <c r="AM454" s="180">
        <f t="shared" si="200"/>
        <v>0</v>
      </c>
      <c r="AN454" s="180">
        <f t="shared" si="200"/>
        <v>0</v>
      </c>
      <c r="AO454" s="180">
        <f t="shared" si="200"/>
        <v>0</v>
      </c>
      <c r="AP454" s="180">
        <f t="shared" si="200"/>
        <v>0</v>
      </c>
    </row>
    <row r="455" spans="1:42" x14ac:dyDescent="0.2">
      <c r="A455" s="4">
        <f t="shared" si="199"/>
        <v>4</v>
      </c>
      <c r="B455" s="178">
        <f t="shared" si="196"/>
        <v>0</v>
      </c>
      <c r="C455" s="180">
        <f t="shared" ref="C455:AP455" si="201">LOOKUP(C443,$B$435:$AP$435,$B$436:$AP$436)*$B642/100</f>
        <v>0</v>
      </c>
      <c r="D455" s="180">
        <f t="shared" si="201"/>
        <v>0</v>
      </c>
      <c r="E455" s="180">
        <f t="shared" si="201"/>
        <v>0</v>
      </c>
      <c r="F455" s="180">
        <f t="shared" si="201"/>
        <v>0</v>
      </c>
      <c r="G455" s="180">
        <f t="shared" si="201"/>
        <v>0</v>
      </c>
      <c r="H455" s="180">
        <f t="shared" si="201"/>
        <v>0</v>
      </c>
      <c r="I455" s="180">
        <f t="shared" si="201"/>
        <v>0</v>
      </c>
      <c r="J455" s="180">
        <f t="shared" si="201"/>
        <v>0</v>
      </c>
      <c r="K455" s="180">
        <f t="shared" si="201"/>
        <v>0</v>
      </c>
      <c r="L455" s="180">
        <f t="shared" si="201"/>
        <v>0</v>
      </c>
      <c r="M455" s="180">
        <f t="shared" si="201"/>
        <v>0</v>
      </c>
      <c r="N455" s="180">
        <f t="shared" si="201"/>
        <v>0</v>
      </c>
      <c r="O455" s="180">
        <f t="shared" si="201"/>
        <v>0</v>
      </c>
      <c r="P455" s="180">
        <f t="shared" si="201"/>
        <v>0</v>
      </c>
      <c r="Q455" s="180">
        <f t="shared" si="201"/>
        <v>0</v>
      </c>
      <c r="R455" s="180">
        <f t="shared" si="201"/>
        <v>0</v>
      </c>
      <c r="S455" s="180">
        <f t="shared" si="201"/>
        <v>0</v>
      </c>
      <c r="T455" s="180">
        <f t="shared" si="201"/>
        <v>0</v>
      </c>
      <c r="U455" s="180">
        <f t="shared" si="201"/>
        <v>0</v>
      </c>
      <c r="V455" s="180">
        <f t="shared" si="201"/>
        <v>0</v>
      </c>
      <c r="W455" s="180">
        <f t="shared" si="201"/>
        <v>0</v>
      </c>
      <c r="X455" s="180">
        <f t="shared" si="201"/>
        <v>0</v>
      </c>
      <c r="Y455" s="180">
        <f t="shared" si="201"/>
        <v>0</v>
      </c>
      <c r="Z455" s="180">
        <f t="shared" si="201"/>
        <v>0</v>
      </c>
      <c r="AA455" s="180">
        <f t="shared" si="201"/>
        <v>0</v>
      </c>
      <c r="AB455" s="180">
        <f t="shared" si="201"/>
        <v>0</v>
      </c>
      <c r="AC455" s="180">
        <f t="shared" si="201"/>
        <v>0</v>
      </c>
      <c r="AD455" s="180">
        <f t="shared" si="201"/>
        <v>0</v>
      </c>
      <c r="AE455" s="180">
        <f t="shared" si="201"/>
        <v>0</v>
      </c>
      <c r="AF455" s="180">
        <f t="shared" si="201"/>
        <v>0</v>
      </c>
      <c r="AG455" s="180">
        <f t="shared" si="201"/>
        <v>0</v>
      </c>
      <c r="AH455" s="180">
        <f t="shared" si="201"/>
        <v>0</v>
      </c>
      <c r="AI455" s="180">
        <f t="shared" si="201"/>
        <v>0</v>
      </c>
      <c r="AJ455" s="180">
        <f t="shared" si="201"/>
        <v>0</v>
      </c>
      <c r="AK455" s="180">
        <f t="shared" si="201"/>
        <v>0</v>
      </c>
      <c r="AL455" s="180">
        <f t="shared" si="201"/>
        <v>0</v>
      </c>
      <c r="AM455" s="180">
        <f t="shared" si="201"/>
        <v>0</v>
      </c>
      <c r="AN455" s="180">
        <f t="shared" si="201"/>
        <v>0</v>
      </c>
      <c r="AO455" s="180">
        <f t="shared" si="201"/>
        <v>0</v>
      </c>
      <c r="AP455" s="180">
        <f t="shared" si="201"/>
        <v>0</v>
      </c>
    </row>
    <row r="456" spans="1:42" x14ac:dyDescent="0.2">
      <c r="A456" s="4">
        <f t="shared" si="199"/>
        <v>5</v>
      </c>
      <c r="B456" s="178">
        <f t="shared" si="196"/>
        <v>0</v>
      </c>
      <c r="C456" s="180">
        <f t="shared" ref="C456:AP456" si="202">LOOKUP(C444,$B$435:$AP$435,$B$436:$AP$436)*$B643/100</f>
        <v>0</v>
      </c>
      <c r="D456" s="180">
        <f t="shared" si="202"/>
        <v>0</v>
      </c>
      <c r="E456" s="180">
        <f t="shared" si="202"/>
        <v>0</v>
      </c>
      <c r="F456" s="180">
        <f t="shared" si="202"/>
        <v>0</v>
      </c>
      <c r="G456" s="180">
        <f t="shared" si="202"/>
        <v>0</v>
      </c>
      <c r="H456" s="180">
        <f t="shared" si="202"/>
        <v>0</v>
      </c>
      <c r="I456" s="180">
        <f t="shared" si="202"/>
        <v>0</v>
      </c>
      <c r="J456" s="180">
        <f t="shared" si="202"/>
        <v>0</v>
      </c>
      <c r="K456" s="180">
        <f t="shared" si="202"/>
        <v>0</v>
      </c>
      <c r="L456" s="180">
        <f t="shared" si="202"/>
        <v>0</v>
      </c>
      <c r="M456" s="180">
        <f t="shared" si="202"/>
        <v>0</v>
      </c>
      <c r="N456" s="180">
        <f t="shared" si="202"/>
        <v>0</v>
      </c>
      <c r="O456" s="180">
        <f t="shared" si="202"/>
        <v>0</v>
      </c>
      <c r="P456" s="180">
        <f t="shared" si="202"/>
        <v>0</v>
      </c>
      <c r="Q456" s="180">
        <f t="shared" si="202"/>
        <v>0</v>
      </c>
      <c r="R456" s="180">
        <f t="shared" si="202"/>
        <v>0</v>
      </c>
      <c r="S456" s="180">
        <f t="shared" si="202"/>
        <v>0</v>
      </c>
      <c r="T456" s="180">
        <f t="shared" si="202"/>
        <v>0</v>
      </c>
      <c r="U456" s="180">
        <f t="shared" si="202"/>
        <v>0</v>
      </c>
      <c r="V456" s="180">
        <f t="shared" si="202"/>
        <v>0</v>
      </c>
      <c r="W456" s="180">
        <f t="shared" si="202"/>
        <v>0</v>
      </c>
      <c r="X456" s="180">
        <f t="shared" si="202"/>
        <v>0</v>
      </c>
      <c r="Y456" s="180">
        <f t="shared" si="202"/>
        <v>0</v>
      </c>
      <c r="Z456" s="180">
        <f t="shared" si="202"/>
        <v>0</v>
      </c>
      <c r="AA456" s="180">
        <f t="shared" si="202"/>
        <v>0</v>
      </c>
      <c r="AB456" s="180">
        <f t="shared" si="202"/>
        <v>0</v>
      </c>
      <c r="AC456" s="180">
        <f t="shared" si="202"/>
        <v>0</v>
      </c>
      <c r="AD456" s="180">
        <f t="shared" si="202"/>
        <v>0</v>
      </c>
      <c r="AE456" s="180">
        <f t="shared" si="202"/>
        <v>0</v>
      </c>
      <c r="AF456" s="180">
        <f t="shared" si="202"/>
        <v>0</v>
      </c>
      <c r="AG456" s="180">
        <f t="shared" si="202"/>
        <v>0</v>
      </c>
      <c r="AH456" s="180">
        <f t="shared" si="202"/>
        <v>0</v>
      </c>
      <c r="AI456" s="180">
        <f t="shared" si="202"/>
        <v>0</v>
      </c>
      <c r="AJ456" s="180">
        <f t="shared" si="202"/>
        <v>0</v>
      </c>
      <c r="AK456" s="180">
        <f t="shared" si="202"/>
        <v>0</v>
      </c>
      <c r="AL456" s="180">
        <f t="shared" si="202"/>
        <v>0</v>
      </c>
      <c r="AM456" s="180">
        <f t="shared" si="202"/>
        <v>0</v>
      </c>
      <c r="AN456" s="180">
        <f t="shared" si="202"/>
        <v>0</v>
      </c>
      <c r="AO456" s="180">
        <f t="shared" si="202"/>
        <v>0</v>
      </c>
      <c r="AP456" s="180">
        <f t="shared" si="202"/>
        <v>0</v>
      </c>
    </row>
    <row r="457" spans="1:42" x14ac:dyDescent="0.2">
      <c r="A457" s="4">
        <f t="shared" si="199"/>
        <v>6</v>
      </c>
      <c r="B457" s="178">
        <f t="shared" si="196"/>
        <v>0</v>
      </c>
      <c r="C457" s="180">
        <f t="shared" ref="C457:AP457" si="203">LOOKUP(C445,$B$435:$AP$435,$B$436:$AP$436)*$B644/100</f>
        <v>0</v>
      </c>
      <c r="D457" s="180">
        <f t="shared" si="203"/>
        <v>0</v>
      </c>
      <c r="E457" s="180">
        <f t="shared" si="203"/>
        <v>0</v>
      </c>
      <c r="F457" s="180">
        <f t="shared" si="203"/>
        <v>0</v>
      </c>
      <c r="G457" s="180">
        <f t="shared" si="203"/>
        <v>0</v>
      </c>
      <c r="H457" s="180">
        <f t="shared" si="203"/>
        <v>0</v>
      </c>
      <c r="I457" s="180">
        <f t="shared" si="203"/>
        <v>0</v>
      </c>
      <c r="J457" s="180">
        <f t="shared" si="203"/>
        <v>0</v>
      </c>
      <c r="K457" s="180">
        <f t="shared" si="203"/>
        <v>0</v>
      </c>
      <c r="L457" s="180">
        <f t="shared" si="203"/>
        <v>0</v>
      </c>
      <c r="M457" s="180">
        <f t="shared" si="203"/>
        <v>0</v>
      </c>
      <c r="N457" s="180">
        <f t="shared" si="203"/>
        <v>0</v>
      </c>
      <c r="O457" s="180">
        <f t="shared" si="203"/>
        <v>0</v>
      </c>
      <c r="P457" s="180">
        <f t="shared" si="203"/>
        <v>0</v>
      </c>
      <c r="Q457" s="180">
        <f t="shared" si="203"/>
        <v>0</v>
      </c>
      <c r="R457" s="180">
        <f t="shared" si="203"/>
        <v>0</v>
      </c>
      <c r="S457" s="180">
        <f t="shared" si="203"/>
        <v>0</v>
      </c>
      <c r="T457" s="180">
        <f t="shared" si="203"/>
        <v>0</v>
      </c>
      <c r="U457" s="180">
        <f t="shared" si="203"/>
        <v>0</v>
      </c>
      <c r="V457" s="180">
        <f t="shared" si="203"/>
        <v>0</v>
      </c>
      <c r="W457" s="180">
        <f t="shared" si="203"/>
        <v>0</v>
      </c>
      <c r="X457" s="180">
        <f t="shared" si="203"/>
        <v>0</v>
      </c>
      <c r="Y457" s="180">
        <f t="shared" si="203"/>
        <v>0</v>
      </c>
      <c r="Z457" s="180">
        <f t="shared" si="203"/>
        <v>0</v>
      </c>
      <c r="AA457" s="180">
        <f t="shared" si="203"/>
        <v>0</v>
      </c>
      <c r="AB457" s="180">
        <f t="shared" si="203"/>
        <v>0</v>
      </c>
      <c r="AC457" s="180">
        <f t="shared" si="203"/>
        <v>0</v>
      </c>
      <c r="AD457" s="180">
        <f t="shared" si="203"/>
        <v>0</v>
      </c>
      <c r="AE457" s="180">
        <f t="shared" si="203"/>
        <v>0</v>
      </c>
      <c r="AF457" s="180">
        <f t="shared" si="203"/>
        <v>0</v>
      </c>
      <c r="AG457" s="180">
        <f t="shared" si="203"/>
        <v>0</v>
      </c>
      <c r="AH457" s="180">
        <f t="shared" si="203"/>
        <v>0</v>
      </c>
      <c r="AI457" s="180">
        <f t="shared" si="203"/>
        <v>0</v>
      </c>
      <c r="AJ457" s="180">
        <f t="shared" si="203"/>
        <v>0</v>
      </c>
      <c r="AK457" s="180">
        <f t="shared" si="203"/>
        <v>0</v>
      </c>
      <c r="AL457" s="180">
        <f t="shared" si="203"/>
        <v>0</v>
      </c>
      <c r="AM457" s="180">
        <f t="shared" si="203"/>
        <v>0</v>
      </c>
      <c r="AN457" s="180">
        <f t="shared" si="203"/>
        <v>0</v>
      </c>
      <c r="AO457" s="180">
        <f t="shared" si="203"/>
        <v>0</v>
      </c>
      <c r="AP457" s="180">
        <f t="shared" si="203"/>
        <v>0</v>
      </c>
    </row>
    <row r="458" spans="1:42" x14ac:dyDescent="0.2">
      <c r="A458" s="4">
        <f t="shared" si="199"/>
        <v>7</v>
      </c>
      <c r="B458" s="178">
        <f t="shared" si="196"/>
        <v>0</v>
      </c>
      <c r="C458" s="180">
        <f t="shared" ref="C458:AP458" si="204">LOOKUP(C446,$B$435:$AP$435,$B$436:$AP$436)*$B645/100</f>
        <v>0</v>
      </c>
      <c r="D458" s="180">
        <f t="shared" si="204"/>
        <v>0</v>
      </c>
      <c r="E458" s="180">
        <f t="shared" si="204"/>
        <v>0</v>
      </c>
      <c r="F458" s="180">
        <f t="shared" si="204"/>
        <v>0</v>
      </c>
      <c r="G458" s="180">
        <f t="shared" si="204"/>
        <v>0</v>
      </c>
      <c r="H458" s="180">
        <f t="shared" si="204"/>
        <v>0</v>
      </c>
      <c r="I458" s="180">
        <f t="shared" si="204"/>
        <v>0</v>
      </c>
      <c r="J458" s="180">
        <f t="shared" si="204"/>
        <v>0</v>
      </c>
      <c r="K458" s="180">
        <f t="shared" si="204"/>
        <v>0</v>
      </c>
      <c r="L458" s="180">
        <f t="shared" si="204"/>
        <v>0</v>
      </c>
      <c r="M458" s="180">
        <f t="shared" si="204"/>
        <v>0</v>
      </c>
      <c r="N458" s="180">
        <f t="shared" si="204"/>
        <v>0</v>
      </c>
      <c r="O458" s="180">
        <f t="shared" si="204"/>
        <v>0</v>
      </c>
      <c r="P458" s="180">
        <f t="shared" si="204"/>
        <v>0</v>
      </c>
      <c r="Q458" s="180">
        <f t="shared" si="204"/>
        <v>0</v>
      </c>
      <c r="R458" s="180">
        <f t="shared" si="204"/>
        <v>0</v>
      </c>
      <c r="S458" s="180">
        <f t="shared" si="204"/>
        <v>0</v>
      </c>
      <c r="T458" s="180">
        <f t="shared" si="204"/>
        <v>0</v>
      </c>
      <c r="U458" s="180">
        <f t="shared" si="204"/>
        <v>0</v>
      </c>
      <c r="V458" s="180">
        <f t="shared" si="204"/>
        <v>0</v>
      </c>
      <c r="W458" s="180">
        <f t="shared" si="204"/>
        <v>0</v>
      </c>
      <c r="X458" s="180">
        <f t="shared" si="204"/>
        <v>0</v>
      </c>
      <c r="Y458" s="180">
        <f t="shared" si="204"/>
        <v>0</v>
      </c>
      <c r="Z458" s="180">
        <f t="shared" si="204"/>
        <v>0</v>
      </c>
      <c r="AA458" s="180">
        <f t="shared" si="204"/>
        <v>0</v>
      </c>
      <c r="AB458" s="180">
        <f t="shared" si="204"/>
        <v>0</v>
      </c>
      <c r="AC458" s="180">
        <f t="shared" si="204"/>
        <v>0</v>
      </c>
      <c r="AD458" s="180">
        <f t="shared" si="204"/>
        <v>0</v>
      </c>
      <c r="AE458" s="180">
        <f t="shared" si="204"/>
        <v>0</v>
      </c>
      <c r="AF458" s="180">
        <f t="shared" si="204"/>
        <v>0</v>
      </c>
      <c r="AG458" s="180">
        <f t="shared" si="204"/>
        <v>0</v>
      </c>
      <c r="AH458" s="180">
        <f t="shared" si="204"/>
        <v>0</v>
      </c>
      <c r="AI458" s="180">
        <f t="shared" si="204"/>
        <v>0</v>
      </c>
      <c r="AJ458" s="180">
        <f t="shared" si="204"/>
        <v>0</v>
      </c>
      <c r="AK458" s="180">
        <f t="shared" si="204"/>
        <v>0</v>
      </c>
      <c r="AL458" s="180">
        <f t="shared" si="204"/>
        <v>0</v>
      </c>
      <c r="AM458" s="180">
        <f t="shared" si="204"/>
        <v>0</v>
      </c>
      <c r="AN458" s="180">
        <f t="shared" si="204"/>
        <v>0</v>
      </c>
      <c r="AO458" s="180">
        <f t="shared" si="204"/>
        <v>0</v>
      </c>
      <c r="AP458" s="180">
        <f t="shared" si="204"/>
        <v>0</v>
      </c>
    </row>
    <row r="459" spans="1:42" x14ac:dyDescent="0.2">
      <c r="A459" s="4">
        <f t="shared" si="199"/>
        <v>8</v>
      </c>
      <c r="B459" s="178">
        <f t="shared" si="196"/>
        <v>0</v>
      </c>
      <c r="C459" s="180">
        <f t="shared" ref="C459:AP459" si="205">LOOKUP(C447,$B$435:$AP$435,$B$436:$AP$436)*$B646/100</f>
        <v>0</v>
      </c>
      <c r="D459" s="180">
        <f t="shared" si="205"/>
        <v>0</v>
      </c>
      <c r="E459" s="180">
        <f t="shared" si="205"/>
        <v>0</v>
      </c>
      <c r="F459" s="180">
        <f t="shared" si="205"/>
        <v>0</v>
      </c>
      <c r="G459" s="180">
        <f t="shared" si="205"/>
        <v>0</v>
      </c>
      <c r="H459" s="180">
        <f t="shared" si="205"/>
        <v>0</v>
      </c>
      <c r="I459" s="180">
        <f t="shared" si="205"/>
        <v>0</v>
      </c>
      <c r="J459" s="180">
        <f t="shared" si="205"/>
        <v>0</v>
      </c>
      <c r="K459" s="180">
        <f t="shared" si="205"/>
        <v>0</v>
      </c>
      <c r="L459" s="180">
        <f t="shared" si="205"/>
        <v>0</v>
      </c>
      <c r="M459" s="180">
        <f t="shared" si="205"/>
        <v>0</v>
      </c>
      <c r="N459" s="180">
        <f t="shared" si="205"/>
        <v>0</v>
      </c>
      <c r="O459" s="180">
        <f t="shared" si="205"/>
        <v>0</v>
      </c>
      <c r="P459" s="180">
        <f t="shared" si="205"/>
        <v>0</v>
      </c>
      <c r="Q459" s="180">
        <f t="shared" si="205"/>
        <v>0</v>
      </c>
      <c r="R459" s="180">
        <f t="shared" si="205"/>
        <v>0</v>
      </c>
      <c r="S459" s="180">
        <f t="shared" si="205"/>
        <v>0</v>
      </c>
      <c r="T459" s="180">
        <f t="shared" si="205"/>
        <v>0</v>
      </c>
      <c r="U459" s="180">
        <f t="shared" si="205"/>
        <v>0</v>
      </c>
      <c r="V459" s="180">
        <f t="shared" si="205"/>
        <v>0</v>
      </c>
      <c r="W459" s="180">
        <f t="shared" si="205"/>
        <v>0</v>
      </c>
      <c r="X459" s="180">
        <f t="shared" si="205"/>
        <v>0</v>
      </c>
      <c r="Y459" s="180">
        <f t="shared" si="205"/>
        <v>0</v>
      </c>
      <c r="Z459" s="180">
        <f t="shared" si="205"/>
        <v>0</v>
      </c>
      <c r="AA459" s="180">
        <f t="shared" si="205"/>
        <v>0</v>
      </c>
      <c r="AB459" s="180">
        <f t="shared" si="205"/>
        <v>0</v>
      </c>
      <c r="AC459" s="180">
        <f t="shared" si="205"/>
        <v>0</v>
      </c>
      <c r="AD459" s="180">
        <f t="shared" si="205"/>
        <v>0</v>
      </c>
      <c r="AE459" s="180">
        <f t="shared" si="205"/>
        <v>0</v>
      </c>
      <c r="AF459" s="180">
        <f t="shared" si="205"/>
        <v>0</v>
      </c>
      <c r="AG459" s="180">
        <f t="shared" si="205"/>
        <v>0</v>
      </c>
      <c r="AH459" s="180">
        <f t="shared" si="205"/>
        <v>0</v>
      </c>
      <c r="AI459" s="180">
        <f t="shared" si="205"/>
        <v>0</v>
      </c>
      <c r="AJ459" s="180">
        <f t="shared" si="205"/>
        <v>0</v>
      </c>
      <c r="AK459" s="180">
        <f t="shared" si="205"/>
        <v>0</v>
      </c>
      <c r="AL459" s="180">
        <f t="shared" si="205"/>
        <v>0</v>
      </c>
      <c r="AM459" s="180">
        <f t="shared" si="205"/>
        <v>0</v>
      </c>
      <c r="AN459" s="180">
        <f t="shared" si="205"/>
        <v>0</v>
      </c>
      <c r="AO459" s="180">
        <f t="shared" si="205"/>
        <v>0</v>
      </c>
      <c r="AP459" s="180">
        <f t="shared" si="205"/>
        <v>0</v>
      </c>
    </row>
    <row r="460" spans="1:42" x14ac:dyDescent="0.2">
      <c r="A460" s="4">
        <f>A459+1</f>
        <v>9</v>
      </c>
      <c r="B460" s="178">
        <f t="shared" si="196"/>
        <v>0</v>
      </c>
      <c r="C460" s="180">
        <f t="shared" ref="C460:AP460" si="206">LOOKUP(C448,$B$435:$AP$435,$B$436:$AP$436)*$B647/100</f>
        <v>0</v>
      </c>
      <c r="D460" s="180">
        <f t="shared" si="206"/>
        <v>0</v>
      </c>
      <c r="E460" s="180">
        <f t="shared" si="206"/>
        <v>0</v>
      </c>
      <c r="F460" s="180">
        <f t="shared" si="206"/>
        <v>0</v>
      </c>
      <c r="G460" s="180">
        <f t="shared" si="206"/>
        <v>0</v>
      </c>
      <c r="H460" s="180">
        <f t="shared" si="206"/>
        <v>0</v>
      </c>
      <c r="I460" s="180">
        <f t="shared" si="206"/>
        <v>0</v>
      </c>
      <c r="J460" s="180">
        <f t="shared" si="206"/>
        <v>0</v>
      </c>
      <c r="K460" s="180">
        <f t="shared" si="206"/>
        <v>0</v>
      </c>
      <c r="L460" s="180">
        <f t="shared" si="206"/>
        <v>0</v>
      </c>
      <c r="M460" s="180">
        <f t="shared" si="206"/>
        <v>0</v>
      </c>
      <c r="N460" s="180">
        <f t="shared" si="206"/>
        <v>0</v>
      </c>
      <c r="O460" s="180">
        <f t="shared" si="206"/>
        <v>0</v>
      </c>
      <c r="P460" s="180">
        <f t="shared" si="206"/>
        <v>0</v>
      </c>
      <c r="Q460" s="180">
        <f t="shared" si="206"/>
        <v>0</v>
      </c>
      <c r="R460" s="180">
        <f t="shared" si="206"/>
        <v>0</v>
      </c>
      <c r="S460" s="180">
        <f t="shared" si="206"/>
        <v>0</v>
      </c>
      <c r="T460" s="180">
        <f t="shared" si="206"/>
        <v>0</v>
      </c>
      <c r="U460" s="180">
        <f t="shared" si="206"/>
        <v>0</v>
      </c>
      <c r="V460" s="180">
        <f t="shared" si="206"/>
        <v>0</v>
      </c>
      <c r="W460" s="180">
        <f t="shared" si="206"/>
        <v>0</v>
      </c>
      <c r="X460" s="180">
        <f t="shared" si="206"/>
        <v>0</v>
      </c>
      <c r="Y460" s="180">
        <f t="shared" si="206"/>
        <v>0</v>
      </c>
      <c r="Z460" s="180">
        <f t="shared" si="206"/>
        <v>0</v>
      </c>
      <c r="AA460" s="180">
        <f t="shared" si="206"/>
        <v>0</v>
      </c>
      <c r="AB460" s="180">
        <f t="shared" si="206"/>
        <v>0</v>
      </c>
      <c r="AC460" s="180">
        <f t="shared" si="206"/>
        <v>0</v>
      </c>
      <c r="AD460" s="180">
        <f t="shared" si="206"/>
        <v>0</v>
      </c>
      <c r="AE460" s="180">
        <f t="shared" si="206"/>
        <v>0</v>
      </c>
      <c r="AF460" s="180">
        <f t="shared" si="206"/>
        <v>0</v>
      </c>
      <c r="AG460" s="180">
        <f t="shared" si="206"/>
        <v>0</v>
      </c>
      <c r="AH460" s="180">
        <f t="shared" si="206"/>
        <v>0</v>
      </c>
      <c r="AI460" s="180">
        <f t="shared" si="206"/>
        <v>0</v>
      </c>
      <c r="AJ460" s="180">
        <f t="shared" si="206"/>
        <v>0</v>
      </c>
      <c r="AK460" s="180">
        <f t="shared" si="206"/>
        <v>0</v>
      </c>
      <c r="AL460" s="180">
        <f t="shared" si="206"/>
        <v>0</v>
      </c>
      <c r="AM460" s="180">
        <f t="shared" si="206"/>
        <v>0</v>
      </c>
      <c r="AN460" s="180">
        <f t="shared" si="206"/>
        <v>0</v>
      </c>
      <c r="AO460" s="180">
        <f t="shared" si="206"/>
        <v>0</v>
      </c>
      <c r="AP460" s="180">
        <f t="shared" si="206"/>
        <v>0</v>
      </c>
    </row>
    <row r="461" spans="1:42" x14ac:dyDescent="0.2">
      <c r="A461" s="4">
        <f t="shared" ref="A461" si="207">A460+1</f>
        <v>10</v>
      </c>
      <c r="B461" s="178">
        <f t="shared" si="196"/>
        <v>0</v>
      </c>
      <c r="C461" s="180">
        <f t="shared" ref="C461:AP461" si="208">LOOKUP(C449,$B$435:$AP$435,$B$436:$AP$436)*$B648/100</f>
        <v>0</v>
      </c>
      <c r="D461" s="180">
        <f t="shared" si="208"/>
        <v>0</v>
      </c>
      <c r="E461" s="180">
        <f t="shared" si="208"/>
        <v>0</v>
      </c>
      <c r="F461" s="180">
        <f t="shared" si="208"/>
        <v>0</v>
      </c>
      <c r="G461" s="180">
        <f t="shared" si="208"/>
        <v>0</v>
      </c>
      <c r="H461" s="180">
        <f t="shared" si="208"/>
        <v>0</v>
      </c>
      <c r="I461" s="180">
        <f t="shared" si="208"/>
        <v>0</v>
      </c>
      <c r="J461" s="180">
        <f t="shared" si="208"/>
        <v>0</v>
      </c>
      <c r="K461" s="180">
        <f t="shared" si="208"/>
        <v>0</v>
      </c>
      <c r="L461" s="180">
        <f t="shared" si="208"/>
        <v>0</v>
      </c>
      <c r="M461" s="180">
        <f t="shared" si="208"/>
        <v>0</v>
      </c>
      <c r="N461" s="180">
        <f t="shared" si="208"/>
        <v>0</v>
      </c>
      <c r="O461" s="180">
        <f t="shared" si="208"/>
        <v>0</v>
      </c>
      <c r="P461" s="180">
        <f t="shared" si="208"/>
        <v>0</v>
      </c>
      <c r="Q461" s="180">
        <f t="shared" si="208"/>
        <v>0</v>
      </c>
      <c r="R461" s="180">
        <f t="shared" si="208"/>
        <v>0</v>
      </c>
      <c r="S461" s="180">
        <f t="shared" si="208"/>
        <v>0</v>
      </c>
      <c r="T461" s="180">
        <f t="shared" si="208"/>
        <v>0</v>
      </c>
      <c r="U461" s="180">
        <f t="shared" si="208"/>
        <v>0</v>
      </c>
      <c r="V461" s="180">
        <f t="shared" si="208"/>
        <v>0</v>
      </c>
      <c r="W461" s="180">
        <f t="shared" si="208"/>
        <v>0</v>
      </c>
      <c r="X461" s="180">
        <f t="shared" si="208"/>
        <v>0</v>
      </c>
      <c r="Y461" s="180">
        <f t="shared" si="208"/>
        <v>0</v>
      </c>
      <c r="Z461" s="180">
        <f t="shared" si="208"/>
        <v>0</v>
      </c>
      <c r="AA461" s="180">
        <f t="shared" si="208"/>
        <v>0</v>
      </c>
      <c r="AB461" s="180">
        <f t="shared" si="208"/>
        <v>0</v>
      </c>
      <c r="AC461" s="180">
        <f t="shared" si="208"/>
        <v>0</v>
      </c>
      <c r="AD461" s="180">
        <f t="shared" si="208"/>
        <v>0</v>
      </c>
      <c r="AE461" s="180">
        <f t="shared" si="208"/>
        <v>0</v>
      </c>
      <c r="AF461" s="180">
        <f t="shared" si="208"/>
        <v>0</v>
      </c>
      <c r="AG461" s="180">
        <f t="shared" si="208"/>
        <v>0</v>
      </c>
      <c r="AH461" s="180">
        <f t="shared" si="208"/>
        <v>0</v>
      </c>
      <c r="AI461" s="180">
        <f t="shared" si="208"/>
        <v>0</v>
      </c>
      <c r="AJ461" s="180">
        <f t="shared" si="208"/>
        <v>0</v>
      </c>
      <c r="AK461" s="180">
        <f t="shared" si="208"/>
        <v>0</v>
      </c>
      <c r="AL461" s="180">
        <f t="shared" si="208"/>
        <v>0</v>
      </c>
      <c r="AM461" s="180">
        <f t="shared" si="208"/>
        <v>0</v>
      </c>
      <c r="AN461" s="180">
        <f t="shared" si="208"/>
        <v>0</v>
      </c>
      <c r="AO461" s="180">
        <f t="shared" si="208"/>
        <v>0</v>
      </c>
      <c r="AP461" s="180">
        <f t="shared" si="208"/>
        <v>0</v>
      </c>
    </row>
    <row r="462" spans="1:42" x14ac:dyDescent="0.2">
      <c r="A462" s="27" t="s">
        <v>13</v>
      </c>
      <c r="B462" s="15"/>
      <c r="C462" s="163">
        <f>SUM(C452:C461)</f>
        <v>0</v>
      </c>
      <c r="D462" s="163">
        <f t="shared" ref="D462:AP462" si="209">SUM(D452:D461)</f>
        <v>0</v>
      </c>
      <c r="E462" s="163">
        <f t="shared" si="209"/>
        <v>0</v>
      </c>
      <c r="F462" s="163">
        <f t="shared" si="209"/>
        <v>0</v>
      </c>
      <c r="G462" s="163">
        <f t="shared" si="209"/>
        <v>0</v>
      </c>
      <c r="H462" s="163">
        <f t="shared" si="209"/>
        <v>0</v>
      </c>
      <c r="I462" s="163">
        <f t="shared" si="209"/>
        <v>0</v>
      </c>
      <c r="J462" s="163">
        <f t="shared" si="209"/>
        <v>0</v>
      </c>
      <c r="K462" s="163">
        <f t="shared" si="209"/>
        <v>0</v>
      </c>
      <c r="L462" s="163">
        <f t="shared" si="209"/>
        <v>0</v>
      </c>
      <c r="M462" s="163">
        <f t="shared" si="209"/>
        <v>0</v>
      </c>
      <c r="N462" s="163">
        <f t="shared" si="209"/>
        <v>0</v>
      </c>
      <c r="O462" s="163">
        <f t="shared" si="209"/>
        <v>0</v>
      </c>
      <c r="P462" s="163">
        <f t="shared" si="209"/>
        <v>0</v>
      </c>
      <c r="Q462" s="163">
        <f t="shared" si="209"/>
        <v>2825947.6419475321</v>
      </c>
      <c r="R462" s="163">
        <f t="shared" si="209"/>
        <v>4521516.2271160511</v>
      </c>
      <c r="S462" s="163">
        <f t="shared" si="209"/>
        <v>2712909.736269631</v>
      </c>
      <c r="T462" s="163">
        <f t="shared" si="209"/>
        <v>1627745.8417617783</v>
      </c>
      <c r="U462" s="163">
        <f t="shared" si="209"/>
        <v>1627745.8417617783</v>
      </c>
      <c r="V462" s="163">
        <f t="shared" si="209"/>
        <v>813872.92088088917</v>
      </c>
      <c r="W462" s="163">
        <f t="shared" si="209"/>
        <v>0</v>
      </c>
      <c r="X462" s="163">
        <f t="shared" si="209"/>
        <v>0</v>
      </c>
      <c r="Y462" s="163">
        <f t="shared" si="209"/>
        <v>0</v>
      </c>
      <c r="Z462" s="163">
        <f t="shared" si="209"/>
        <v>0</v>
      </c>
      <c r="AA462" s="163">
        <f t="shared" si="209"/>
        <v>0</v>
      </c>
      <c r="AB462" s="163">
        <f t="shared" si="209"/>
        <v>0</v>
      </c>
      <c r="AC462" s="163">
        <f t="shared" si="209"/>
        <v>0</v>
      </c>
      <c r="AD462" s="163">
        <f t="shared" si="209"/>
        <v>0</v>
      </c>
      <c r="AE462" s="163">
        <f t="shared" si="209"/>
        <v>0</v>
      </c>
      <c r="AF462" s="163">
        <f t="shared" si="209"/>
        <v>0</v>
      </c>
      <c r="AG462" s="163">
        <f t="shared" si="209"/>
        <v>0</v>
      </c>
      <c r="AH462" s="163">
        <f t="shared" si="209"/>
        <v>0</v>
      </c>
      <c r="AI462" s="163">
        <f t="shared" si="209"/>
        <v>0</v>
      </c>
      <c r="AJ462" s="163">
        <f t="shared" si="209"/>
        <v>0</v>
      </c>
      <c r="AK462" s="163">
        <f t="shared" si="209"/>
        <v>0</v>
      </c>
      <c r="AL462" s="163">
        <f t="shared" si="209"/>
        <v>0</v>
      </c>
      <c r="AM462" s="163">
        <f t="shared" si="209"/>
        <v>0</v>
      </c>
      <c r="AN462" s="163">
        <f t="shared" si="209"/>
        <v>0</v>
      </c>
      <c r="AO462" s="163">
        <f t="shared" si="209"/>
        <v>0</v>
      </c>
      <c r="AP462" s="163">
        <f t="shared" si="209"/>
        <v>0</v>
      </c>
    </row>
    <row r="463" spans="1:42" x14ac:dyDescent="0.2">
      <c r="A463" s="27"/>
      <c r="B463" s="15"/>
      <c r="C463" s="163"/>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row>
    <row r="464" spans="1:42" x14ac:dyDescent="0.2">
      <c r="A464" s="18" t="s">
        <v>92</v>
      </c>
      <c r="C464" s="163"/>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row>
    <row r="465" spans="1:42" x14ac:dyDescent="0.2">
      <c r="A465" s="22" t="s">
        <v>75</v>
      </c>
      <c r="C465" s="163"/>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row>
    <row r="466" spans="1:42" x14ac:dyDescent="0.2">
      <c r="A466" s="4">
        <v>1</v>
      </c>
      <c r="C466" s="163">
        <f t="shared" ref="C466:AP466" si="210">C329</f>
        <v>0</v>
      </c>
      <c r="D466" s="163">
        <f t="shared" si="210"/>
        <v>0</v>
      </c>
      <c r="E466" s="163">
        <f t="shared" si="210"/>
        <v>0</v>
      </c>
      <c r="F466" s="163">
        <f t="shared" si="210"/>
        <v>0</v>
      </c>
      <c r="G466" s="163">
        <f t="shared" si="210"/>
        <v>0</v>
      </c>
      <c r="H466" s="163">
        <f t="shared" si="210"/>
        <v>0</v>
      </c>
      <c r="I466" s="163">
        <f t="shared" si="210"/>
        <v>0</v>
      </c>
      <c r="J466" s="163">
        <f t="shared" si="210"/>
        <v>0</v>
      </c>
      <c r="K466" s="163">
        <f t="shared" si="210"/>
        <v>0</v>
      </c>
      <c r="L466" s="163">
        <f t="shared" si="210"/>
        <v>0</v>
      </c>
      <c r="M466" s="163">
        <f t="shared" si="210"/>
        <v>0</v>
      </c>
      <c r="N466" s="163">
        <f t="shared" si="210"/>
        <v>0</v>
      </c>
      <c r="O466" s="163">
        <f t="shared" si="210"/>
        <v>0</v>
      </c>
      <c r="P466" s="163">
        <f t="shared" si="210"/>
        <v>0</v>
      </c>
      <c r="Q466" s="163">
        <f t="shared" si="210"/>
        <v>0</v>
      </c>
      <c r="R466" s="163">
        <f t="shared" si="210"/>
        <v>0</v>
      </c>
      <c r="S466" s="163">
        <f t="shared" si="210"/>
        <v>0</v>
      </c>
      <c r="T466" s="163">
        <f t="shared" si="210"/>
        <v>0</v>
      </c>
      <c r="U466" s="163">
        <f t="shared" si="210"/>
        <v>0</v>
      </c>
      <c r="V466" s="163">
        <f t="shared" si="210"/>
        <v>0</v>
      </c>
      <c r="W466" s="163">
        <f t="shared" si="210"/>
        <v>0</v>
      </c>
      <c r="X466" s="163">
        <f t="shared" si="210"/>
        <v>0</v>
      </c>
      <c r="Y466" s="163">
        <f t="shared" si="210"/>
        <v>0</v>
      </c>
      <c r="Z466" s="163">
        <f t="shared" si="210"/>
        <v>0</v>
      </c>
      <c r="AA466" s="163">
        <f t="shared" si="210"/>
        <v>0</v>
      </c>
      <c r="AB466" s="163">
        <f t="shared" si="210"/>
        <v>0</v>
      </c>
      <c r="AC466" s="163">
        <f t="shared" si="210"/>
        <v>0</v>
      </c>
      <c r="AD466" s="163">
        <f t="shared" si="210"/>
        <v>0</v>
      </c>
      <c r="AE466" s="163">
        <f t="shared" si="210"/>
        <v>0</v>
      </c>
      <c r="AF466" s="163">
        <f t="shared" si="210"/>
        <v>0</v>
      </c>
      <c r="AG466" s="163">
        <f t="shared" si="210"/>
        <v>0</v>
      </c>
      <c r="AH466" s="163">
        <f t="shared" si="210"/>
        <v>0</v>
      </c>
      <c r="AI466" s="163">
        <f t="shared" si="210"/>
        <v>0</v>
      </c>
      <c r="AJ466" s="163">
        <f t="shared" si="210"/>
        <v>0</v>
      </c>
      <c r="AK466" s="163">
        <f t="shared" si="210"/>
        <v>0</v>
      </c>
      <c r="AL466" s="163">
        <f t="shared" si="210"/>
        <v>0</v>
      </c>
      <c r="AM466" s="163">
        <f t="shared" si="210"/>
        <v>0</v>
      </c>
      <c r="AN466" s="163">
        <f t="shared" si="210"/>
        <v>0</v>
      </c>
      <c r="AO466" s="163">
        <f t="shared" si="210"/>
        <v>0</v>
      </c>
      <c r="AP466" s="163">
        <f t="shared" si="210"/>
        <v>0</v>
      </c>
    </row>
    <row r="467" spans="1:42" x14ac:dyDescent="0.2">
      <c r="A467" s="4">
        <f>A466+1</f>
        <v>2</v>
      </c>
      <c r="C467" s="163">
        <f t="shared" ref="C467:AP467" si="211">C330</f>
        <v>0</v>
      </c>
      <c r="D467" s="163">
        <f t="shared" si="211"/>
        <v>0</v>
      </c>
      <c r="E467" s="163">
        <f t="shared" si="211"/>
        <v>0</v>
      </c>
      <c r="F467" s="163">
        <f t="shared" si="211"/>
        <v>0</v>
      </c>
      <c r="G467" s="163">
        <f t="shared" si="211"/>
        <v>0</v>
      </c>
      <c r="H467" s="163">
        <f t="shared" si="211"/>
        <v>0</v>
      </c>
      <c r="I467" s="163">
        <f t="shared" si="211"/>
        <v>0</v>
      </c>
      <c r="J467" s="163">
        <f t="shared" si="211"/>
        <v>0</v>
      </c>
      <c r="K467" s="163">
        <f t="shared" si="211"/>
        <v>0</v>
      </c>
      <c r="L467" s="163">
        <f t="shared" si="211"/>
        <v>0</v>
      </c>
      <c r="M467" s="163">
        <f t="shared" si="211"/>
        <v>0</v>
      </c>
      <c r="N467" s="163">
        <f t="shared" si="211"/>
        <v>0</v>
      </c>
      <c r="O467" s="163">
        <f t="shared" si="211"/>
        <v>0</v>
      </c>
      <c r="P467" s="163">
        <f t="shared" si="211"/>
        <v>0</v>
      </c>
      <c r="Q467" s="163">
        <f t="shared" si="211"/>
        <v>0</v>
      </c>
      <c r="R467" s="163">
        <f t="shared" si="211"/>
        <v>0</v>
      </c>
      <c r="S467" s="163">
        <f t="shared" si="211"/>
        <v>0</v>
      </c>
      <c r="T467" s="163">
        <f t="shared" si="211"/>
        <v>0</v>
      </c>
      <c r="U467" s="163">
        <f t="shared" si="211"/>
        <v>0</v>
      </c>
      <c r="V467" s="163">
        <f t="shared" si="211"/>
        <v>0</v>
      </c>
      <c r="W467" s="163">
        <f t="shared" si="211"/>
        <v>0</v>
      </c>
      <c r="X467" s="163">
        <f t="shared" si="211"/>
        <v>0</v>
      </c>
      <c r="Y467" s="163">
        <f t="shared" si="211"/>
        <v>0</v>
      </c>
      <c r="Z467" s="163">
        <f t="shared" si="211"/>
        <v>0</v>
      </c>
      <c r="AA467" s="163">
        <f t="shared" si="211"/>
        <v>0</v>
      </c>
      <c r="AB467" s="163">
        <f t="shared" si="211"/>
        <v>0</v>
      </c>
      <c r="AC467" s="163">
        <f t="shared" si="211"/>
        <v>0</v>
      </c>
      <c r="AD467" s="163">
        <f t="shared" si="211"/>
        <v>0</v>
      </c>
      <c r="AE467" s="163">
        <f t="shared" si="211"/>
        <v>0</v>
      </c>
      <c r="AF467" s="163">
        <f t="shared" si="211"/>
        <v>0</v>
      </c>
      <c r="AG467" s="163">
        <f t="shared" si="211"/>
        <v>0</v>
      </c>
      <c r="AH467" s="163">
        <f t="shared" si="211"/>
        <v>0</v>
      </c>
      <c r="AI467" s="163">
        <f t="shared" si="211"/>
        <v>0</v>
      </c>
      <c r="AJ467" s="163">
        <f t="shared" si="211"/>
        <v>0</v>
      </c>
      <c r="AK467" s="163">
        <f t="shared" si="211"/>
        <v>0</v>
      </c>
      <c r="AL467" s="163">
        <f t="shared" si="211"/>
        <v>0</v>
      </c>
      <c r="AM467" s="163">
        <f t="shared" si="211"/>
        <v>0</v>
      </c>
      <c r="AN467" s="163">
        <f t="shared" si="211"/>
        <v>0</v>
      </c>
      <c r="AO467" s="163">
        <f t="shared" si="211"/>
        <v>0</v>
      </c>
      <c r="AP467" s="163">
        <f t="shared" si="211"/>
        <v>0</v>
      </c>
    </row>
    <row r="468" spans="1:42" x14ac:dyDescent="0.2">
      <c r="A468" s="4">
        <f t="shared" ref="A468:A473" si="212">A467+1</f>
        <v>3</v>
      </c>
      <c r="C468" s="163">
        <f t="shared" ref="C468:AP468" si="213">C331</f>
        <v>0</v>
      </c>
      <c r="D468" s="163">
        <f t="shared" si="213"/>
        <v>0</v>
      </c>
      <c r="E468" s="163">
        <f t="shared" si="213"/>
        <v>0</v>
      </c>
      <c r="F468" s="163">
        <f t="shared" si="213"/>
        <v>0</v>
      </c>
      <c r="G468" s="163">
        <f t="shared" si="213"/>
        <v>0</v>
      </c>
      <c r="H468" s="163">
        <f t="shared" si="213"/>
        <v>0</v>
      </c>
      <c r="I468" s="163">
        <f t="shared" si="213"/>
        <v>0</v>
      </c>
      <c r="J468" s="163">
        <f t="shared" si="213"/>
        <v>0</v>
      </c>
      <c r="K468" s="163">
        <f t="shared" si="213"/>
        <v>0</v>
      </c>
      <c r="L468" s="163">
        <f t="shared" si="213"/>
        <v>0</v>
      </c>
      <c r="M468" s="163">
        <f t="shared" si="213"/>
        <v>0</v>
      </c>
      <c r="N468" s="163">
        <f t="shared" si="213"/>
        <v>0</v>
      </c>
      <c r="O468" s="163">
        <f t="shared" si="213"/>
        <v>0</v>
      </c>
      <c r="P468" s="163">
        <f t="shared" si="213"/>
        <v>0</v>
      </c>
      <c r="Q468" s="163">
        <f t="shared" si="213"/>
        <v>0</v>
      </c>
      <c r="R468" s="163">
        <f t="shared" si="213"/>
        <v>0</v>
      </c>
      <c r="S468" s="163">
        <f t="shared" si="213"/>
        <v>0</v>
      </c>
      <c r="T468" s="163">
        <f t="shared" si="213"/>
        <v>0</v>
      </c>
      <c r="U468" s="163">
        <f t="shared" si="213"/>
        <v>0</v>
      </c>
      <c r="V468" s="163">
        <f t="shared" si="213"/>
        <v>0</v>
      </c>
      <c r="W468" s="163">
        <f t="shared" si="213"/>
        <v>0</v>
      </c>
      <c r="X468" s="163">
        <f t="shared" si="213"/>
        <v>0</v>
      </c>
      <c r="Y468" s="163">
        <f t="shared" si="213"/>
        <v>0</v>
      </c>
      <c r="Z468" s="163">
        <f t="shared" si="213"/>
        <v>0</v>
      </c>
      <c r="AA468" s="163">
        <f t="shared" si="213"/>
        <v>0</v>
      </c>
      <c r="AB468" s="163">
        <f t="shared" si="213"/>
        <v>0</v>
      </c>
      <c r="AC468" s="163">
        <f t="shared" si="213"/>
        <v>0</v>
      </c>
      <c r="AD468" s="163">
        <f t="shared" si="213"/>
        <v>0</v>
      </c>
      <c r="AE468" s="163">
        <f t="shared" si="213"/>
        <v>0</v>
      </c>
      <c r="AF468" s="163">
        <f t="shared" si="213"/>
        <v>0</v>
      </c>
      <c r="AG468" s="163">
        <f t="shared" si="213"/>
        <v>0</v>
      </c>
      <c r="AH468" s="163">
        <f t="shared" si="213"/>
        <v>0</v>
      </c>
      <c r="AI468" s="163">
        <f t="shared" si="213"/>
        <v>0</v>
      </c>
      <c r="AJ468" s="163">
        <f t="shared" si="213"/>
        <v>0</v>
      </c>
      <c r="AK468" s="163">
        <f t="shared" si="213"/>
        <v>0</v>
      </c>
      <c r="AL468" s="163">
        <f t="shared" si="213"/>
        <v>0</v>
      </c>
      <c r="AM468" s="163">
        <f t="shared" si="213"/>
        <v>0</v>
      </c>
      <c r="AN468" s="163">
        <f t="shared" si="213"/>
        <v>0</v>
      </c>
      <c r="AO468" s="163">
        <f t="shared" si="213"/>
        <v>0</v>
      </c>
      <c r="AP468" s="163">
        <f t="shared" si="213"/>
        <v>0</v>
      </c>
    </row>
    <row r="469" spans="1:42" x14ac:dyDescent="0.2">
      <c r="A469" s="4">
        <f t="shared" si="212"/>
        <v>4</v>
      </c>
      <c r="C469" s="163">
        <f t="shared" ref="C469:AP469" si="214">C332</f>
        <v>0</v>
      </c>
      <c r="D469" s="163">
        <f t="shared" si="214"/>
        <v>0</v>
      </c>
      <c r="E469" s="163">
        <f t="shared" si="214"/>
        <v>0</v>
      </c>
      <c r="F469" s="163">
        <f t="shared" si="214"/>
        <v>0</v>
      </c>
      <c r="G469" s="163">
        <f t="shared" si="214"/>
        <v>0</v>
      </c>
      <c r="H469" s="163">
        <f t="shared" si="214"/>
        <v>0</v>
      </c>
      <c r="I469" s="163">
        <f t="shared" si="214"/>
        <v>0</v>
      </c>
      <c r="J469" s="163">
        <f t="shared" si="214"/>
        <v>0</v>
      </c>
      <c r="K469" s="163">
        <f t="shared" si="214"/>
        <v>0</v>
      </c>
      <c r="L469" s="163">
        <f t="shared" si="214"/>
        <v>0</v>
      </c>
      <c r="M469" s="163">
        <f t="shared" si="214"/>
        <v>0</v>
      </c>
      <c r="N469" s="163">
        <f t="shared" si="214"/>
        <v>0</v>
      </c>
      <c r="O469" s="163">
        <f t="shared" si="214"/>
        <v>0</v>
      </c>
      <c r="P469" s="163">
        <f t="shared" si="214"/>
        <v>0</v>
      </c>
      <c r="Q469" s="163">
        <f t="shared" si="214"/>
        <v>0</v>
      </c>
      <c r="R469" s="163">
        <f t="shared" si="214"/>
        <v>0</v>
      </c>
      <c r="S469" s="163">
        <f t="shared" si="214"/>
        <v>0</v>
      </c>
      <c r="T469" s="163">
        <f t="shared" si="214"/>
        <v>0</v>
      </c>
      <c r="U469" s="163">
        <f t="shared" si="214"/>
        <v>0</v>
      </c>
      <c r="V469" s="163">
        <f t="shared" si="214"/>
        <v>0</v>
      </c>
      <c r="W469" s="163">
        <f t="shared" si="214"/>
        <v>0</v>
      </c>
      <c r="X469" s="163">
        <f t="shared" si="214"/>
        <v>0</v>
      </c>
      <c r="Y469" s="163">
        <f t="shared" si="214"/>
        <v>0</v>
      </c>
      <c r="Z469" s="163">
        <f t="shared" si="214"/>
        <v>0</v>
      </c>
      <c r="AA469" s="163">
        <f t="shared" si="214"/>
        <v>0</v>
      </c>
      <c r="AB469" s="163">
        <f t="shared" si="214"/>
        <v>0</v>
      </c>
      <c r="AC469" s="163">
        <f t="shared" si="214"/>
        <v>0</v>
      </c>
      <c r="AD469" s="163">
        <f t="shared" si="214"/>
        <v>0</v>
      </c>
      <c r="AE469" s="163">
        <f t="shared" si="214"/>
        <v>0</v>
      </c>
      <c r="AF469" s="163">
        <f t="shared" si="214"/>
        <v>0</v>
      </c>
      <c r="AG469" s="163">
        <f t="shared" si="214"/>
        <v>0</v>
      </c>
      <c r="AH469" s="163">
        <f t="shared" si="214"/>
        <v>0</v>
      </c>
      <c r="AI469" s="163">
        <f t="shared" si="214"/>
        <v>0</v>
      </c>
      <c r="AJ469" s="163">
        <f t="shared" si="214"/>
        <v>0</v>
      </c>
      <c r="AK469" s="163">
        <f t="shared" si="214"/>
        <v>0</v>
      </c>
      <c r="AL469" s="163">
        <f t="shared" si="214"/>
        <v>0</v>
      </c>
      <c r="AM469" s="163">
        <f t="shared" si="214"/>
        <v>0</v>
      </c>
      <c r="AN469" s="163">
        <f t="shared" si="214"/>
        <v>0</v>
      </c>
      <c r="AO469" s="163">
        <f t="shared" si="214"/>
        <v>0</v>
      </c>
      <c r="AP469" s="163">
        <f t="shared" si="214"/>
        <v>0</v>
      </c>
    </row>
    <row r="470" spans="1:42" x14ac:dyDescent="0.2">
      <c r="A470" s="4">
        <f t="shared" si="212"/>
        <v>5</v>
      </c>
      <c r="C470" s="163">
        <f t="shared" ref="C470:AP470" si="215">C333</f>
        <v>0</v>
      </c>
      <c r="D470" s="163">
        <f t="shared" si="215"/>
        <v>0</v>
      </c>
      <c r="E470" s="163">
        <f t="shared" si="215"/>
        <v>0</v>
      </c>
      <c r="F470" s="163">
        <f t="shared" si="215"/>
        <v>0</v>
      </c>
      <c r="G470" s="163">
        <f t="shared" si="215"/>
        <v>0</v>
      </c>
      <c r="H470" s="163">
        <f t="shared" si="215"/>
        <v>0</v>
      </c>
      <c r="I470" s="163">
        <f t="shared" si="215"/>
        <v>0</v>
      </c>
      <c r="J470" s="163">
        <f t="shared" si="215"/>
        <v>0</v>
      </c>
      <c r="K470" s="163">
        <f t="shared" si="215"/>
        <v>0</v>
      </c>
      <c r="L470" s="163">
        <f t="shared" si="215"/>
        <v>0</v>
      </c>
      <c r="M470" s="163">
        <f t="shared" si="215"/>
        <v>0</v>
      </c>
      <c r="N470" s="163">
        <f t="shared" si="215"/>
        <v>0</v>
      </c>
      <c r="O470" s="163">
        <f t="shared" si="215"/>
        <v>0</v>
      </c>
      <c r="P470" s="163">
        <f t="shared" si="215"/>
        <v>0</v>
      </c>
      <c r="Q470" s="163">
        <f t="shared" si="215"/>
        <v>0</v>
      </c>
      <c r="R470" s="163">
        <f t="shared" si="215"/>
        <v>0</v>
      </c>
      <c r="S470" s="163">
        <f t="shared" si="215"/>
        <v>0</v>
      </c>
      <c r="T470" s="163">
        <f t="shared" si="215"/>
        <v>0</v>
      </c>
      <c r="U470" s="163">
        <f t="shared" si="215"/>
        <v>0</v>
      </c>
      <c r="V470" s="163">
        <f t="shared" si="215"/>
        <v>0</v>
      </c>
      <c r="W470" s="163">
        <f t="shared" si="215"/>
        <v>0</v>
      </c>
      <c r="X470" s="163">
        <f t="shared" si="215"/>
        <v>0</v>
      </c>
      <c r="Y470" s="163">
        <f t="shared" si="215"/>
        <v>0</v>
      </c>
      <c r="Z470" s="163">
        <f t="shared" si="215"/>
        <v>0</v>
      </c>
      <c r="AA470" s="163">
        <f t="shared" si="215"/>
        <v>0</v>
      </c>
      <c r="AB470" s="163">
        <f t="shared" si="215"/>
        <v>0</v>
      </c>
      <c r="AC470" s="163">
        <f t="shared" si="215"/>
        <v>0</v>
      </c>
      <c r="AD470" s="163">
        <f t="shared" si="215"/>
        <v>0</v>
      </c>
      <c r="AE470" s="163">
        <f t="shared" si="215"/>
        <v>0</v>
      </c>
      <c r="AF470" s="163">
        <f t="shared" si="215"/>
        <v>0</v>
      </c>
      <c r="AG470" s="163">
        <f t="shared" si="215"/>
        <v>0</v>
      </c>
      <c r="AH470" s="163">
        <f t="shared" si="215"/>
        <v>0</v>
      </c>
      <c r="AI470" s="163">
        <f t="shared" si="215"/>
        <v>0</v>
      </c>
      <c r="AJ470" s="163">
        <f t="shared" si="215"/>
        <v>0</v>
      </c>
      <c r="AK470" s="163">
        <f t="shared" si="215"/>
        <v>0</v>
      </c>
      <c r="AL470" s="163">
        <f t="shared" si="215"/>
        <v>0</v>
      </c>
      <c r="AM470" s="163">
        <f t="shared" si="215"/>
        <v>0</v>
      </c>
      <c r="AN470" s="163">
        <f t="shared" si="215"/>
        <v>0</v>
      </c>
      <c r="AO470" s="163">
        <f t="shared" si="215"/>
        <v>0</v>
      </c>
      <c r="AP470" s="163">
        <f t="shared" si="215"/>
        <v>0</v>
      </c>
    </row>
    <row r="471" spans="1:42" x14ac:dyDescent="0.2">
      <c r="A471" s="4">
        <f t="shared" si="212"/>
        <v>6</v>
      </c>
      <c r="C471" s="163">
        <f t="shared" ref="C471:AP471" si="216">C334</f>
        <v>0</v>
      </c>
      <c r="D471" s="163">
        <f t="shared" si="216"/>
        <v>0</v>
      </c>
      <c r="E471" s="163">
        <f t="shared" si="216"/>
        <v>0</v>
      </c>
      <c r="F471" s="163">
        <f t="shared" si="216"/>
        <v>0</v>
      </c>
      <c r="G471" s="163">
        <f t="shared" si="216"/>
        <v>0</v>
      </c>
      <c r="H471" s="163">
        <f t="shared" si="216"/>
        <v>0</v>
      </c>
      <c r="I471" s="163">
        <f t="shared" si="216"/>
        <v>0</v>
      </c>
      <c r="J471" s="163">
        <f t="shared" si="216"/>
        <v>0</v>
      </c>
      <c r="K471" s="163">
        <f t="shared" si="216"/>
        <v>0</v>
      </c>
      <c r="L471" s="163">
        <f t="shared" si="216"/>
        <v>0</v>
      </c>
      <c r="M471" s="163">
        <f t="shared" si="216"/>
        <v>0</v>
      </c>
      <c r="N471" s="163">
        <f t="shared" si="216"/>
        <v>0</v>
      </c>
      <c r="O471" s="163">
        <f t="shared" si="216"/>
        <v>0</v>
      </c>
      <c r="P471" s="163">
        <f t="shared" si="216"/>
        <v>0</v>
      </c>
      <c r="Q471" s="163">
        <f t="shared" si="216"/>
        <v>0</v>
      </c>
      <c r="R471" s="163">
        <f t="shared" si="216"/>
        <v>0</v>
      </c>
      <c r="S471" s="163">
        <f t="shared" si="216"/>
        <v>0</v>
      </c>
      <c r="T471" s="163">
        <f t="shared" si="216"/>
        <v>0</v>
      </c>
      <c r="U471" s="163">
        <f t="shared" si="216"/>
        <v>0</v>
      </c>
      <c r="V471" s="163">
        <f t="shared" si="216"/>
        <v>0</v>
      </c>
      <c r="W471" s="163">
        <f t="shared" si="216"/>
        <v>0</v>
      </c>
      <c r="X471" s="163">
        <f t="shared" si="216"/>
        <v>0</v>
      </c>
      <c r="Y471" s="163">
        <f t="shared" si="216"/>
        <v>0</v>
      </c>
      <c r="Z471" s="163">
        <f t="shared" si="216"/>
        <v>0</v>
      </c>
      <c r="AA471" s="163">
        <f t="shared" si="216"/>
        <v>0</v>
      </c>
      <c r="AB471" s="163">
        <f t="shared" si="216"/>
        <v>0</v>
      </c>
      <c r="AC471" s="163">
        <f t="shared" si="216"/>
        <v>0</v>
      </c>
      <c r="AD471" s="163">
        <f t="shared" si="216"/>
        <v>0</v>
      </c>
      <c r="AE471" s="163">
        <f t="shared" si="216"/>
        <v>0</v>
      </c>
      <c r="AF471" s="163">
        <f t="shared" si="216"/>
        <v>0</v>
      </c>
      <c r="AG471" s="163">
        <f t="shared" si="216"/>
        <v>0</v>
      </c>
      <c r="AH471" s="163">
        <f t="shared" si="216"/>
        <v>0</v>
      </c>
      <c r="AI471" s="163">
        <f t="shared" si="216"/>
        <v>0</v>
      </c>
      <c r="AJ471" s="163">
        <f t="shared" si="216"/>
        <v>0</v>
      </c>
      <c r="AK471" s="163">
        <f t="shared" si="216"/>
        <v>0</v>
      </c>
      <c r="AL471" s="163">
        <f t="shared" si="216"/>
        <v>0</v>
      </c>
      <c r="AM471" s="163">
        <f t="shared" si="216"/>
        <v>0</v>
      </c>
      <c r="AN471" s="163">
        <f t="shared" si="216"/>
        <v>0</v>
      </c>
      <c r="AO471" s="163">
        <f t="shared" si="216"/>
        <v>0</v>
      </c>
      <c r="AP471" s="163">
        <f t="shared" si="216"/>
        <v>0</v>
      </c>
    </row>
    <row r="472" spans="1:42" x14ac:dyDescent="0.2">
      <c r="A472" s="4">
        <f t="shared" si="212"/>
        <v>7</v>
      </c>
      <c r="C472" s="163">
        <f t="shared" ref="C472:AP472" si="217">C335</f>
        <v>0</v>
      </c>
      <c r="D472" s="163">
        <f t="shared" si="217"/>
        <v>0</v>
      </c>
      <c r="E472" s="163">
        <f t="shared" si="217"/>
        <v>0</v>
      </c>
      <c r="F472" s="163">
        <f t="shared" si="217"/>
        <v>0</v>
      </c>
      <c r="G472" s="163">
        <f t="shared" si="217"/>
        <v>0</v>
      </c>
      <c r="H472" s="163">
        <f t="shared" si="217"/>
        <v>0</v>
      </c>
      <c r="I472" s="163">
        <f t="shared" si="217"/>
        <v>0</v>
      </c>
      <c r="J472" s="163">
        <f t="shared" si="217"/>
        <v>0</v>
      </c>
      <c r="K472" s="163">
        <f t="shared" si="217"/>
        <v>0</v>
      </c>
      <c r="L472" s="163">
        <f t="shared" si="217"/>
        <v>0</v>
      </c>
      <c r="M472" s="163">
        <f t="shared" si="217"/>
        <v>0</v>
      </c>
      <c r="N472" s="163">
        <f t="shared" si="217"/>
        <v>0</v>
      </c>
      <c r="O472" s="163">
        <f t="shared" si="217"/>
        <v>0</v>
      </c>
      <c r="P472" s="163">
        <f t="shared" si="217"/>
        <v>0</v>
      </c>
      <c r="Q472" s="163">
        <f t="shared" si="217"/>
        <v>0</v>
      </c>
      <c r="R472" s="163">
        <f t="shared" si="217"/>
        <v>0</v>
      </c>
      <c r="S472" s="163">
        <f t="shared" si="217"/>
        <v>0</v>
      </c>
      <c r="T472" s="163">
        <f t="shared" si="217"/>
        <v>0</v>
      </c>
      <c r="U472" s="163">
        <f t="shared" si="217"/>
        <v>0</v>
      </c>
      <c r="V472" s="163">
        <f t="shared" si="217"/>
        <v>0</v>
      </c>
      <c r="W472" s="163">
        <f t="shared" si="217"/>
        <v>0</v>
      </c>
      <c r="X472" s="163">
        <f t="shared" si="217"/>
        <v>0</v>
      </c>
      <c r="Y472" s="163">
        <f t="shared" si="217"/>
        <v>0</v>
      </c>
      <c r="Z472" s="163">
        <f t="shared" si="217"/>
        <v>0</v>
      </c>
      <c r="AA472" s="163">
        <f t="shared" si="217"/>
        <v>0</v>
      </c>
      <c r="AB472" s="163">
        <f t="shared" si="217"/>
        <v>0</v>
      </c>
      <c r="AC472" s="163">
        <f t="shared" si="217"/>
        <v>0</v>
      </c>
      <c r="AD472" s="163">
        <f t="shared" si="217"/>
        <v>0</v>
      </c>
      <c r="AE472" s="163">
        <f t="shared" si="217"/>
        <v>0</v>
      </c>
      <c r="AF472" s="163">
        <f t="shared" si="217"/>
        <v>0</v>
      </c>
      <c r="AG472" s="163">
        <f t="shared" si="217"/>
        <v>0</v>
      </c>
      <c r="AH472" s="163">
        <f t="shared" si="217"/>
        <v>0</v>
      </c>
      <c r="AI472" s="163">
        <f t="shared" si="217"/>
        <v>0</v>
      </c>
      <c r="AJ472" s="163">
        <f t="shared" si="217"/>
        <v>0</v>
      </c>
      <c r="AK472" s="163">
        <f t="shared" si="217"/>
        <v>0</v>
      </c>
      <c r="AL472" s="163">
        <f t="shared" si="217"/>
        <v>0</v>
      </c>
      <c r="AM472" s="163">
        <f t="shared" si="217"/>
        <v>0</v>
      </c>
      <c r="AN472" s="163">
        <f t="shared" si="217"/>
        <v>0</v>
      </c>
      <c r="AO472" s="163">
        <f t="shared" si="217"/>
        <v>0</v>
      </c>
      <c r="AP472" s="163">
        <f t="shared" si="217"/>
        <v>0</v>
      </c>
    </row>
    <row r="473" spans="1:42" x14ac:dyDescent="0.2">
      <c r="A473" s="4">
        <f t="shared" si="212"/>
        <v>8</v>
      </c>
      <c r="C473" s="163">
        <f t="shared" ref="C473:AP473" si="218">C336</f>
        <v>0</v>
      </c>
      <c r="D473" s="163">
        <f t="shared" si="218"/>
        <v>0</v>
      </c>
      <c r="E473" s="163">
        <f t="shared" si="218"/>
        <v>0</v>
      </c>
      <c r="F473" s="163">
        <f t="shared" si="218"/>
        <v>0</v>
      </c>
      <c r="G473" s="163">
        <f t="shared" si="218"/>
        <v>0</v>
      </c>
      <c r="H473" s="163">
        <f t="shared" si="218"/>
        <v>0</v>
      </c>
      <c r="I473" s="163">
        <f t="shared" si="218"/>
        <v>0</v>
      </c>
      <c r="J473" s="163">
        <f t="shared" si="218"/>
        <v>0</v>
      </c>
      <c r="K473" s="163">
        <f t="shared" si="218"/>
        <v>0</v>
      </c>
      <c r="L473" s="163">
        <f t="shared" si="218"/>
        <v>0</v>
      </c>
      <c r="M473" s="163">
        <f t="shared" si="218"/>
        <v>0</v>
      </c>
      <c r="N473" s="163">
        <f t="shared" si="218"/>
        <v>0</v>
      </c>
      <c r="O473" s="163">
        <f t="shared" si="218"/>
        <v>0</v>
      </c>
      <c r="P473" s="163">
        <f t="shared" si="218"/>
        <v>0</v>
      </c>
      <c r="Q473" s="163">
        <f t="shared" si="218"/>
        <v>0</v>
      </c>
      <c r="R473" s="163">
        <f t="shared" si="218"/>
        <v>0</v>
      </c>
      <c r="S473" s="163">
        <f t="shared" si="218"/>
        <v>0</v>
      </c>
      <c r="T473" s="163">
        <f t="shared" si="218"/>
        <v>0</v>
      </c>
      <c r="U473" s="163">
        <f t="shared" si="218"/>
        <v>0</v>
      </c>
      <c r="V473" s="163">
        <f t="shared" si="218"/>
        <v>0</v>
      </c>
      <c r="W473" s="163">
        <f t="shared" si="218"/>
        <v>0</v>
      </c>
      <c r="X473" s="163">
        <f t="shared" si="218"/>
        <v>0</v>
      </c>
      <c r="Y473" s="163">
        <f t="shared" si="218"/>
        <v>0</v>
      </c>
      <c r="Z473" s="163">
        <f t="shared" si="218"/>
        <v>0</v>
      </c>
      <c r="AA473" s="163">
        <f t="shared" si="218"/>
        <v>0</v>
      </c>
      <c r="AB473" s="163">
        <f t="shared" si="218"/>
        <v>0</v>
      </c>
      <c r="AC473" s="163">
        <f t="shared" si="218"/>
        <v>0</v>
      </c>
      <c r="AD473" s="163">
        <f t="shared" si="218"/>
        <v>0</v>
      </c>
      <c r="AE473" s="163">
        <f t="shared" si="218"/>
        <v>0</v>
      </c>
      <c r="AF473" s="163">
        <f t="shared" si="218"/>
        <v>0</v>
      </c>
      <c r="AG473" s="163">
        <f t="shared" si="218"/>
        <v>0</v>
      </c>
      <c r="AH473" s="163">
        <f t="shared" si="218"/>
        <v>0</v>
      </c>
      <c r="AI473" s="163">
        <f t="shared" si="218"/>
        <v>0</v>
      </c>
      <c r="AJ473" s="163">
        <f t="shared" si="218"/>
        <v>0</v>
      </c>
      <c r="AK473" s="163">
        <f t="shared" si="218"/>
        <v>0</v>
      </c>
      <c r="AL473" s="163">
        <f t="shared" si="218"/>
        <v>0</v>
      </c>
      <c r="AM473" s="163">
        <f t="shared" si="218"/>
        <v>0</v>
      </c>
      <c r="AN473" s="163">
        <f t="shared" si="218"/>
        <v>0</v>
      </c>
      <c r="AO473" s="163">
        <f t="shared" si="218"/>
        <v>0</v>
      </c>
      <c r="AP473" s="163">
        <f t="shared" si="218"/>
        <v>0</v>
      </c>
    </row>
    <row r="474" spans="1:42" x14ac:dyDescent="0.2">
      <c r="A474" s="4">
        <f>A473+1</f>
        <v>9</v>
      </c>
      <c r="C474" s="163">
        <f t="shared" ref="C474:AP474" si="219">C337</f>
        <v>0</v>
      </c>
      <c r="D474" s="163">
        <f t="shared" si="219"/>
        <v>0</v>
      </c>
      <c r="E474" s="163">
        <f t="shared" si="219"/>
        <v>0</v>
      </c>
      <c r="F474" s="163">
        <f t="shared" si="219"/>
        <v>0</v>
      </c>
      <c r="G474" s="163">
        <f t="shared" si="219"/>
        <v>0</v>
      </c>
      <c r="H474" s="163">
        <f t="shared" si="219"/>
        <v>0</v>
      </c>
      <c r="I474" s="163">
        <f t="shared" si="219"/>
        <v>0</v>
      </c>
      <c r="J474" s="163">
        <f t="shared" si="219"/>
        <v>0</v>
      </c>
      <c r="K474" s="163">
        <f t="shared" si="219"/>
        <v>0</v>
      </c>
      <c r="L474" s="163">
        <f t="shared" si="219"/>
        <v>0</v>
      </c>
      <c r="M474" s="163">
        <f t="shared" si="219"/>
        <v>0</v>
      </c>
      <c r="N474" s="163">
        <f t="shared" si="219"/>
        <v>0</v>
      </c>
      <c r="O474" s="163">
        <f t="shared" si="219"/>
        <v>0</v>
      </c>
      <c r="P474" s="163">
        <f t="shared" si="219"/>
        <v>0</v>
      </c>
      <c r="Q474" s="163">
        <f t="shared" si="219"/>
        <v>0</v>
      </c>
      <c r="R474" s="163">
        <f t="shared" si="219"/>
        <v>0</v>
      </c>
      <c r="S474" s="163">
        <f t="shared" si="219"/>
        <v>0</v>
      </c>
      <c r="T474" s="163">
        <f t="shared" si="219"/>
        <v>0</v>
      </c>
      <c r="U474" s="163">
        <f t="shared" si="219"/>
        <v>0</v>
      </c>
      <c r="V474" s="163">
        <f t="shared" si="219"/>
        <v>0</v>
      </c>
      <c r="W474" s="163">
        <f t="shared" si="219"/>
        <v>0</v>
      </c>
      <c r="X474" s="163">
        <f t="shared" si="219"/>
        <v>0</v>
      </c>
      <c r="Y474" s="163">
        <f t="shared" si="219"/>
        <v>0</v>
      </c>
      <c r="Z474" s="163">
        <f t="shared" si="219"/>
        <v>0</v>
      </c>
      <c r="AA474" s="163">
        <f t="shared" si="219"/>
        <v>0</v>
      </c>
      <c r="AB474" s="163">
        <f t="shared" si="219"/>
        <v>0</v>
      </c>
      <c r="AC474" s="163">
        <f t="shared" si="219"/>
        <v>0</v>
      </c>
      <c r="AD474" s="163">
        <f t="shared" si="219"/>
        <v>0</v>
      </c>
      <c r="AE474" s="163">
        <f t="shared" si="219"/>
        <v>0</v>
      </c>
      <c r="AF474" s="163">
        <f t="shared" si="219"/>
        <v>0</v>
      </c>
      <c r="AG474" s="163">
        <f t="shared" si="219"/>
        <v>0</v>
      </c>
      <c r="AH474" s="163">
        <f t="shared" si="219"/>
        <v>0</v>
      </c>
      <c r="AI474" s="163">
        <f t="shared" si="219"/>
        <v>0</v>
      </c>
      <c r="AJ474" s="163">
        <f t="shared" si="219"/>
        <v>0</v>
      </c>
      <c r="AK474" s="163">
        <f t="shared" si="219"/>
        <v>0</v>
      </c>
      <c r="AL474" s="163">
        <f t="shared" si="219"/>
        <v>0</v>
      </c>
      <c r="AM474" s="163">
        <f t="shared" si="219"/>
        <v>0</v>
      </c>
      <c r="AN474" s="163">
        <f t="shared" si="219"/>
        <v>0</v>
      </c>
      <c r="AO474" s="163">
        <f t="shared" si="219"/>
        <v>0</v>
      </c>
      <c r="AP474" s="163">
        <f t="shared" si="219"/>
        <v>0</v>
      </c>
    </row>
    <row r="475" spans="1:42" x14ac:dyDescent="0.2">
      <c r="A475" s="4">
        <f t="shared" ref="A475" si="220">A474+1</f>
        <v>10</v>
      </c>
      <c r="C475" s="163">
        <f t="shared" ref="C475:AP475" si="221">C338</f>
        <v>0</v>
      </c>
      <c r="D475" s="163">
        <f t="shared" si="221"/>
        <v>0</v>
      </c>
      <c r="E475" s="163">
        <f t="shared" si="221"/>
        <v>0</v>
      </c>
      <c r="F475" s="163">
        <f t="shared" si="221"/>
        <v>0</v>
      </c>
      <c r="G475" s="163">
        <f t="shared" si="221"/>
        <v>0</v>
      </c>
      <c r="H475" s="163">
        <f t="shared" si="221"/>
        <v>0</v>
      </c>
      <c r="I475" s="163">
        <f t="shared" si="221"/>
        <v>0</v>
      </c>
      <c r="J475" s="163">
        <f t="shared" si="221"/>
        <v>0</v>
      </c>
      <c r="K475" s="163">
        <f t="shared" si="221"/>
        <v>0</v>
      </c>
      <c r="L475" s="163">
        <f t="shared" si="221"/>
        <v>0</v>
      </c>
      <c r="M475" s="163">
        <f t="shared" si="221"/>
        <v>0</v>
      </c>
      <c r="N475" s="163">
        <f t="shared" si="221"/>
        <v>0</v>
      </c>
      <c r="O475" s="163">
        <f t="shared" si="221"/>
        <v>0</v>
      </c>
      <c r="P475" s="163">
        <f t="shared" si="221"/>
        <v>0</v>
      </c>
      <c r="Q475" s="163">
        <f t="shared" si="221"/>
        <v>0</v>
      </c>
      <c r="R475" s="163">
        <f t="shared" si="221"/>
        <v>0</v>
      </c>
      <c r="S475" s="163">
        <f t="shared" si="221"/>
        <v>0</v>
      </c>
      <c r="T475" s="163">
        <f t="shared" si="221"/>
        <v>0</v>
      </c>
      <c r="U475" s="163">
        <f t="shared" si="221"/>
        <v>0</v>
      </c>
      <c r="V475" s="163">
        <f t="shared" si="221"/>
        <v>0</v>
      </c>
      <c r="W475" s="163">
        <f t="shared" si="221"/>
        <v>0</v>
      </c>
      <c r="X475" s="163">
        <f t="shared" si="221"/>
        <v>0</v>
      </c>
      <c r="Y475" s="163">
        <f t="shared" si="221"/>
        <v>0</v>
      </c>
      <c r="Z475" s="163">
        <f t="shared" si="221"/>
        <v>0</v>
      </c>
      <c r="AA475" s="163">
        <f t="shared" si="221"/>
        <v>0</v>
      </c>
      <c r="AB475" s="163">
        <f t="shared" si="221"/>
        <v>0</v>
      </c>
      <c r="AC475" s="163">
        <f t="shared" si="221"/>
        <v>0</v>
      </c>
      <c r="AD475" s="163">
        <f t="shared" si="221"/>
        <v>0</v>
      </c>
      <c r="AE475" s="163">
        <f t="shared" si="221"/>
        <v>0</v>
      </c>
      <c r="AF475" s="163">
        <f t="shared" si="221"/>
        <v>0</v>
      </c>
      <c r="AG475" s="163">
        <f t="shared" si="221"/>
        <v>0</v>
      </c>
      <c r="AH475" s="163">
        <f t="shared" si="221"/>
        <v>0</v>
      </c>
      <c r="AI475" s="163">
        <f t="shared" si="221"/>
        <v>0</v>
      </c>
      <c r="AJ475" s="163">
        <f t="shared" si="221"/>
        <v>0</v>
      </c>
      <c r="AK475" s="163">
        <f t="shared" si="221"/>
        <v>0</v>
      </c>
      <c r="AL475" s="163">
        <f t="shared" si="221"/>
        <v>0</v>
      </c>
      <c r="AM475" s="163">
        <f t="shared" si="221"/>
        <v>0</v>
      </c>
      <c r="AN475" s="163">
        <f t="shared" si="221"/>
        <v>0</v>
      </c>
      <c r="AO475" s="163">
        <f t="shared" si="221"/>
        <v>0</v>
      </c>
      <c r="AP475" s="163">
        <f t="shared" si="221"/>
        <v>0</v>
      </c>
    </row>
    <row r="476" spans="1:42" x14ac:dyDescent="0.2">
      <c r="A476" s="22"/>
      <c r="C476" s="163"/>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row>
    <row r="477" spans="1:42" x14ac:dyDescent="0.2">
      <c r="A477" s="22" t="s">
        <v>79</v>
      </c>
      <c r="C477" s="163"/>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row>
    <row r="478" spans="1:42" x14ac:dyDescent="0.2">
      <c r="A478" s="4">
        <v>1</v>
      </c>
      <c r="B478" s="153">
        <f t="shared" ref="B478:B487" si="222">SUM(C478:AP478)</f>
        <v>0</v>
      </c>
      <c r="C478" s="163">
        <f t="shared" ref="C478:AP478" si="223">LOOKUP(C466,$B$435:$AP$435,$B$436:$AP$436)*$B671/100</f>
        <v>0</v>
      </c>
      <c r="D478" s="163">
        <f t="shared" si="223"/>
        <v>0</v>
      </c>
      <c r="E478" s="163">
        <f t="shared" si="223"/>
        <v>0</v>
      </c>
      <c r="F478" s="163">
        <f t="shared" si="223"/>
        <v>0</v>
      </c>
      <c r="G478" s="163">
        <f t="shared" si="223"/>
        <v>0</v>
      </c>
      <c r="H478" s="163">
        <f t="shared" si="223"/>
        <v>0</v>
      </c>
      <c r="I478" s="163">
        <f t="shared" si="223"/>
        <v>0</v>
      </c>
      <c r="J478" s="163">
        <f t="shared" si="223"/>
        <v>0</v>
      </c>
      <c r="K478" s="163">
        <f t="shared" si="223"/>
        <v>0</v>
      </c>
      <c r="L478" s="163">
        <f t="shared" si="223"/>
        <v>0</v>
      </c>
      <c r="M478" s="163">
        <f t="shared" si="223"/>
        <v>0</v>
      </c>
      <c r="N478" s="163">
        <f t="shared" si="223"/>
        <v>0</v>
      </c>
      <c r="O478" s="163">
        <f t="shared" si="223"/>
        <v>0</v>
      </c>
      <c r="P478" s="163">
        <f t="shared" si="223"/>
        <v>0</v>
      </c>
      <c r="Q478" s="163">
        <f t="shared" si="223"/>
        <v>0</v>
      </c>
      <c r="R478" s="163">
        <f t="shared" si="223"/>
        <v>0</v>
      </c>
      <c r="S478" s="163">
        <f t="shared" si="223"/>
        <v>0</v>
      </c>
      <c r="T478" s="163">
        <f t="shared" si="223"/>
        <v>0</v>
      </c>
      <c r="U478" s="163">
        <f t="shared" si="223"/>
        <v>0</v>
      </c>
      <c r="V478" s="163">
        <f t="shared" si="223"/>
        <v>0</v>
      </c>
      <c r="W478" s="163">
        <f t="shared" si="223"/>
        <v>0</v>
      </c>
      <c r="X478" s="163">
        <f t="shared" si="223"/>
        <v>0</v>
      </c>
      <c r="Y478" s="163">
        <f t="shared" si="223"/>
        <v>0</v>
      </c>
      <c r="Z478" s="163">
        <f t="shared" si="223"/>
        <v>0</v>
      </c>
      <c r="AA478" s="163">
        <f t="shared" si="223"/>
        <v>0</v>
      </c>
      <c r="AB478" s="163">
        <f t="shared" si="223"/>
        <v>0</v>
      </c>
      <c r="AC478" s="163">
        <f t="shared" si="223"/>
        <v>0</v>
      </c>
      <c r="AD478" s="163">
        <f t="shared" si="223"/>
        <v>0</v>
      </c>
      <c r="AE478" s="163">
        <f t="shared" si="223"/>
        <v>0</v>
      </c>
      <c r="AF478" s="163">
        <f t="shared" si="223"/>
        <v>0</v>
      </c>
      <c r="AG478" s="163">
        <f t="shared" si="223"/>
        <v>0</v>
      </c>
      <c r="AH478" s="163">
        <f t="shared" si="223"/>
        <v>0</v>
      </c>
      <c r="AI478" s="163">
        <f t="shared" si="223"/>
        <v>0</v>
      </c>
      <c r="AJ478" s="163">
        <f t="shared" si="223"/>
        <v>0</v>
      </c>
      <c r="AK478" s="163">
        <f t="shared" si="223"/>
        <v>0</v>
      </c>
      <c r="AL478" s="163">
        <f t="shared" si="223"/>
        <v>0</v>
      </c>
      <c r="AM478" s="163">
        <f t="shared" si="223"/>
        <v>0</v>
      </c>
      <c r="AN478" s="163">
        <f t="shared" si="223"/>
        <v>0</v>
      </c>
      <c r="AO478" s="163">
        <f t="shared" si="223"/>
        <v>0</v>
      </c>
      <c r="AP478" s="163">
        <f t="shared" si="223"/>
        <v>0</v>
      </c>
    </row>
    <row r="479" spans="1:42" x14ac:dyDescent="0.2">
      <c r="A479" s="4">
        <f>A478+1</f>
        <v>2</v>
      </c>
      <c r="B479" s="153">
        <f t="shared" si="222"/>
        <v>0</v>
      </c>
      <c r="C479" s="163">
        <f t="shared" ref="C479:AP479" si="224">LOOKUP(C467,$B$435:$AP$435,$B$436:$AP$436)*$B672/100</f>
        <v>0</v>
      </c>
      <c r="D479" s="163">
        <f t="shared" si="224"/>
        <v>0</v>
      </c>
      <c r="E479" s="163">
        <f t="shared" si="224"/>
        <v>0</v>
      </c>
      <c r="F479" s="163">
        <f t="shared" si="224"/>
        <v>0</v>
      </c>
      <c r="G479" s="163">
        <f t="shared" si="224"/>
        <v>0</v>
      </c>
      <c r="H479" s="163">
        <f t="shared" si="224"/>
        <v>0</v>
      </c>
      <c r="I479" s="163">
        <f t="shared" si="224"/>
        <v>0</v>
      </c>
      <c r="J479" s="163">
        <f t="shared" si="224"/>
        <v>0</v>
      </c>
      <c r="K479" s="163">
        <f t="shared" si="224"/>
        <v>0</v>
      </c>
      <c r="L479" s="163">
        <f t="shared" si="224"/>
        <v>0</v>
      </c>
      <c r="M479" s="163">
        <f t="shared" si="224"/>
        <v>0</v>
      </c>
      <c r="N479" s="163">
        <f t="shared" si="224"/>
        <v>0</v>
      </c>
      <c r="O479" s="163">
        <f t="shared" si="224"/>
        <v>0</v>
      </c>
      <c r="P479" s="163">
        <f t="shared" si="224"/>
        <v>0</v>
      </c>
      <c r="Q479" s="163">
        <f t="shared" si="224"/>
        <v>0</v>
      </c>
      <c r="R479" s="163">
        <f t="shared" si="224"/>
        <v>0</v>
      </c>
      <c r="S479" s="163">
        <f t="shared" si="224"/>
        <v>0</v>
      </c>
      <c r="T479" s="163">
        <f t="shared" si="224"/>
        <v>0</v>
      </c>
      <c r="U479" s="163">
        <f t="shared" si="224"/>
        <v>0</v>
      </c>
      <c r="V479" s="163">
        <f t="shared" si="224"/>
        <v>0</v>
      </c>
      <c r="W479" s="163">
        <f t="shared" si="224"/>
        <v>0</v>
      </c>
      <c r="X479" s="163">
        <f t="shared" si="224"/>
        <v>0</v>
      </c>
      <c r="Y479" s="163">
        <f t="shared" si="224"/>
        <v>0</v>
      </c>
      <c r="Z479" s="163">
        <f t="shared" si="224"/>
        <v>0</v>
      </c>
      <c r="AA479" s="163">
        <f t="shared" si="224"/>
        <v>0</v>
      </c>
      <c r="AB479" s="163">
        <f t="shared" si="224"/>
        <v>0</v>
      </c>
      <c r="AC479" s="163">
        <f t="shared" si="224"/>
        <v>0</v>
      </c>
      <c r="AD479" s="163">
        <f t="shared" si="224"/>
        <v>0</v>
      </c>
      <c r="AE479" s="163">
        <f t="shared" si="224"/>
        <v>0</v>
      </c>
      <c r="AF479" s="163">
        <f t="shared" si="224"/>
        <v>0</v>
      </c>
      <c r="AG479" s="163">
        <f t="shared" si="224"/>
        <v>0</v>
      </c>
      <c r="AH479" s="163">
        <f t="shared" si="224"/>
        <v>0</v>
      </c>
      <c r="AI479" s="163">
        <f t="shared" si="224"/>
        <v>0</v>
      </c>
      <c r="AJ479" s="163">
        <f t="shared" si="224"/>
        <v>0</v>
      </c>
      <c r="AK479" s="163">
        <f t="shared" si="224"/>
        <v>0</v>
      </c>
      <c r="AL479" s="163">
        <f t="shared" si="224"/>
        <v>0</v>
      </c>
      <c r="AM479" s="163">
        <f t="shared" si="224"/>
        <v>0</v>
      </c>
      <c r="AN479" s="163">
        <f t="shared" si="224"/>
        <v>0</v>
      </c>
      <c r="AO479" s="163">
        <f t="shared" si="224"/>
        <v>0</v>
      </c>
      <c r="AP479" s="163">
        <f t="shared" si="224"/>
        <v>0</v>
      </c>
    </row>
    <row r="480" spans="1:42" x14ac:dyDescent="0.2">
      <c r="A480" s="4">
        <f t="shared" ref="A480:A485" si="225">A479+1</f>
        <v>3</v>
      </c>
      <c r="B480" s="153">
        <f t="shared" si="222"/>
        <v>0</v>
      </c>
      <c r="C480" s="163">
        <f t="shared" ref="C480:AP480" si="226">LOOKUP(C468,$B$435:$AP$435,$B$436:$AP$436)*$B673/100</f>
        <v>0</v>
      </c>
      <c r="D480" s="163">
        <f t="shared" si="226"/>
        <v>0</v>
      </c>
      <c r="E480" s="163">
        <f t="shared" si="226"/>
        <v>0</v>
      </c>
      <c r="F480" s="163">
        <f t="shared" si="226"/>
        <v>0</v>
      </c>
      <c r="G480" s="163">
        <f t="shared" si="226"/>
        <v>0</v>
      </c>
      <c r="H480" s="163">
        <f t="shared" si="226"/>
        <v>0</v>
      </c>
      <c r="I480" s="163">
        <f t="shared" si="226"/>
        <v>0</v>
      </c>
      <c r="J480" s="163">
        <f t="shared" si="226"/>
        <v>0</v>
      </c>
      <c r="K480" s="163">
        <f t="shared" si="226"/>
        <v>0</v>
      </c>
      <c r="L480" s="163">
        <f t="shared" si="226"/>
        <v>0</v>
      </c>
      <c r="M480" s="163">
        <f t="shared" si="226"/>
        <v>0</v>
      </c>
      <c r="N480" s="163">
        <f t="shared" si="226"/>
        <v>0</v>
      </c>
      <c r="O480" s="163">
        <f t="shared" si="226"/>
        <v>0</v>
      </c>
      <c r="P480" s="163">
        <f t="shared" si="226"/>
        <v>0</v>
      </c>
      <c r="Q480" s="163">
        <f t="shared" si="226"/>
        <v>0</v>
      </c>
      <c r="R480" s="163">
        <f t="shared" si="226"/>
        <v>0</v>
      </c>
      <c r="S480" s="163">
        <f t="shared" si="226"/>
        <v>0</v>
      </c>
      <c r="T480" s="163">
        <f t="shared" si="226"/>
        <v>0</v>
      </c>
      <c r="U480" s="163">
        <f t="shared" si="226"/>
        <v>0</v>
      </c>
      <c r="V480" s="163">
        <f t="shared" si="226"/>
        <v>0</v>
      </c>
      <c r="W480" s="163">
        <f t="shared" si="226"/>
        <v>0</v>
      </c>
      <c r="X480" s="163">
        <f t="shared" si="226"/>
        <v>0</v>
      </c>
      <c r="Y480" s="163">
        <f t="shared" si="226"/>
        <v>0</v>
      </c>
      <c r="Z480" s="163">
        <f t="shared" si="226"/>
        <v>0</v>
      </c>
      <c r="AA480" s="163">
        <f t="shared" si="226"/>
        <v>0</v>
      </c>
      <c r="AB480" s="163">
        <f t="shared" si="226"/>
        <v>0</v>
      </c>
      <c r="AC480" s="163">
        <f t="shared" si="226"/>
        <v>0</v>
      </c>
      <c r="AD480" s="163">
        <f t="shared" si="226"/>
        <v>0</v>
      </c>
      <c r="AE480" s="163">
        <f t="shared" si="226"/>
        <v>0</v>
      </c>
      <c r="AF480" s="163">
        <f t="shared" si="226"/>
        <v>0</v>
      </c>
      <c r="AG480" s="163">
        <f t="shared" si="226"/>
        <v>0</v>
      </c>
      <c r="AH480" s="163">
        <f t="shared" si="226"/>
        <v>0</v>
      </c>
      <c r="AI480" s="163">
        <f t="shared" si="226"/>
        <v>0</v>
      </c>
      <c r="AJ480" s="163">
        <f t="shared" si="226"/>
        <v>0</v>
      </c>
      <c r="AK480" s="163">
        <f t="shared" si="226"/>
        <v>0</v>
      </c>
      <c r="AL480" s="163">
        <f t="shared" si="226"/>
        <v>0</v>
      </c>
      <c r="AM480" s="163">
        <f t="shared" si="226"/>
        <v>0</v>
      </c>
      <c r="AN480" s="163">
        <f t="shared" si="226"/>
        <v>0</v>
      </c>
      <c r="AO480" s="163">
        <f t="shared" si="226"/>
        <v>0</v>
      </c>
      <c r="AP480" s="163">
        <f t="shared" si="226"/>
        <v>0</v>
      </c>
    </row>
    <row r="481" spans="1:42" x14ac:dyDescent="0.2">
      <c r="A481" s="4">
        <f t="shared" si="225"/>
        <v>4</v>
      </c>
      <c r="B481" s="153">
        <f t="shared" si="222"/>
        <v>0</v>
      </c>
      <c r="C481" s="163">
        <f t="shared" ref="C481:AP481" si="227">LOOKUP(C469,$B$435:$AP$435,$B$436:$AP$436)*$B674/100</f>
        <v>0</v>
      </c>
      <c r="D481" s="163">
        <f t="shared" si="227"/>
        <v>0</v>
      </c>
      <c r="E481" s="163">
        <f t="shared" si="227"/>
        <v>0</v>
      </c>
      <c r="F481" s="163">
        <f t="shared" si="227"/>
        <v>0</v>
      </c>
      <c r="G481" s="163">
        <f t="shared" si="227"/>
        <v>0</v>
      </c>
      <c r="H481" s="163">
        <f t="shared" si="227"/>
        <v>0</v>
      </c>
      <c r="I481" s="163">
        <f t="shared" si="227"/>
        <v>0</v>
      </c>
      <c r="J481" s="163">
        <f t="shared" si="227"/>
        <v>0</v>
      </c>
      <c r="K481" s="163">
        <f t="shared" si="227"/>
        <v>0</v>
      </c>
      <c r="L481" s="163">
        <f t="shared" si="227"/>
        <v>0</v>
      </c>
      <c r="M481" s="163">
        <f t="shared" si="227"/>
        <v>0</v>
      </c>
      <c r="N481" s="163">
        <f t="shared" si="227"/>
        <v>0</v>
      </c>
      <c r="O481" s="163">
        <f t="shared" si="227"/>
        <v>0</v>
      </c>
      <c r="P481" s="163">
        <f t="shared" si="227"/>
        <v>0</v>
      </c>
      <c r="Q481" s="163">
        <f t="shared" si="227"/>
        <v>0</v>
      </c>
      <c r="R481" s="163">
        <f t="shared" si="227"/>
        <v>0</v>
      </c>
      <c r="S481" s="163">
        <f t="shared" si="227"/>
        <v>0</v>
      </c>
      <c r="T481" s="163">
        <f t="shared" si="227"/>
        <v>0</v>
      </c>
      <c r="U481" s="163">
        <f t="shared" si="227"/>
        <v>0</v>
      </c>
      <c r="V481" s="163">
        <f t="shared" si="227"/>
        <v>0</v>
      </c>
      <c r="W481" s="163">
        <f t="shared" si="227"/>
        <v>0</v>
      </c>
      <c r="X481" s="163">
        <f t="shared" si="227"/>
        <v>0</v>
      </c>
      <c r="Y481" s="163">
        <f t="shared" si="227"/>
        <v>0</v>
      </c>
      <c r="Z481" s="163">
        <f t="shared" si="227"/>
        <v>0</v>
      </c>
      <c r="AA481" s="163">
        <f t="shared" si="227"/>
        <v>0</v>
      </c>
      <c r="AB481" s="163">
        <f t="shared" si="227"/>
        <v>0</v>
      </c>
      <c r="AC481" s="163">
        <f t="shared" si="227"/>
        <v>0</v>
      </c>
      <c r="AD481" s="163">
        <f t="shared" si="227"/>
        <v>0</v>
      </c>
      <c r="AE481" s="163">
        <f t="shared" si="227"/>
        <v>0</v>
      </c>
      <c r="AF481" s="163">
        <f t="shared" si="227"/>
        <v>0</v>
      </c>
      <c r="AG481" s="163">
        <f t="shared" si="227"/>
        <v>0</v>
      </c>
      <c r="AH481" s="163">
        <f t="shared" si="227"/>
        <v>0</v>
      </c>
      <c r="AI481" s="163">
        <f t="shared" si="227"/>
        <v>0</v>
      </c>
      <c r="AJ481" s="163">
        <f t="shared" si="227"/>
        <v>0</v>
      </c>
      <c r="AK481" s="163">
        <f t="shared" si="227"/>
        <v>0</v>
      </c>
      <c r="AL481" s="163">
        <f t="shared" si="227"/>
        <v>0</v>
      </c>
      <c r="AM481" s="163">
        <f t="shared" si="227"/>
        <v>0</v>
      </c>
      <c r="AN481" s="163">
        <f t="shared" si="227"/>
        <v>0</v>
      </c>
      <c r="AO481" s="163">
        <f t="shared" si="227"/>
        <v>0</v>
      </c>
      <c r="AP481" s="163">
        <f t="shared" si="227"/>
        <v>0</v>
      </c>
    </row>
    <row r="482" spans="1:42" x14ac:dyDescent="0.2">
      <c r="A482" s="4">
        <f t="shared" si="225"/>
        <v>5</v>
      </c>
      <c r="B482" s="153">
        <f t="shared" si="222"/>
        <v>0</v>
      </c>
      <c r="C482" s="163">
        <f t="shared" ref="C482:AP482" si="228">LOOKUP(C470,$B$435:$AP$435,$B$436:$AP$436)*$B675/100</f>
        <v>0</v>
      </c>
      <c r="D482" s="163">
        <f t="shared" si="228"/>
        <v>0</v>
      </c>
      <c r="E482" s="163">
        <f t="shared" si="228"/>
        <v>0</v>
      </c>
      <c r="F482" s="163">
        <f t="shared" si="228"/>
        <v>0</v>
      </c>
      <c r="G482" s="163">
        <f t="shared" si="228"/>
        <v>0</v>
      </c>
      <c r="H482" s="163">
        <f t="shared" si="228"/>
        <v>0</v>
      </c>
      <c r="I482" s="163">
        <f t="shared" si="228"/>
        <v>0</v>
      </c>
      <c r="J482" s="163">
        <f t="shared" si="228"/>
        <v>0</v>
      </c>
      <c r="K482" s="163">
        <f t="shared" si="228"/>
        <v>0</v>
      </c>
      <c r="L482" s="163">
        <f t="shared" si="228"/>
        <v>0</v>
      </c>
      <c r="M482" s="163">
        <f t="shared" si="228"/>
        <v>0</v>
      </c>
      <c r="N482" s="163">
        <f t="shared" si="228"/>
        <v>0</v>
      </c>
      <c r="O482" s="163">
        <f t="shared" si="228"/>
        <v>0</v>
      </c>
      <c r="P482" s="163">
        <f t="shared" si="228"/>
        <v>0</v>
      </c>
      <c r="Q482" s="163">
        <f t="shared" si="228"/>
        <v>0</v>
      </c>
      <c r="R482" s="163">
        <f t="shared" si="228"/>
        <v>0</v>
      </c>
      <c r="S482" s="163">
        <f t="shared" si="228"/>
        <v>0</v>
      </c>
      <c r="T482" s="163">
        <f t="shared" si="228"/>
        <v>0</v>
      </c>
      <c r="U482" s="163">
        <f t="shared" si="228"/>
        <v>0</v>
      </c>
      <c r="V482" s="163">
        <f t="shared" si="228"/>
        <v>0</v>
      </c>
      <c r="W482" s="163">
        <f t="shared" si="228"/>
        <v>0</v>
      </c>
      <c r="X482" s="163">
        <f t="shared" si="228"/>
        <v>0</v>
      </c>
      <c r="Y482" s="163">
        <f t="shared" si="228"/>
        <v>0</v>
      </c>
      <c r="Z482" s="163">
        <f t="shared" si="228"/>
        <v>0</v>
      </c>
      <c r="AA482" s="163">
        <f t="shared" si="228"/>
        <v>0</v>
      </c>
      <c r="AB482" s="163">
        <f t="shared" si="228"/>
        <v>0</v>
      </c>
      <c r="AC482" s="163">
        <f t="shared" si="228"/>
        <v>0</v>
      </c>
      <c r="AD482" s="163">
        <f t="shared" si="228"/>
        <v>0</v>
      </c>
      <c r="AE482" s="163">
        <f t="shared" si="228"/>
        <v>0</v>
      </c>
      <c r="AF482" s="163">
        <f t="shared" si="228"/>
        <v>0</v>
      </c>
      <c r="AG482" s="163">
        <f t="shared" si="228"/>
        <v>0</v>
      </c>
      <c r="AH482" s="163">
        <f t="shared" si="228"/>
        <v>0</v>
      </c>
      <c r="AI482" s="163">
        <f t="shared" si="228"/>
        <v>0</v>
      </c>
      <c r="AJ482" s="163">
        <f t="shared" si="228"/>
        <v>0</v>
      </c>
      <c r="AK482" s="163">
        <f t="shared" si="228"/>
        <v>0</v>
      </c>
      <c r="AL482" s="163">
        <f t="shared" si="228"/>
        <v>0</v>
      </c>
      <c r="AM482" s="163">
        <f t="shared" si="228"/>
        <v>0</v>
      </c>
      <c r="AN482" s="163">
        <f t="shared" si="228"/>
        <v>0</v>
      </c>
      <c r="AO482" s="163">
        <f t="shared" si="228"/>
        <v>0</v>
      </c>
      <c r="AP482" s="163">
        <f t="shared" si="228"/>
        <v>0</v>
      </c>
    </row>
    <row r="483" spans="1:42" x14ac:dyDescent="0.2">
      <c r="A483" s="4">
        <f t="shared" si="225"/>
        <v>6</v>
      </c>
      <c r="B483" s="153">
        <f t="shared" si="222"/>
        <v>0</v>
      </c>
      <c r="C483" s="163">
        <f t="shared" ref="C483:AP483" si="229">LOOKUP(C471,$B$435:$AP$435,$B$436:$AP$436)*$B676/100</f>
        <v>0</v>
      </c>
      <c r="D483" s="163">
        <f t="shared" si="229"/>
        <v>0</v>
      </c>
      <c r="E483" s="163">
        <f t="shared" si="229"/>
        <v>0</v>
      </c>
      <c r="F483" s="163">
        <f t="shared" si="229"/>
        <v>0</v>
      </c>
      <c r="G483" s="163">
        <f t="shared" si="229"/>
        <v>0</v>
      </c>
      <c r="H483" s="163">
        <f t="shared" si="229"/>
        <v>0</v>
      </c>
      <c r="I483" s="163">
        <f t="shared" si="229"/>
        <v>0</v>
      </c>
      <c r="J483" s="163">
        <f t="shared" si="229"/>
        <v>0</v>
      </c>
      <c r="K483" s="163">
        <f t="shared" si="229"/>
        <v>0</v>
      </c>
      <c r="L483" s="163">
        <f t="shared" si="229"/>
        <v>0</v>
      </c>
      <c r="M483" s="163">
        <f t="shared" si="229"/>
        <v>0</v>
      </c>
      <c r="N483" s="163">
        <f t="shared" si="229"/>
        <v>0</v>
      </c>
      <c r="O483" s="163">
        <f t="shared" si="229"/>
        <v>0</v>
      </c>
      <c r="P483" s="163">
        <f t="shared" si="229"/>
        <v>0</v>
      </c>
      <c r="Q483" s="163">
        <f t="shared" si="229"/>
        <v>0</v>
      </c>
      <c r="R483" s="163">
        <f t="shared" si="229"/>
        <v>0</v>
      </c>
      <c r="S483" s="163">
        <f t="shared" si="229"/>
        <v>0</v>
      </c>
      <c r="T483" s="163">
        <f t="shared" si="229"/>
        <v>0</v>
      </c>
      <c r="U483" s="163">
        <f t="shared" si="229"/>
        <v>0</v>
      </c>
      <c r="V483" s="163">
        <f t="shared" si="229"/>
        <v>0</v>
      </c>
      <c r="W483" s="163">
        <f t="shared" si="229"/>
        <v>0</v>
      </c>
      <c r="X483" s="163">
        <f t="shared" si="229"/>
        <v>0</v>
      </c>
      <c r="Y483" s="163">
        <f t="shared" si="229"/>
        <v>0</v>
      </c>
      <c r="Z483" s="163">
        <f t="shared" si="229"/>
        <v>0</v>
      </c>
      <c r="AA483" s="163">
        <f t="shared" si="229"/>
        <v>0</v>
      </c>
      <c r="AB483" s="163">
        <f t="shared" si="229"/>
        <v>0</v>
      </c>
      <c r="AC483" s="163">
        <f t="shared" si="229"/>
        <v>0</v>
      </c>
      <c r="AD483" s="163">
        <f t="shared" si="229"/>
        <v>0</v>
      </c>
      <c r="AE483" s="163">
        <f t="shared" si="229"/>
        <v>0</v>
      </c>
      <c r="AF483" s="163">
        <f t="shared" si="229"/>
        <v>0</v>
      </c>
      <c r="AG483" s="163">
        <f t="shared" si="229"/>
        <v>0</v>
      </c>
      <c r="AH483" s="163">
        <f t="shared" si="229"/>
        <v>0</v>
      </c>
      <c r="AI483" s="163">
        <f t="shared" si="229"/>
        <v>0</v>
      </c>
      <c r="AJ483" s="163">
        <f t="shared" si="229"/>
        <v>0</v>
      </c>
      <c r="AK483" s="163">
        <f t="shared" si="229"/>
        <v>0</v>
      </c>
      <c r="AL483" s="163">
        <f t="shared" si="229"/>
        <v>0</v>
      </c>
      <c r="AM483" s="163">
        <f t="shared" si="229"/>
        <v>0</v>
      </c>
      <c r="AN483" s="163">
        <f t="shared" si="229"/>
        <v>0</v>
      </c>
      <c r="AO483" s="163">
        <f t="shared" si="229"/>
        <v>0</v>
      </c>
      <c r="AP483" s="163">
        <f t="shared" si="229"/>
        <v>0</v>
      </c>
    </row>
    <row r="484" spans="1:42" x14ac:dyDescent="0.2">
      <c r="A484" s="4">
        <f t="shared" si="225"/>
        <v>7</v>
      </c>
      <c r="B484" s="153">
        <f t="shared" si="222"/>
        <v>0</v>
      </c>
      <c r="C484" s="163">
        <f t="shared" ref="C484:AP484" si="230">LOOKUP(C472,$B$435:$AP$435,$B$436:$AP$436)*$B677/100</f>
        <v>0</v>
      </c>
      <c r="D484" s="163">
        <f t="shared" si="230"/>
        <v>0</v>
      </c>
      <c r="E484" s="163">
        <f t="shared" si="230"/>
        <v>0</v>
      </c>
      <c r="F484" s="163">
        <f t="shared" si="230"/>
        <v>0</v>
      </c>
      <c r="G484" s="163">
        <f t="shared" si="230"/>
        <v>0</v>
      </c>
      <c r="H484" s="163">
        <f t="shared" si="230"/>
        <v>0</v>
      </c>
      <c r="I484" s="163">
        <f t="shared" si="230"/>
        <v>0</v>
      </c>
      <c r="J484" s="163">
        <f t="shared" si="230"/>
        <v>0</v>
      </c>
      <c r="K484" s="163">
        <f t="shared" si="230"/>
        <v>0</v>
      </c>
      <c r="L484" s="163">
        <f t="shared" si="230"/>
        <v>0</v>
      </c>
      <c r="M484" s="163">
        <f t="shared" si="230"/>
        <v>0</v>
      </c>
      <c r="N484" s="163">
        <f t="shared" si="230"/>
        <v>0</v>
      </c>
      <c r="O484" s="163">
        <f t="shared" si="230"/>
        <v>0</v>
      </c>
      <c r="P484" s="163">
        <f t="shared" si="230"/>
        <v>0</v>
      </c>
      <c r="Q484" s="163">
        <f t="shared" si="230"/>
        <v>0</v>
      </c>
      <c r="R484" s="163">
        <f t="shared" si="230"/>
        <v>0</v>
      </c>
      <c r="S484" s="163">
        <f t="shared" si="230"/>
        <v>0</v>
      </c>
      <c r="T484" s="163">
        <f t="shared" si="230"/>
        <v>0</v>
      </c>
      <c r="U484" s="163">
        <f t="shared" si="230"/>
        <v>0</v>
      </c>
      <c r="V484" s="163">
        <f t="shared" si="230"/>
        <v>0</v>
      </c>
      <c r="W484" s="163">
        <f t="shared" si="230"/>
        <v>0</v>
      </c>
      <c r="X484" s="163">
        <f t="shared" si="230"/>
        <v>0</v>
      </c>
      <c r="Y484" s="163">
        <f t="shared" si="230"/>
        <v>0</v>
      </c>
      <c r="Z484" s="163">
        <f t="shared" si="230"/>
        <v>0</v>
      </c>
      <c r="AA484" s="163">
        <f t="shared" si="230"/>
        <v>0</v>
      </c>
      <c r="AB484" s="163">
        <f t="shared" si="230"/>
        <v>0</v>
      </c>
      <c r="AC484" s="163">
        <f t="shared" si="230"/>
        <v>0</v>
      </c>
      <c r="AD484" s="163">
        <f t="shared" si="230"/>
        <v>0</v>
      </c>
      <c r="AE484" s="163">
        <f t="shared" si="230"/>
        <v>0</v>
      </c>
      <c r="AF484" s="163">
        <f t="shared" si="230"/>
        <v>0</v>
      </c>
      <c r="AG484" s="163">
        <f t="shared" si="230"/>
        <v>0</v>
      </c>
      <c r="AH484" s="163">
        <f t="shared" si="230"/>
        <v>0</v>
      </c>
      <c r="AI484" s="163">
        <f t="shared" si="230"/>
        <v>0</v>
      </c>
      <c r="AJ484" s="163">
        <f t="shared" si="230"/>
        <v>0</v>
      </c>
      <c r="AK484" s="163">
        <f t="shared" si="230"/>
        <v>0</v>
      </c>
      <c r="AL484" s="163">
        <f t="shared" si="230"/>
        <v>0</v>
      </c>
      <c r="AM484" s="163">
        <f t="shared" si="230"/>
        <v>0</v>
      </c>
      <c r="AN484" s="163">
        <f t="shared" si="230"/>
        <v>0</v>
      </c>
      <c r="AO484" s="163">
        <f t="shared" si="230"/>
        <v>0</v>
      </c>
      <c r="AP484" s="163">
        <f t="shared" si="230"/>
        <v>0</v>
      </c>
    </row>
    <row r="485" spans="1:42" x14ac:dyDescent="0.2">
      <c r="A485" s="4">
        <f t="shared" si="225"/>
        <v>8</v>
      </c>
      <c r="B485" s="153">
        <f t="shared" si="222"/>
        <v>0</v>
      </c>
      <c r="C485" s="163">
        <f t="shared" ref="C485:AP485" si="231">LOOKUP(C473,$B$435:$AP$435,$B$436:$AP$436)*$B678/100</f>
        <v>0</v>
      </c>
      <c r="D485" s="163">
        <f t="shared" si="231"/>
        <v>0</v>
      </c>
      <c r="E485" s="163">
        <f t="shared" si="231"/>
        <v>0</v>
      </c>
      <c r="F485" s="163">
        <f t="shared" si="231"/>
        <v>0</v>
      </c>
      <c r="G485" s="163">
        <f t="shared" si="231"/>
        <v>0</v>
      </c>
      <c r="H485" s="163">
        <f t="shared" si="231"/>
        <v>0</v>
      </c>
      <c r="I485" s="163">
        <f t="shared" si="231"/>
        <v>0</v>
      </c>
      <c r="J485" s="163">
        <f t="shared" si="231"/>
        <v>0</v>
      </c>
      <c r="K485" s="163">
        <f t="shared" si="231"/>
        <v>0</v>
      </c>
      <c r="L485" s="163">
        <f t="shared" si="231"/>
        <v>0</v>
      </c>
      <c r="M485" s="163">
        <f t="shared" si="231"/>
        <v>0</v>
      </c>
      <c r="N485" s="163">
        <f t="shared" si="231"/>
        <v>0</v>
      </c>
      <c r="O485" s="163">
        <f t="shared" si="231"/>
        <v>0</v>
      </c>
      <c r="P485" s="163">
        <f t="shared" si="231"/>
        <v>0</v>
      </c>
      <c r="Q485" s="163">
        <f t="shared" si="231"/>
        <v>0</v>
      </c>
      <c r="R485" s="163">
        <f t="shared" si="231"/>
        <v>0</v>
      </c>
      <c r="S485" s="163">
        <f t="shared" si="231"/>
        <v>0</v>
      </c>
      <c r="T485" s="163">
        <f t="shared" si="231"/>
        <v>0</v>
      </c>
      <c r="U485" s="163">
        <f t="shared" si="231"/>
        <v>0</v>
      </c>
      <c r="V485" s="163">
        <f t="shared" si="231"/>
        <v>0</v>
      </c>
      <c r="W485" s="163">
        <f t="shared" si="231"/>
        <v>0</v>
      </c>
      <c r="X485" s="163">
        <f t="shared" si="231"/>
        <v>0</v>
      </c>
      <c r="Y485" s="163">
        <f t="shared" si="231"/>
        <v>0</v>
      </c>
      <c r="Z485" s="163">
        <f t="shared" si="231"/>
        <v>0</v>
      </c>
      <c r="AA485" s="163">
        <f t="shared" si="231"/>
        <v>0</v>
      </c>
      <c r="AB485" s="163">
        <f t="shared" si="231"/>
        <v>0</v>
      </c>
      <c r="AC485" s="163">
        <f t="shared" si="231"/>
        <v>0</v>
      </c>
      <c r="AD485" s="163">
        <f t="shared" si="231"/>
        <v>0</v>
      </c>
      <c r="AE485" s="163">
        <f t="shared" si="231"/>
        <v>0</v>
      </c>
      <c r="AF485" s="163">
        <f t="shared" si="231"/>
        <v>0</v>
      </c>
      <c r="AG485" s="163">
        <f t="shared" si="231"/>
        <v>0</v>
      </c>
      <c r="AH485" s="163">
        <f t="shared" si="231"/>
        <v>0</v>
      </c>
      <c r="AI485" s="163">
        <f t="shared" si="231"/>
        <v>0</v>
      </c>
      <c r="AJ485" s="163">
        <f t="shared" si="231"/>
        <v>0</v>
      </c>
      <c r="AK485" s="163">
        <f t="shared" si="231"/>
        <v>0</v>
      </c>
      <c r="AL485" s="163">
        <f t="shared" si="231"/>
        <v>0</v>
      </c>
      <c r="AM485" s="163">
        <f t="shared" si="231"/>
        <v>0</v>
      </c>
      <c r="AN485" s="163">
        <f t="shared" si="231"/>
        <v>0</v>
      </c>
      <c r="AO485" s="163">
        <f t="shared" si="231"/>
        <v>0</v>
      </c>
      <c r="AP485" s="163">
        <f t="shared" si="231"/>
        <v>0</v>
      </c>
    </row>
    <row r="486" spans="1:42" x14ac:dyDescent="0.2">
      <c r="A486" s="4">
        <f>A485+1</f>
        <v>9</v>
      </c>
      <c r="B486" s="153">
        <f t="shared" si="222"/>
        <v>0</v>
      </c>
      <c r="C486" s="163">
        <f t="shared" ref="C486:AP486" si="232">LOOKUP(C474,$B$435:$AP$435,$B$436:$AP$436)*$B679/100</f>
        <v>0</v>
      </c>
      <c r="D486" s="163">
        <f t="shared" si="232"/>
        <v>0</v>
      </c>
      <c r="E486" s="163">
        <f t="shared" si="232"/>
        <v>0</v>
      </c>
      <c r="F486" s="163">
        <f t="shared" si="232"/>
        <v>0</v>
      </c>
      <c r="G486" s="163">
        <f t="shared" si="232"/>
        <v>0</v>
      </c>
      <c r="H486" s="163">
        <f t="shared" si="232"/>
        <v>0</v>
      </c>
      <c r="I486" s="163">
        <f t="shared" si="232"/>
        <v>0</v>
      </c>
      <c r="J486" s="163">
        <f t="shared" si="232"/>
        <v>0</v>
      </c>
      <c r="K486" s="163">
        <f t="shared" si="232"/>
        <v>0</v>
      </c>
      <c r="L486" s="163">
        <f t="shared" si="232"/>
        <v>0</v>
      </c>
      <c r="M486" s="163">
        <f t="shared" si="232"/>
        <v>0</v>
      </c>
      <c r="N486" s="163">
        <f t="shared" si="232"/>
        <v>0</v>
      </c>
      <c r="O486" s="163">
        <f t="shared" si="232"/>
        <v>0</v>
      </c>
      <c r="P486" s="163">
        <f t="shared" si="232"/>
        <v>0</v>
      </c>
      <c r="Q486" s="163">
        <f t="shared" si="232"/>
        <v>0</v>
      </c>
      <c r="R486" s="163">
        <f t="shared" si="232"/>
        <v>0</v>
      </c>
      <c r="S486" s="163">
        <f t="shared" si="232"/>
        <v>0</v>
      </c>
      <c r="T486" s="163">
        <f t="shared" si="232"/>
        <v>0</v>
      </c>
      <c r="U486" s="163">
        <f t="shared" si="232"/>
        <v>0</v>
      </c>
      <c r="V486" s="163">
        <f t="shared" si="232"/>
        <v>0</v>
      </c>
      <c r="W486" s="163">
        <f t="shared" si="232"/>
        <v>0</v>
      </c>
      <c r="X486" s="163">
        <f t="shared" si="232"/>
        <v>0</v>
      </c>
      <c r="Y486" s="163">
        <f t="shared" si="232"/>
        <v>0</v>
      </c>
      <c r="Z486" s="163">
        <f t="shared" si="232"/>
        <v>0</v>
      </c>
      <c r="AA486" s="163">
        <f t="shared" si="232"/>
        <v>0</v>
      </c>
      <c r="AB486" s="163">
        <f t="shared" si="232"/>
        <v>0</v>
      </c>
      <c r="AC486" s="163">
        <f t="shared" si="232"/>
        <v>0</v>
      </c>
      <c r="AD486" s="163">
        <f t="shared" si="232"/>
        <v>0</v>
      </c>
      <c r="AE486" s="163">
        <f t="shared" si="232"/>
        <v>0</v>
      </c>
      <c r="AF486" s="163">
        <f t="shared" si="232"/>
        <v>0</v>
      </c>
      <c r="AG486" s="163">
        <f t="shared" si="232"/>
        <v>0</v>
      </c>
      <c r="AH486" s="163">
        <f t="shared" si="232"/>
        <v>0</v>
      </c>
      <c r="AI486" s="163">
        <f t="shared" si="232"/>
        <v>0</v>
      </c>
      <c r="AJ486" s="163">
        <f t="shared" si="232"/>
        <v>0</v>
      </c>
      <c r="AK486" s="163">
        <f t="shared" si="232"/>
        <v>0</v>
      </c>
      <c r="AL486" s="163">
        <f t="shared" si="232"/>
        <v>0</v>
      </c>
      <c r="AM486" s="163">
        <f t="shared" si="232"/>
        <v>0</v>
      </c>
      <c r="AN486" s="163">
        <f t="shared" si="232"/>
        <v>0</v>
      </c>
      <c r="AO486" s="163">
        <f t="shared" si="232"/>
        <v>0</v>
      </c>
      <c r="AP486" s="163">
        <f t="shared" si="232"/>
        <v>0</v>
      </c>
    </row>
    <row r="487" spans="1:42" x14ac:dyDescent="0.2">
      <c r="A487" s="4">
        <f t="shared" ref="A487" si="233">A486+1</f>
        <v>10</v>
      </c>
      <c r="B487" s="153">
        <f t="shared" si="222"/>
        <v>0</v>
      </c>
      <c r="C487" s="163">
        <f t="shared" ref="C487:AP487" si="234">LOOKUP(C475,$B$435:$AP$435,$B$436:$AP$436)*$B680/100</f>
        <v>0</v>
      </c>
      <c r="D487" s="163">
        <f t="shared" si="234"/>
        <v>0</v>
      </c>
      <c r="E487" s="163">
        <f t="shared" si="234"/>
        <v>0</v>
      </c>
      <c r="F487" s="163">
        <f t="shared" si="234"/>
        <v>0</v>
      </c>
      <c r="G487" s="163">
        <f t="shared" si="234"/>
        <v>0</v>
      </c>
      <c r="H487" s="163">
        <f t="shared" si="234"/>
        <v>0</v>
      </c>
      <c r="I487" s="163">
        <f t="shared" si="234"/>
        <v>0</v>
      </c>
      <c r="J487" s="163">
        <f t="shared" si="234"/>
        <v>0</v>
      </c>
      <c r="K487" s="163">
        <f t="shared" si="234"/>
        <v>0</v>
      </c>
      <c r="L487" s="163">
        <f t="shared" si="234"/>
        <v>0</v>
      </c>
      <c r="M487" s="163">
        <f t="shared" si="234"/>
        <v>0</v>
      </c>
      <c r="N487" s="163">
        <f t="shared" si="234"/>
        <v>0</v>
      </c>
      <c r="O487" s="163">
        <f t="shared" si="234"/>
        <v>0</v>
      </c>
      <c r="P487" s="163">
        <f t="shared" si="234"/>
        <v>0</v>
      </c>
      <c r="Q487" s="163">
        <f t="shared" si="234"/>
        <v>0</v>
      </c>
      <c r="R487" s="163">
        <f t="shared" si="234"/>
        <v>0</v>
      </c>
      <c r="S487" s="163">
        <f t="shared" si="234"/>
        <v>0</v>
      </c>
      <c r="T487" s="163">
        <f t="shared" si="234"/>
        <v>0</v>
      </c>
      <c r="U487" s="163">
        <f t="shared" si="234"/>
        <v>0</v>
      </c>
      <c r="V487" s="163">
        <f t="shared" si="234"/>
        <v>0</v>
      </c>
      <c r="W487" s="163">
        <f t="shared" si="234"/>
        <v>0</v>
      </c>
      <c r="X487" s="163">
        <f t="shared" si="234"/>
        <v>0</v>
      </c>
      <c r="Y487" s="163">
        <f t="shared" si="234"/>
        <v>0</v>
      </c>
      <c r="Z487" s="163">
        <f t="shared" si="234"/>
        <v>0</v>
      </c>
      <c r="AA487" s="163">
        <f t="shared" si="234"/>
        <v>0</v>
      </c>
      <c r="AB487" s="163">
        <f t="shared" si="234"/>
        <v>0</v>
      </c>
      <c r="AC487" s="163">
        <f t="shared" si="234"/>
        <v>0</v>
      </c>
      <c r="AD487" s="163">
        <f t="shared" si="234"/>
        <v>0</v>
      </c>
      <c r="AE487" s="163">
        <f t="shared" si="234"/>
        <v>0</v>
      </c>
      <c r="AF487" s="163">
        <f t="shared" si="234"/>
        <v>0</v>
      </c>
      <c r="AG487" s="163">
        <f t="shared" si="234"/>
        <v>0</v>
      </c>
      <c r="AH487" s="163">
        <f t="shared" si="234"/>
        <v>0</v>
      </c>
      <c r="AI487" s="163">
        <f t="shared" si="234"/>
        <v>0</v>
      </c>
      <c r="AJ487" s="163">
        <f t="shared" si="234"/>
        <v>0</v>
      </c>
      <c r="AK487" s="163">
        <f t="shared" si="234"/>
        <v>0</v>
      </c>
      <c r="AL487" s="163">
        <f t="shared" si="234"/>
        <v>0</v>
      </c>
      <c r="AM487" s="163">
        <f t="shared" si="234"/>
        <v>0</v>
      </c>
      <c r="AN487" s="163">
        <f t="shared" si="234"/>
        <v>0</v>
      </c>
      <c r="AO487" s="163">
        <f t="shared" si="234"/>
        <v>0</v>
      </c>
      <c r="AP487" s="163">
        <f t="shared" si="234"/>
        <v>0</v>
      </c>
    </row>
    <row r="488" spans="1:42" x14ac:dyDescent="0.2">
      <c r="A488" s="27" t="s">
        <v>13</v>
      </c>
      <c r="B488" s="15"/>
      <c r="C488" s="163">
        <f>SUM(C478:C487)</f>
        <v>0</v>
      </c>
      <c r="D488" s="163">
        <f t="shared" ref="D488:AP488" si="235">SUM(D478:D487)</f>
        <v>0</v>
      </c>
      <c r="E488" s="163">
        <f t="shared" si="235"/>
        <v>0</v>
      </c>
      <c r="F488" s="163">
        <f t="shared" si="235"/>
        <v>0</v>
      </c>
      <c r="G488" s="163">
        <f t="shared" si="235"/>
        <v>0</v>
      </c>
      <c r="H488" s="163">
        <f t="shared" si="235"/>
        <v>0</v>
      </c>
      <c r="I488" s="163">
        <f t="shared" si="235"/>
        <v>0</v>
      </c>
      <c r="J488" s="163">
        <f t="shared" si="235"/>
        <v>0</v>
      </c>
      <c r="K488" s="163">
        <f t="shared" si="235"/>
        <v>0</v>
      </c>
      <c r="L488" s="163">
        <f t="shared" si="235"/>
        <v>0</v>
      </c>
      <c r="M488" s="163">
        <f t="shared" si="235"/>
        <v>0</v>
      </c>
      <c r="N488" s="163">
        <f t="shared" si="235"/>
        <v>0</v>
      </c>
      <c r="O488" s="163">
        <f t="shared" si="235"/>
        <v>0</v>
      </c>
      <c r="P488" s="163">
        <f t="shared" si="235"/>
        <v>0</v>
      </c>
      <c r="Q488" s="163">
        <f t="shared" si="235"/>
        <v>0</v>
      </c>
      <c r="R488" s="163">
        <f t="shared" si="235"/>
        <v>0</v>
      </c>
      <c r="S488" s="163">
        <f t="shared" si="235"/>
        <v>0</v>
      </c>
      <c r="T488" s="163">
        <f t="shared" si="235"/>
        <v>0</v>
      </c>
      <c r="U488" s="163">
        <f t="shared" si="235"/>
        <v>0</v>
      </c>
      <c r="V488" s="163">
        <f t="shared" si="235"/>
        <v>0</v>
      </c>
      <c r="W488" s="163">
        <f t="shared" si="235"/>
        <v>0</v>
      </c>
      <c r="X488" s="163">
        <f t="shared" si="235"/>
        <v>0</v>
      </c>
      <c r="Y488" s="163">
        <f t="shared" si="235"/>
        <v>0</v>
      </c>
      <c r="Z488" s="163">
        <f t="shared" si="235"/>
        <v>0</v>
      </c>
      <c r="AA488" s="163">
        <f t="shared" si="235"/>
        <v>0</v>
      </c>
      <c r="AB488" s="163">
        <f t="shared" si="235"/>
        <v>0</v>
      </c>
      <c r="AC488" s="163">
        <f t="shared" si="235"/>
        <v>0</v>
      </c>
      <c r="AD488" s="163">
        <f t="shared" si="235"/>
        <v>0</v>
      </c>
      <c r="AE488" s="163">
        <f t="shared" si="235"/>
        <v>0</v>
      </c>
      <c r="AF488" s="163">
        <f t="shared" si="235"/>
        <v>0</v>
      </c>
      <c r="AG488" s="163">
        <f t="shared" si="235"/>
        <v>0</v>
      </c>
      <c r="AH488" s="163">
        <f t="shared" si="235"/>
        <v>0</v>
      </c>
      <c r="AI488" s="163">
        <f t="shared" si="235"/>
        <v>0</v>
      </c>
      <c r="AJ488" s="163">
        <f t="shared" si="235"/>
        <v>0</v>
      </c>
      <c r="AK488" s="163">
        <f t="shared" si="235"/>
        <v>0</v>
      </c>
      <c r="AL488" s="163">
        <f t="shared" si="235"/>
        <v>0</v>
      </c>
      <c r="AM488" s="163">
        <f t="shared" si="235"/>
        <v>0</v>
      </c>
      <c r="AN488" s="163">
        <f t="shared" si="235"/>
        <v>0</v>
      </c>
      <c r="AO488" s="163">
        <f t="shared" si="235"/>
        <v>0</v>
      </c>
      <c r="AP488" s="163">
        <f t="shared" si="235"/>
        <v>0</v>
      </c>
    </row>
    <row r="489" spans="1:42" x14ac:dyDescent="0.2">
      <c r="A489" s="27"/>
      <c r="B489" s="15"/>
      <c r="C489" s="163"/>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5"/>
    </row>
    <row r="490" spans="1:42" x14ac:dyDescent="0.2">
      <c r="A490" s="18" t="s">
        <v>93</v>
      </c>
      <c r="C490" s="163"/>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5"/>
    </row>
    <row r="491" spans="1:42" x14ac:dyDescent="0.2">
      <c r="A491" s="22" t="s">
        <v>75</v>
      </c>
      <c r="C491" s="163"/>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5"/>
    </row>
    <row r="492" spans="1:42" x14ac:dyDescent="0.2">
      <c r="A492" s="4">
        <v>1</v>
      </c>
      <c r="C492" s="163">
        <f t="shared" ref="C492:AP492" si="236">C355</f>
        <v>0</v>
      </c>
      <c r="D492" s="163">
        <f t="shared" si="236"/>
        <v>0</v>
      </c>
      <c r="E492" s="163">
        <f t="shared" si="236"/>
        <v>0</v>
      </c>
      <c r="F492" s="163">
        <f t="shared" si="236"/>
        <v>0</v>
      </c>
      <c r="G492" s="163">
        <f t="shared" si="236"/>
        <v>0</v>
      </c>
      <c r="H492" s="163">
        <f t="shared" si="236"/>
        <v>0</v>
      </c>
      <c r="I492" s="163">
        <f t="shared" si="236"/>
        <v>0</v>
      </c>
      <c r="J492" s="163">
        <f t="shared" si="236"/>
        <v>0</v>
      </c>
      <c r="K492" s="163">
        <f t="shared" si="236"/>
        <v>0</v>
      </c>
      <c r="L492" s="163">
        <f t="shared" si="236"/>
        <v>0</v>
      </c>
      <c r="M492" s="163">
        <f t="shared" si="236"/>
        <v>0</v>
      </c>
      <c r="N492" s="163">
        <f t="shared" si="236"/>
        <v>0</v>
      </c>
      <c r="O492" s="163">
        <f t="shared" si="236"/>
        <v>0</v>
      </c>
      <c r="P492" s="163">
        <f t="shared" si="236"/>
        <v>0</v>
      </c>
      <c r="Q492" s="163">
        <f t="shared" si="236"/>
        <v>0</v>
      </c>
      <c r="R492" s="163">
        <f t="shared" si="236"/>
        <v>0</v>
      </c>
      <c r="S492" s="163">
        <f t="shared" si="236"/>
        <v>0</v>
      </c>
      <c r="T492" s="163">
        <f t="shared" si="236"/>
        <v>0</v>
      </c>
      <c r="U492" s="163">
        <f t="shared" si="236"/>
        <v>0</v>
      </c>
      <c r="V492" s="163">
        <f t="shared" si="236"/>
        <v>0</v>
      </c>
      <c r="W492" s="163">
        <f t="shared" si="236"/>
        <v>0</v>
      </c>
      <c r="X492" s="163">
        <f t="shared" si="236"/>
        <v>0</v>
      </c>
      <c r="Y492" s="163">
        <f t="shared" si="236"/>
        <v>0</v>
      </c>
      <c r="Z492" s="163">
        <f t="shared" si="236"/>
        <v>0</v>
      </c>
      <c r="AA492" s="163">
        <f t="shared" si="236"/>
        <v>0</v>
      </c>
      <c r="AB492" s="163">
        <f t="shared" si="236"/>
        <v>0</v>
      </c>
      <c r="AC492" s="163">
        <f t="shared" si="236"/>
        <v>0</v>
      </c>
      <c r="AD492" s="163">
        <f t="shared" si="236"/>
        <v>0</v>
      </c>
      <c r="AE492" s="163">
        <f t="shared" si="236"/>
        <v>0</v>
      </c>
      <c r="AF492" s="163">
        <f t="shared" si="236"/>
        <v>0</v>
      </c>
      <c r="AG492" s="163">
        <f t="shared" si="236"/>
        <v>0</v>
      </c>
      <c r="AH492" s="163">
        <f t="shared" si="236"/>
        <v>0</v>
      </c>
      <c r="AI492" s="163">
        <f t="shared" si="236"/>
        <v>0</v>
      </c>
      <c r="AJ492" s="163">
        <f t="shared" si="236"/>
        <v>0</v>
      </c>
      <c r="AK492" s="163">
        <f t="shared" si="236"/>
        <v>0</v>
      </c>
      <c r="AL492" s="163">
        <f t="shared" si="236"/>
        <v>0</v>
      </c>
      <c r="AM492" s="163">
        <f t="shared" si="236"/>
        <v>0</v>
      </c>
      <c r="AN492" s="163">
        <f t="shared" si="236"/>
        <v>0</v>
      </c>
      <c r="AO492" s="163">
        <f t="shared" si="236"/>
        <v>0</v>
      </c>
      <c r="AP492" s="163">
        <f t="shared" si="236"/>
        <v>0</v>
      </c>
    </row>
    <row r="493" spans="1:42" x14ac:dyDescent="0.2">
      <c r="A493" s="4">
        <f>A492+1</f>
        <v>2</v>
      </c>
      <c r="C493" s="163">
        <f t="shared" ref="C493:AP493" si="237">C356</f>
        <v>0</v>
      </c>
      <c r="D493" s="163">
        <f t="shared" si="237"/>
        <v>0</v>
      </c>
      <c r="E493" s="163">
        <f t="shared" si="237"/>
        <v>0</v>
      </c>
      <c r="F493" s="163">
        <f t="shared" si="237"/>
        <v>0</v>
      </c>
      <c r="G493" s="163">
        <f t="shared" si="237"/>
        <v>0</v>
      </c>
      <c r="H493" s="163">
        <f t="shared" si="237"/>
        <v>0</v>
      </c>
      <c r="I493" s="163">
        <f t="shared" si="237"/>
        <v>0</v>
      </c>
      <c r="J493" s="163">
        <f t="shared" si="237"/>
        <v>0</v>
      </c>
      <c r="K493" s="163">
        <f t="shared" si="237"/>
        <v>0</v>
      </c>
      <c r="L493" s="163">
        <f t="shared" si="237"/>
        <v>0</v>
      </c>
      <c r="M493" s="163">
        <f t="shared" si="237"/>
        <v>0</v>
      </c>
      <c r="N493" s="163">
        <f t="shared" si="237"/>
        <v>0</v>
      </c>
      <c r="O493" s="163">
        <f t="shared" si="237"/>
        <v>0</v>
      </c>
      <c r="P493" s="163">
        <f t="shared" si="237"/>
        <v>0</v>
      </c>
      <c r="Q493" s="163">
        <f t="shared" si="237"/>
        <v>0</v>
      </c>
      <c r="R493" s="163">
        <f t="shared" si="237"/>
        <v>0</v>
      </c>
      <c r="S493" s="163">
        <f t="shared" si="237"/>
        <v>0</v>
      </c>
      <c r="T493" s="163">
        <f t="shared" si="237"/>
        <v>0</v>
      </c>
      <c r="U493" s="163">
        <f t="shared" si="237"/>
        <v>0</v>
      </c>
      <c r="V493" s="163">
        <f t="shared" si="237"/>
        <v>0</v>
      </c>
      <c r="W493" s="163">
        <f t="shared" si="237"/>
        <v>0</v>
      </c>
      <c r="X493" s="163">
        <f t="shared" si="237"/>
        <v>0</v>
      </c>
      <c r="Y493" s="163">
        <f t="shared" si="237"/>
        <v>0</v>
      </c>
      <c r="Z493" s="163">
        <f t="shared" si="237"/>
        <v>0</v>
      </c>
      <c r="AA493" s="163">
        <f t="shared" si="237"/>
        <v>0</v>
      </c>
      <c r="AB493" s="163">
        <f t="shared" si="237"/>
        <v>0</v>
      </c>
      <c r="AC493" s="163">
        <f t="shared" si="237"/>
        <v>0</v>
      </c>
      <c r="AD493" s="163">
        <f t="shared" si="237"/>
        <v>0</v>
      </c>
      <c r="AE493" s="163">
        <f t="shared" si="237"/>
        <v>0</v>
      </c>
      <c r="AF493" s="163">
        <f t="shared" si="237"/>
        <v>0</v>
      </c>
      <c r="AG493" s="163">
        <f t="shared" si="237"/>
        <v>0</v>
      </c>
      <c r="AH493" s="163">
        <f t="shared" si="237"/>
        <v>0</v>
      </c>
      <c r="AI493" s="163">
        <f t="shared" si="237"/>
        <v>0</v>
      </c>
      <c r="AJ493" s="163">
        <f t="shared" si="237"/>
        <v>0</v>
      </c>
      <c r="AK493" s="163">
        <f t="shared" si="237"/>
        <v>0</v>
      </c>
      <c r="AL493" s="163">
        <f t="shared" si="237"/>
        <v>0</v>
      </c>
      <c r="AM493" s="163">
        <f t="shared" si="237"/>
        <v>0</v>
      </c>
      <c r="AN493" s="163">
        <f t="shared" si="237"/>
        <v>0</v>
      </c>
      <c r="AO493" s="163">
        <f t="shared" si="237"/>
        <v>0</v>
      </c>
      <c r="AP493" s="163">
        <f t="shared" si="237"/>
        <v>0</v>
      </c>
    </row>
    <row r="494" spans="1:42" x14ac:dyDescent="0.2">
      <c r="A494" s="4">
        <f t="shared" ref="A494:A499" si="238">A493+1</f>
        <v>3</v>
      </c>
      <c r="C494" s="163">
        <f t="shared" ref="C494:AP494" si="239">C357</f>
        <v>0</v>
      </c>
      <c r="D494" s="163">
        <f t="shared" si="239"/>
        <v>0</v>
      </c>
      <c r="E494" s="163">
        <f t="shared" si="239"/>
        <v>0</v>
      </c>
      <c r="F494" s="163">
        <f t="shared" si="239"/>
        <v>0</v>
      </c>
      <c r="G494" s="163">
        <f t="shared" si="239"/>
        <v>0</v>
      </c>
      <c r="H494" s="163">
        <f t="shared" si="239"/>
        <v>0</v>
      </c>
      <c r="I494" s="163">
        <f t="shared" si="239"/>
        <v>0</v>
      </c>
      <c r="J494" s="163">
        <f t="shared" si="239"/>
        <v>0</v>
      </c>
      <c r="K494" s="163">
        <f t="shared" si="239"/>
        <v>0</v>
      </c>
      <c r="L494" s="163">
        <f t="shared" si="239"/>
        <v>0</v>
      </c>
      <c r="M494" s="163">
        <f t="shared" si="239"/>
        <v>0</v>
      </c>
      <c r="N494" s="163">
        <f t="shared" si="239"/>
        <v>0</v>
      </c>
      <c r="O494" s="163">
        <f t="shared" si="239"/>
        <v>0</v>
      </c>
      <c r="P494" s="163">
        <f t="shared" si="239"/>
        <v>0</v>
      </c>
      <c r="Q494" s="163">
        <f t="shared" si="239"/>
        <v>0</v>
      </c>
      <c r="R494" s="163">
        <f t="shared" si="239"/>
        <v>0</v>
      </c>
      <c r="S494" s="163">
        <f t="shared" si="239"/>
        <v>0</v>
      </c>
      <c r="T494" s="163">
        <f t="shared" si="239"/>
        <v>0</v>
      </c>
      <c r="U494" s="163">
        <f t="shared" si="239"/>
        <v>0</v>
      </c>
      <c r="V494" s="163">
        <f t="shared" si="239"/>
        <v>0</v>
      </c>
      <c r="W494" s="163">
        <f t="shared" si="239"/>
        <v>0</v>
      </c>
      <c r="X494" s="163">
        <f t="shared" si="239"/>
        <v>0</v>
      </c>
      <c r="Y494" s="163">
        <f t="shared" si="239"/>
        <v>0</v>
      </c>
      <c r="Z494" s="163">
        <f t="shared" si="239"/>
        <v>0</v>
      </c>
      <c r="AA494" s="163">
        <f t="shared" si="239"/>
        <v>0</v>
      </c>
      <c r="AB494" s="163">
        <f t="shared" si="239"/>
        <v>0</v>
      </c>
      <c r="AC494" s="163">
        <f t="shared" si="239"/>
        <v>0</v>
      </c>
      <c r="AD494" s="163">
        <f t="shared" si="239"/>
        <v>0</v>
      </c>
      <c r="AE494" s="163">
        <f t="shared" si="239"/>
        <v>0</v>
      </c>
      <c r="AF494" s="163">
        <f t="shared" si="239"/>
        <v>0</v>
      </c>
      <c r="AG494" s="163">
        <f t="shared" si="239"/>
        <v>0</v>
      </c>
      <c r="AH494" s="163">
        <f t="shared" si="239"/>
        <v>0</v>
      </c>
      <c r="AI494" s="163">
        <f t="shared" si="239"/>
        <v>0</v>
      </c>
      <c r="AJ494" s="163">
        <f t="shared" si="239"/>
        <v>0</v>
      </c>
      <c r="AK494" s="163">
        <f t="shared" si="239"/>
        <v>0</v>
      </c>
      <c r="AL494" s="163">
        <f t="shared" si="239"/>
        <v>0</v>
      </c>
      <c r="AM494" s="163">
        <f t="shared" si="239"/>
        <v>0</v>
      </c>
      <c r="AN494" s="163">
        <f t="shared" si="239"/>
        <v>0</v>
      </c>
      <c r="AO494" s="163">
        <f t="shared" si="239"/>
        <v>0</v>
      </c>
      <c r="AP494" s="163">
        <f t="shared" si="239"/>
        <v>0</v>
      </c>
    </row>
    <row r="495" spans="1:42" x14ac:dyDescent="0.2">
      <c r="A495" s="4">
        <f t="shared" si="238"/>
        <v>4</v>
      </c>
      <c r="C495" s="163">
        <f t="shared" ref="C495:AP495" si="240">C358</f>
        <v>0</v>
      </c>
      <c r="D495" s="163">
        <f t="shared" si="240"/>
        <v>0</v>
      </c>
      <c r="E495" s="163">
        <f t="shared" si="240"/>
        <v>0</v>
      </c>
      <c r="F495" s="163">
        <f t="shared" si="240"/>
        <v>0</v>
      </c>
      <c r="G495" s="163">
        <f t="shared" si="240"/>
        <v>0</v>
      </c>
      <c r="H495" s="163">
        <f t="shared" si="240"/>
        <v>0</v>
      </c>
      <c r="I495" s="163">
        <f t="shared" si="240"/>
        <v>0</v>
      </c>
      <c r="J495" s="163">
        <f t="shared" si="240"/>
        <v>0</v>
      </c>
      <c r="K495" s="163">
        <f t="shared" si="240"/>
        <v>0</v>
      </c>
      <c r="L495" s="163">
        <f t="shared" si="240"/>
        <v>0</v>
      </c>
      <c r="M495" s="163">
        <f t="shared" si="240"/>
        <v>0</v>
      </c>
      <c r="N495" s="163">
        <f t="shared" si="240"/>
        <v>0</v>
      </c>
      <c r="O495" s="163">
        <f t="shared" si="240"/>
        <v>0</v>
      </c>
      <c r="P495" s="163">
        <f t="shared" si="240"/>
        <v>0</v>
      </c>
      <c r="Q495" s="163">
        <f t="shared" si="240"/>
        <v>0</v>
      </c>
      <c r="R495" s="163">
        <f t="shared" si="240"/>
        <v>0</v>
      </c>
      <c r="S495" s="163">
        <f t="shared" si="240"/>
        <v>0</v>
      </c>
      <c r="T495" s="163">
        <f t="shared" si="240"/>
        <v>0</v>
      </c>
      <c r="U495" s="163">
        <f t="shared" si="240"/>
        <v>0</v>
      </c>
      <c r="V495" s="163">
        <f t="shared" si="240"/>
        <v>0</v>
      </c>
      <c r="W495" s="163">
        <f t="shared" si="240"/>
        <v>0</v>
      </c>
      <c r="X495" s="163">
        <f t="shared" si="240"/>
        <v>0</v>
      </c>
      <c r="Y495" s="163">
        <f t="shared" si="240"/>
        <v>0</v>
      </c>
      <c r="Z495" s="163">
        <f t="shared" si="240"/>
        <v>0</v>
      </c>
      <c r="AA495" s="163">
        <f t="shared" si="240"/>
        <v>0</v>
      </c>
      <c r="AB495" s="163">
        <f t="shared" si="240"/>
        <v>0</v>
      </c>
      <c r="AC495" s="163">
        <f t="shared" si="240"/>
        <v>0</v>
      </c>
      <c r="AD495" s="163">
        <f t="shared" si="240"/>
        <v>0</v>
      </c>
      <c r="AE495" s="163">
        <f t="shared" si="240"/>
        <v>0</v>
      </c>
      <c r="AF495" s="163">
        <f t="shared" si="240"/>
        <v>0</v>
      </c>
      <c r="AG495" s="163">
        <f t="shared" si="240"/>
        <v>0</v>
      </c>
      <c r="AH495" s="163">
        <f t="shared" si="240"/>
        <v>0</v>
      </c>
      <c r="AI495" s="163">
        <f t="shared" si="240"/>
        <v>0</v>
      </c>
      <c r="AJ495" s="163">
        <f t="shared" si="240"/>
        <v>0</v>
      </c>
      <c r="AK495" s="163">
        <f t="shared" si="240"/>
        <v>0</v>
      </c>
      <c r="AL495" s="163">
        <f t="shared" si="240"/>
        <v>0</v>
      </c>
      <c r="AM495" s="163">
        <f t="shared" si="240"/>
        <v>0</v>
      </c>
      <c r="AN495" s="163">
        <f t="shared" si="240"/>
        <v>0</v>
      </c>
      <c r="AO495" s="163">
        <f t="shared" si="240"/>
        <v>0</v>
      </c>
      <c r="AP495" s="163">
        <f t="shared" si="240"/>
        <v>0</v>
      </c>
    </row>
    <row r="496" spans="1:42" x14ac:dyDescent="0.2">
      <c r="A496" s="4">
        <f t="shared" si="238"/>
        <v>5</v>
      </c>
      <c r="C496" s="163">
        <f t="shared" ref="C496:AP496" si="241">C359</f>
        <v>0</v>
      </c>
      <c r="D496" s="163">
        <f t="shared" si="241"/>
        <v>0</v>
      </c>
      <c r="E496" s="163">
        <f t="shared" si="241"/>
        <v>0</v>
      </c>
      <c r="F496" s="163">
        <f t="shared" si="241"/>
        <v>0</v>
      </c>
      <c r="G496" s="163">
        <f t="shared" si="241"/>
        <v>0</v>
      </c>
      <c r="H496" s="163">
        <f t="shared" si="241"/>
        <v>0</v>
      </c>
      <c r="I496" s="163">
        <f t="shared" si="241"/>
        <v>0</v>
      </c>
      <c r="J496" s="163">
        <f t="shared" si="241"/>
        <v>0</v>
      </c>
      <c r="K496" s="163">
        <f t="shared" si="241"/>
        <v>0</v>
      </c>
      <c r="L496" s="163">
        <f t="shared" si="241"/>
        <v>0</v>
      </c>
      <c r="M496" s="163">
        <f t="shared" si="241"/>
        <v>0</v>
      </c>
      <c r="N496" s="163">
        <f t="shared" si="241"/>
        <v>0</v>
      </c>
      <c r="O496" s="163">
        <f t="shared" si="241"/>
        <v>0</v>
      </c>
      <c r="P496" s="163">
        <f t="shared" si="241"/>
        <v>0</v>
      </c>
      <c r="Q496" s="163">
        <f t="shared" si="241"/>
        <v>0</v>
      </c>
      <c r="R496" s="163">
        <f t="shared" si="241"/>
        <v>0</v>
      </c>
      <c r="S496" s="163">
        <f t="shared" si="241"/>
        <v>0</v>
      </c>
      <c r="T496" s="163">
        <f t="shared" si="241"/>
        <v>0</v>
      </c>
      <c r="U496" s="163">
        <f t="shared" si="241"/>
        <v>0</v>
      </c>
      <c r="V496" s="163">
        <f t="shared" si="241"/>
        <v>0</v>
      </c>
      <c r="W496" s="163">
        <f t="shared" si="241"/>
        <v>0</v>
      </c>
      <c r="X496" s="163">
        <f t="shared" si="241"/>
        <v>0</v>
      </c>
      <c r="Y496" s="163">
        <f t="shared" si="241"/>
        <v>0</v>
      </c>
      <c r="Z496" s="163">
        <f t="shared" si="241"/>
        <v>0</v>
      </c>
      <c r="AA496" s="163">
        <f t="shared" si="241"/>
        <v>0</v>
      </c>
      <c r="AB496" s="163">
        <f t="shared" si="241"/>
        <v>0</v>
      </c>
      <c r="AC496" s="163">
        <f t="shared" si="241"/>
        <v>0</v>
      </c>
      <c r="AD496" s="163">
        <f t="shared" si="241"/>
        <v>0</v>
      </c>
      <c r="AE496" s="163">
        <f t="shared" si="241"/>
        <v>0</v>
      </c>
      <c r="AF496" s="163">
        <f t="shared" si="241"/>
        <v>0</v>
      </c>
      <c r="AG496" s="163">
        <f t="shared" si="241"/>
        <v>0</v>
      </c>
      <c r="AH496" s="163">
        <f t="shared" si="241"/>
        <v>0</v>
      </c>
      <c r="AI496" s="163">
        <f t="shared" si="241"/>
        <v>0</v>
      </c>
      <c r="AJ496" s="163">
        <f t="shared" si="241"/>
        <v>0</v>
      </c>
      <c r="AK496" s="163">
        <f t="shared" si="241"/>
        <v>0</v>
      </c>
      <c r="AL496" s="163">
        <f t="shared" si="241"/>
        <v>0</v>
      </c>
      <c r="AM496" s="163">
        <f t="shared" si="241"/>
        <v>0</v>
      </c>
      <c r="AN496" s="163">
        <f t="shared" si="241"/>
        <v>0</v>
      </c>
      <c r="AO496" s="163">
        <f t="shared" si="241"/>
        <v>0</v>
      </c>
      <c r="AP496" s="163">
        <f t="shared" si="241"/>
        <v>0</v>
      </c>
    </row>
    <row r="497" spans="1:42" x14ac:dyDescent="0.2">
      <c r="A497" s="4">
        <f t="shared" si="238"/>
        <v>6</v>
      </c>
      <c r="C497" s="163">
        <f t="shared" ref="C497:AP497" si="242">C360</f>
        <v>0</v>
      </c>
      <c r="D497" s="163">
        <f t="shared" si="242"/>
        <v>0</v>
      </c>
      <c r="E497" s="163">
        <f t="shared" si="242"/>
        <v>0</v>
      </c>
      <c r="F497" s="163">
        <f t="shared" si="242"/>
        <v>0</v>
      </c>
      <c r="G497" s="163">
        <f t="shared" si="242"/>
        <v>0</v>
      </c>
      <c r="H497" s="163">
        <f t="shared" si="242"/>
        <v>0</v>
      </c>
      <c r="I497" s="163">
        <f t="shared" si="242"/>
        <v>0</v>
      </c>
      <c r="J497" s="163">
        <f t="shared" si="242"/>
        <v>0</v>
      </c>
      <c r="K497" s="163">
        <f t="shared" si="242"/>
        <v>0</v>
      </c>
      <c r="L497" s="163">
        <f t="shared" si="242"/>
        <v>0</v>
      </c>
      <c r="M497" s="163">
        <f t="shared" si="242"/>
        <v>0</v>
      </c>
      <c r="N497" s="163">
        <f t="shared" si="242"/>
        <v>0</v>
      </c>
      <c r="O497" s="163">
        <f t="shared" si="242"/>
        <v>0</v>
      </c>
      <c r="P497" s="163">
        <f t="shared" si="242"/>
        <v>0</v>
      </c>
      <c r="Q497" s="163">
        <f t="shared" si="242"/>
        <v>0</v>
      </c>
      <c r="R497" s="163">
        <f t="shared" si="242"/>
        <v>0</v>
      </c>
      <c r="S497" s="163">
        <f t="shared" si="242"/>
        <v>0</v>
      </c>
      <c r="T497" s="163">
        <f t="shared" si="242"/>
        <v>0</v>
      </c>
      <c r="U497" s="163">
        <f t="shared" si="242"/>
        <v>0</v>
      </c>
      <c r="V497" s="163">
        <f t="shared" si="242"/>
        <v>0</v>
      </c>
      <c r="W497" s="163">
        <f t="shared" si="242"/>
        <v>0</v>
      </c>
      <c r="X497" s="163">
        <f t="shared" si="242"/>
        <v>0</v>
      </c>
      <c r="Y497" s="163">
        <f t="shared" si="242"/>
        <v>0</v>
      </c>
      <c r="Z497" s="163">
        <f t="shared" si="242"/>
        <v>0</v>
      </c>
      <c r="AA497" s="163">
        <f t="shared" si="242"/>
        <v>0</v>
      </c>
      <c r="AB497" s="163">
        <f t="shared" si="242"/>
        <v>0</v>
      </c>
      <c r="AC497" s="163">
        <f t="shared" si="242"/>
        <v>0</v>
      </c>
      <c r="AD497" s="163">
        <f t="shared" si="242"/>
        <v>0</v>
      </c>
      <c r="AE497" s="163">
        <f t="shared" si="242"/>
        <v>0</v>
      </c>
      <c r="AF497" s="163">
        <f t="shared" si="242"/>
        <v>0</v>
      </c>
      <c r="AG497" s="163">
        <f t="shared" si="242"/>
        <v>0</v>
      </c>
      <c r="AH497" s="163">
        <f t="shared" si="242"/>
        <v>0</v>
      </c>
      <c r="AI497" s="163">
        <f t="shared" si="242"/>
        <v>0</v>
      </c>
      <c r="AJ497" s="163">
        <f t="shared" si="242"/>
        <v>0</v>
      </c>
      <c r="AK497" s="163">
        <f t="shared" si="242"/>
        <v>0</v>
      </c>
      <c r="AL497" s="163">
        <f t="shared" si="242"/>
        <v>0</v>
      </c>
      <c r="AM497" s="163">
        <f t="shared" si="242"/>
        <v>0</v>
      </c>
      <c r="AN497" s="163">
        <f t="shared" si="242"/>
        <v>0</v>
      </c>
      <c r="AO497" s="163">
        <f t="shared" si="242"/>
        <v>0</v>
      </c>
      <c r="AP497" s="163">
        <f t="shared" si="242"/>
        <v>0</v>
      </c>
    </row>
    <row r="498" spans="1:42" x14ac:dyDescent="0.2">
      <c r="A498" s="4">
        <f t="shared" si="238"/>
        <v>7</v>
      </c>
      <c r="C498" s="163">
        <f t="shared" ref="C498:AP498" si="243">C361</f>
        <v>0</v>
      </c>
      <c r="D498" s="163">
        <f t="shared" si="243"/>
        <v>0</v>
      </c>
      <c r="E498" s="163">
        <f t="shared" si="243"/>
        <v>0</v>
      </c>
      <c r="F498" s="163">
        <f t="shared" si="243"/>
        <v>0</v>
      </c>
      <c r="G498" s="163">
        <f t="shared" si="243"/>
        <v>0</v>
      </c>
      <c r="H498" s="163">
        <f t="shared" si="243"/>
        <v>0</v>
      </c>
      <c r="I498" s="163">
        <f t="shared" si="243"/>
        <v>0</v>
      </c>
      <c r="J498" s="163">
        <f t="shared" si="243"/>
        <v>0</v>
      </c>
      <c r="K498" s="163">
        <f t="shared" si="243"/>
        <v>0</v>
      </c>
      <c r="L498" s="163">
        <f t="shared" si="243"/>
        <v>0</v>
      </c>
      <c r="M498" s="163">
        <f t="shared" si="243"/>
        <v>0</v>
      </c>
      <c r="N498" s="163">
        <f t="shared" si="243"/>
        <v>0</v>
      </c>
      <c r="O498" s="163">
        <f t="shared" si="243"/>
        <v>0</v>
      </c>
      <c r="P498" s="163">
        <f t="shared" si="243"/>
        <v>0</v>
      </c>
      <c r="Q498" s="163">
        <f t="shared" si="243"/>
        <v>0</v>
      </c>
      <c r="R498" s="163">
        <f t="shared" si="243"/>
        <v>0</v>
      </c>
      <c r="S498" s="163">
        <f t="shared" si="243"/>
        <v>0</v>
      </c>
      <c r="T498" s="163">
        <f t="shared" si="243"/>
        <v>0</v>
      </c>
      <c r="U498" s="163">
        <f t="shared" si="243"/>
        <v>0</v>
      </c>
      <c r="V498" s="163">
        <f t="shared" si="243"/>
        <v>0</v>
      </c>
      <c r="W498" s="163">
        <f t="shared" si="243"/>
        <v>0</v>
      </c>
      <c r="X498" s="163">
        <f t="shared" si="243"/>
        <v>0</v>
      </c>
      <c r="Y498" s="163">
        <f t="shared" si="243"/>
        <v>0</v>
      </c>
      <c r="Z498" s="163">
        <f t="shared" si="243"/>
        <v>0</v>
      </c>
      <c r="AA498" s="163">
        <f t="shared" si="243"/>
        <v>0</v>
      </c>
      <c r="AB498" s="163">
        <f t="shared" si="243"/>
        <v>0</v>
      </c>
      <c r="AC498" s="163">
        <f t="shared" si="243"/>
        <v>0</v>
      </c>
      <c r="AD498" s="163">
        <f t="shared" si="243"/>
        <v>0</v>
      </c>
      <c r="AE498" s="163">
        <f t="shared" si="243"/>
        <v>0</v>
      </c>
      <c r="AF498" s="163">
        <f t="shared" si="243"/>
        <v>0</v>
      </c>
      <c r="AG498" s="163">
        <f t="shared" si="243"/>
        <v>0</v>
      </c>
      <c r="AH498" s="163">
        <f t="shared" si="243"/>
        <v>0</v>
      </c>
      <c r="AI498" s="163">
        <f t="shared" si="243"/>
        <v>0</v>
      </c>
      <c r="AJ498" s="163">
        <f t="shared" si="243"/>
        <v>0</v>
      </c>
      <c r="AK498" s="163">
        <f t="shared" si="243"/>
        <v>0</v>
      </c>
      <c r="AL498" s="163">
        <f t="shared" si="243"/>
        <v>0</v>
      </c>
      <c r="AM498" s="163">
        <f t="shared" si="243"/>
        <v>0</v>
      </c>
      <c r="AN498" s="163">
        <f t="shared" si="243"/>
        <v>0</v>
      </c>
      <c r="AO498" s="163">
        <f t="shared" si="243"/>
        <v>0</v>
      </c>
      <c r="AP498" s="163">
        <f t="shared" si="243"/>
        <v>0</v>
      </c>
    </row>
    <row r="499" spans="1:42" x14ac:dyDescent="0.2">
      <c r="A499" s="4">
        <f t="shared" si="238"/>
        <v>8</v>
      </c>
      <c r="C499" s="163">
        <f t="shared" ref="C499:AP499" si="244">C362</f>
        <v>0</v>
      </c>
      <c r="D499" s="163">
        <f t="shared" si="244"/>
        <v>0</v>
      </c>
      <c r="E499" s="163">
        <f t="shared" si="244"/>
        <v>0</v>
      </c>
      <c r="F499" s="163">
        <f t="shared" si="244"/>
        <v>0</v>
      </c>
      <c r="G499" s="163">
        <f t="shared" si="244"/>
        <v>0</v>
      </c>
      <c r="H499" s="163">
        <f t="shared" si="244"/>
        <v>0</v>
      </c>
      <c r="I499" s="163">
        <f t="shared" si="244"/>
        <v>0</v>
      </c>
      <c r="J499" s="163">
        <f t="shared" si="244"/>
        <v>0</v>
      </c>
      <c r="K499" s="163">
        <f t="shared" si="244"/>
        <v>0</v>
      </c>
      <c r="L499" s="163">
        <f t="shared" si="244"/>
        <v>0</v>
      </c>
      <c r="M499" s="163">
        <f t="shared" si="244"/>
        <v>0</v>
      </c>
      <c r="N499" s="163">
        <f t="shared" si="244"/>
        <v>0</v>
      </c>
      <c r="O499" s="163">
        <f t="shared" si="244"/>
        <v>0</v>
      </c>
      <c r="P499" s="163">
        <f t="shared" si="244"/>
        <v>0</v>
      </c>
      <c r="Q499" s="163">
        <f t="shared" si="244"/>
        <v>0</v>
      </c>
      <c r="R499" s="163">
        <f t="shared" si="244"/>
        <v>0</v>
      </c>
      <c r="S499" s="163">
        <f t="shared" si="244"/>
        <v>0</v>
      </c>
      <c r="T499" s="163">
        <f t="shared" si="244"/>
        <v>0</v>
      </c>
      <c r="U499" s="163">
        <f t="shared" si="244"/>
        <v>0</v>
      </c>
      <c r="V499" s="163">
        <f t="shared" si="244"/>
        <v>0</v>
      </c>
      <c r="W499" s="163">
        <f t="shared" si="244"/>
        <v>0</v>
      </c>
      <c r="X499" s="163">
        <f t="shared" si="244"/>
        <v>0</v>
      </c>
      <c r="Y499" s="163">
        <f t="shared" si="244"/>
        <v>0</v>
      </c>
      <c r="Z499" s="163">
        <f t="shared" si="244"/>
        <v>0</v>
      </c>
      <c r="AA499" s="163">
        <f t="shared" si="244"/>
        <v>0</v>
      </c>
      <c r="AB499" s="163">
        <f t="shared" si="244"/>
        <v>0</v>
      </c>
      <c r="AC499" s="163">
        <f t="shared" si="244"/>
        <v>0</v>
      </c>
      <c r="AD499" s="163">
        <f t="shared" si="244"/>
        <v>0</v>
      </c>
      <c r="AE499" s="163">
        <f t="shared" si="244"/>
        <v>0</v>
      </c>
      <c r="AF499" s="163">
        <f t="shared" si="244"/>
        <v>0</v>
      </c>
      <c r="AG499" s="163">
        <f t="shared" si="244"/>
        <v>0</v>
      </c>
      <c r="AH499" s="163">
        <f t="shared" si="244"/>
        <v>0</v>
      </c>
      <c r="AI499" s="163">
        <f t="shared" si="244"/>
        <v>0</v>
      </c>
      <c r="AJ499" s="163">
        <f t="shared" si="244"/>
        <v>0</v>
      </c>
      <c r="AK499" s="163">
        <f t="shared" si="244"/>
        <v>0</v>
      </c>
      <c r="AL499" s="163">
        <f t="shared" si="244"/>
        <v>0</v>
      </c>
      <c r="AM499" s="163">
        <f t="shared" si="244"/>
        <v>0</v>
      </c>
      <c r="AN499" s="163">
        <f t="shared" si="244"/>
        <v>0</v>
      </c>
      <c r="AO499" s="163">
        <f t="shared" si="244"/>
        <v>0</v>
      </c>
      <c r="AP499" s="163">
        <f t="shared" si="244"/>
        <v>0</v>
      </c>
    </row>
    <row r="500" spans="1:42" x14ac:dyDescent="0.2">
      <c r="A500" s="4">
        <f>A499+1</f>
        <v>9</v>
      </c>
      <c r="C500" s="163">
        <f t="shared" ref="C500:AP500" si="245">C363</f>
        <v>0</v>
      </c>
      <c r="D500" s="163">
        <f t="shared" si="245"/>
        <v>0</v>
      </c>
      <c r="E500" s="163">
        <f t="shared" si="245"/>
        <v>0</v>
      </c>
      <c r="F500" s="163">
        <f t="shared" si="245"/>
        <v>0</v>
      </c>
      <c r="G500" s="163">
        <f t="shared" si="245"/>
        <v>0</v>
      </c>
      <c r="H500" s="163">
        <f t="shared" si="245"/>
        <v>0</v>
      </c>
      <c r="I500" s="163">
        <f t="shared" si="245"/>
        <v>0</v>
      </c>
      <c r="J500" s="163">
        <f t="shared" si="245"/>
        <v>0</v>
      </c>
      <c r="K500" s="163">
        <f t="shared" si="245"/>
        <v>0</v>
      </c>
      <c r="L500" s="163">
        <f t="shared" si="245"/>
        <v>0</v>
      </c>
      <c r="M500" s="163">
        <f t="shared" si="245"/>
        <v>0</v>
      </c>
      <c r="N500" s="163">
        <f t="shared" si="245"/>
        <v>0</v>
      </c>
      <c r="O500" s="163">
        <f t="shared" si="245"/>
        <v>0</v>
      </c>
      <c r="P500" s="163">
        <f t="shared" si="245"/>
        <v>0</v>
      </c>
      <c r="Q500" s="163">
        <f t="shared" si="245"/>
        <v>0</v>
      </c>
      <c r="R500" s="163">
        <f t="shared" si="245"/>
        <v>0</v>
      </c>
      <c r="S500" s="163">
        <f t="shared" si="245"/>
        <v>0</v>
      </c>
      <c r="T500" s="163">
        <f t="shared" si="245"/>
        <v>0</v>
      </c>
      <c r="U500" s="163">
        <f t="shared" si="245"/>
        <v>0</v>
      </c>
      <c r="V500" s="163">
        <f t="shared" si="245"/>
        <v>0</v>
      </c>
      <c r="W500" s="163">
        <f t="shared" si="245"/>
        <v>0</v>
      </c>
      <c r="X500" s="163">
        <f t="shared" si="245"/>
        <v>0</v>
      </c>
      <c r="Y500" s="163">
        <f t="shared" si="245"/>
        <v>0</v>
      </c>
      <c r="Z500" s="163">
        <f t="shared" si="245"/>
        <v>0</v>
      </c>
      <c r="AA500" s="163">
        <f t="shared" si="245"/>
        <v>0</v>
      </c>
      <c r="AB500" s="163">
        <f t="shared" si="245"/>
        <v>0</v>
      </c>
      <c r="AC500" s="163">
        <f t="shared" si="245"/>
        <v>0</v>
      </c>
      <c r="AD500" s="163">
        <f t="shared" si="245"/>
        <v>0</v>
      </c>
      <c r="AE500" s="163">
        <f t="shared" si="245"/>
        <v>0</v>
      </c>
      <c r="AF500" s="163">
        <f t="shared" si="245"/>
        <v>0</v>
      </c>
      <c r="AG500" s="163">
        <f t="shared" si="245"/>
        <v>0</v>
      </c>
      <c r="AH500" s="163">
        <f t="shared" si="245"/>
        <v>0</v>
      </c>
      <c r="AI500" s="163">
        <f t="shared" si="245"/>
        <v>0</v>
      </c>
      <c r="AJ500" s="163">
        <f t="shared" si="245"/>
        <v>0</v>
      </c>
      <c r="AK500" s="163">
        <f t="shared" si="245"/>
        <v>0</v>
      </c>
      <c r="AL500" s="163">
        <f t="shared" si="245"/>
        <v>0</v>
      </c>
      <c r="AM500" s="163">
        <f t="shared" si="245"/>
        <v>0</v>
      </c>
      <c r="AN500" s="163">
        <f t="shared" si="245"/>
        <v>0</v>
      </c>
      <c r="AO500" s="163">
        <f t="shared" si="245"/>
        <v>0</v>
      </c>
      <c r="AP500" s="163">
        <f t="shared" si="245"/>
        <v>0</v>
      </c>
    </row>
    <row r="501" spans="1:42" x14ac:dyDescent="0.2">
      <c r="A501" s="4">
        <f t="shared" ref="A501" si="246">A500+1</f>
        <v>10</v>
      </c>
      <c r="C501" s="163">
        <f t="shared" ref="C501:AP501" si="247">C364</f>
        <v>0</v>
      </c>
      <c r="D501" s="163">
        <f t="shared" si="247"/>
        <v>0</v>
      </c>
      <c r="E501" s="163">
        <f t="shared" si="247"/>
        <v>0</v>
      </c>
      <c r="F501" s="163">
        <f t="shared" si="247"/>
        <v>0</v>
      </c>
      <c r="G501" s="163">
        <f t="shared" si="247"/>
        <v>0</v>
      </c>
      <c r="H501" s="163">
        <f t="shared" si="247"/>
        <v>0</v>
      </c>
      <c r="I501" s="163">
        <f t="shared" si="247"/>
        <v>0</v>
      </c>
      <c r="J501" s="163">
        <f t="shared" si="247"/>
        <v>0</v>
      </c>
      <c r="K501" s="163">
        <f t="shared" si="247"/>
        <v>0</v>
      </c>
      <c r="L501" s="163">
        <f t="shared" si="247"/>
        <v>0</v>
      </c>
      <c r="M501" s="163">
        <f t="shared" si="247"/>
        <v>0</v>
      </c>
      <c r="N501" s="163">
        <f t="shared" si="247"/>
        <v>0</v>
      </c>
      <c r="O501" s="163">
        <f t="shared" si="247"/>
        <v>0</v>
      </c>
      <c r="P501" s="163">
        <f t="shared" si="247"/>
        <v>0</v>
      </c>
      <c r="Q501" s="163">
        <f t="shared" si="247"/>
        <v>0</v>
      </c>
      <c r="R501" s="163">
        <f t="shared" si="247"/>
        <v>0</v>
      </c>
      <c r="S501" s="163">
        <f t="shared" si="247"/>
        <v>0</v>
      </c>
      <c r="T501" s="163">
        <f t="shared" si="247"/>
        <v>0</v>
      </c>
      <c r="U501" s="163">
        <f t="shared" si="247"/>
        <v>0</v>
      </c>
      <c r="V501" s="163">
        <f t="shared" si="247"/>
        <v>0</v>
      </c>
      <c r="W501" s="163">
        <f t="shared" si="247"/>
        <v>0</v>
      </c>
      <c r="X501" s="163">
        <f t="shared" si="247"/>
        <v>0</v>
      </c>
      <c r="Y501" s="163">
        <f t="shared" si="247"/>
        <v>0</v>
      </c>
      <c r="Z501" s="163">
        <f t="shared" si="247"/>
        <v>0</v>
      </c>
      <c r="AA501" s="163">
        <f t="shared" si="247"/>
        <v>0</v>
      </c>
      <c r="AB501" s="163">
        <f t="shared" si="247"/>
        <v>0</v>
      </c>
      <c r="AC501" s="163">
        <f t="shared" si="247"/>
        <v>0</v>
      </c>
      <c r="AD501" s="163">
        <f t="shared" si="247"/>
        <v>0</v>
      </c>
      <c r="AE501" s="163">
        <f t="shared" si="247"/>
        <v>0</v>
      </c>
      <c r="AF501" s="163">
        <f t="shared" si="247"/>
        <v>0</v>
      </c>
      <c r="AG501" s="163">
        <f t="shared" si="247"/>
        <v>0</v>
      </c>
      <c r="AH501" s="163">
        <f t="shared" si="247"/>
        <v>0</v>
      </c>
      <c r="AI501" s="163">
        <f t="shared" si="247"/>
        <v>0</v>
      </c>
      <c r="AJ501" s="163">
        <f t="shared" si="247"/>
        <v>0</v>
      </c>
      <c r="AK501" s="163">
        <f t="shared" si="247"/>
        <v>0</v>
      </c>
      <c r="AL501" s="163">
        <f t="shared" si="247"/>
        <v>0</v>
      </c>
      <c r="AM501" s="163">
        <f t="shared" si="247"/>
        <v>0</v>
      </c>
      <c r="AN501" s="163">
        <f t="shared" si="247"/>
        <v>0</v>
      </c>
      <c r="AO501" s="163">
        <f t="shared" si="247"/>
        <v>0</v>
      </c>
      <c r="AP501" s="163">
        <f t="shared" si="247"/>
        <v>0</v>
      </c>
    </row>
    <row r="502" spans="1:42" x14ac:dyDescent="0.2">
      <c r="A502" s="22"/>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5"/>
    </row>
    <row r="503" spans="1:42" x14ac:dyDescent="0.2">
      <c r="A503" s="22" t="s">
        <v>79</v>
      </c>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5"/>
    </row>
    <row r="504" spans="1:42" x14ac:dyDescent="0.2">
      <c r="A504" s="4">
        <v>1</v>
      </c>
      <c r="B504" s="178">
        <f t="shared" ref="B504:B513" si="248">SUM(C504:AP504)</f>
        <v>0</v>
      </c>
      <c r="C504" s="180">
        <f t="shared" ref="C504:AP504" si="249">LOOKUP(C492,$B$435:$AP$435,$B$436:$AP$436)*$B703/100</f>
        <v>0</v>
      </c>
      <c r="D504" s="180">
        <f t="shared" si="249"/>
        <v>0</v>
      </c>
      <c r="E504" s="180">
        <f t="shared" si="249"/>
        <v>0</v>
      </c>
      <c r="F504" s="180">
        <f t="shared" si="249"/>
        <v>0</v>
      </c>
      <c r="G504" s="180">
        <f t="shared" si="249"/>
        <v>0</v>
      </c>
      <c r="H504" s="180">
        <f t="shared" si="249"/>
        <v>0</v>
      </c>
      <c r="I504" s="180">
        <f t="shared" si="249"/>
        <v>0</v>
      </c>
      <c r="J504" s="180">
        <f t="shared" si="249"/>
        <v>0</v>
      </c>
      <c r="K504" s="180">
        <f t="shared" si="249"/>
        <v>0</v>
      </c>
      <c r="L504" s="180">
        <f t="shared" si="249"/>
        <v>0</v>
      </c>
      <c r="M504" s="180">
        <f t="shared" si="249"/>
        <v>0</v>
      </c>
      <c r="N504" s="180">
        <f t="shared" si="249"/>
        <v>0</v>
      </c>
      <c r="O504" s="180">
        <f t="shared" si="249"/>
        <v>0</v>
      </c>
      <c r="P504" s="180">
        <f t="shared" si="249"/>
        <v>0</v>
      </c>
      <c r="Q504" s="180">
        <f t="shared" si="249"/>
        <v>0</v>
      </c>
      <c r="R504" s="180">
        <f t="shared" si="249"/>
        <v>0</v>
      </c>
      <c r="S504" s="180">
        <f t="shared" si="249"/>
        <v>0</v>
      </c>
      <c r="T504" s="180">
        <f t="shared" si="249"/>
        <v>0</v>
      </c>
      <c r="U504" s="180">
        <f t="shared" si="249"/>
        <v>0</v>
      </c>
      <c r="V504" s="180">
        <f t="shared" si="249"/>
        <v>0</v>
      </c>
      <c r="W504" s="180">
        <f t="shared" si="249"/>
        <v>0</v>
      </c>
      <c r="X504" s="180">
        <f t="shared" si="249"/>
        <v>0</v>
      </c>
      <c r="Y504" s="180">
        <f t="shared" si="249"/>
        <v>0</v>
      </c>
      <c r="Z504" s="180">
        <f t="shared" si="249"/>
        <v>0</v>
      </c>
      <c r="AA504" s="180">
        <f t="shared" si="249"/>
        <v>0</v>
      </c>
      <c r="AB504" s="180">
        <f t="shared" si="249"/>
        <v>0</v>
      </c>
      <c r="AC504" s="180">
        <f t="shared" si="249"/>
        <v>0</v>
      </c>
      <c r="AD504" s="180">
        <f t="shared" si="249"/>
        <v>0</v>
      </c>
      <c r="AE504" s="180">
        <f t="shared" si="249"/>
        <v>0</v>
      </c>
      <c r="AF504" s="180">
        <f t="shared" si="249"/>
        <v>0</v>
      </c>
      <c r="AG504" s="180">
        <f t="shared" si="249"/>
        <v>0</v>
      </c>
      <c r="AH504" s="180">
        <f t="shared" si="249"/>
        <v>0</v>
      </c>
      <c r="AI504" s="180">
        <f t="shared" si="249"/>
        <v>0</v>
      </c>
      <c r="AJ504" s="180">
        <f t="shared" si="249"/>
        <v>0</v>
      </c>
      <c r="AK504" s="180">
        <f t="shared" si="249"/>
        <v>0</v>
      </c>
      <c r="AL504" s="180">
        <f t="shared" si="249"/>
        <v>0</v>
      </c>
      <c r="AM504" s="180">
        <f t="shared" si="249"/>
        <v>0</v>
      </c>
      <c r="AN504" s="180">
        <f t="shared" si="249"/>
        <v>0</v>
      </c>
      <c r="AO504" s="180">
        <f t="shared" si="249"/>
        <v>0</v>
      </c>
      <c r="AP504" s="180">
        <f t="shared" si="249"/>
        <v>0</v>
      </c>
    </row>
    <row r="505" spans="1:42" x14ac:dyDescent="0.2">
      <c r="A505" s="4">
        <f>A504+1</f>
        <v>2</v>
      </c>
      <c r="B505" s="178">
        <f t="shared" si="248"/>
        <v>0</v>
      </c>
      <c r="C505" s="180">
        <f t="shared" ref="C505:AP505" si="250">LOOKUP(C493,$B$435:$AP$435,$B$436:$AP$436)*$B704/100</f>
        <v>0</v>
      </c>
      <c r="D505" s="180">
        <f t="shared" si="250"/>
        <v>0</v>
      </c>
      <c r="E505" s="180">
        <f t="shared" si="250"/>
        <v>0</v>
      </c>
      <c r="F505" s="180">
        <f t="shared" si="250"/>
        <v>0</v>
      </c>
      <c r="G505" s="180">
        <f t="shared" si="250"/>
        <v>0</v>
      </c>
      <c r="H505" s="180">
        <f t="shared" si="250"/>
        <v>0</v>
      </c>
      <c r="I505" s="180">
        <f t="shared" si="250"/>
        <v>0</v>
      </c>
      <c r="J505" s="180">
        <f t="shared" si="250"/>
        <v>0</v>
      </c>
      <c r="K505" s="180">
        <f t="shared" si="250"/>
        <v>0</v>
      </c>
      <c r="L505" s="180">
        <f t="shared" si="250"/>
        <v>0</v>
      </c>
      <c r="M505" s="180">
        <f t="shared" si="250"/>
        <v>0</v>
      </c>
      <c r="N505" s="180">
        <f t="shared" si="250"/>
        <v>0</v>
      </c>
      <c r="O505" s="180">
        <f t="shared" si="250"/>
        <v>0</v>
      </c>
      <c r="P505" s="180">
        <f t="shared" si="250"/>
        <v>0</v>
      </c>
      <c r="Q505" s="180">
        <f t="shared" si="250"/>
        <v>0</v>
      </c>
      <c r="R505" s="180">
        <f t="shared" si="250"/>
        <v>0</v>
      </c>
      <c r="S505" s="180">
        <f t="shared" si="250"/>
        <v>0</v>
      </c>
      <c r="T505" s="180">
        <f t="shared" si="250"/>
        <v>0</v>
      </c>
      <c r="U505" s="180">
        <f t="shared" si="250"/>
        <v>0</v>
      </c>
      <c r="V505" s="180">
        <f t="shared" si="250"/>
        <v>0</v>
      </c>
      <c r="W505" s="180">
        <f t="shared" si="250"/>
        <v>0</v>
      </c>
      <c r="X505" s="180">
        <f t="shared" si="250"/>
        <v>0</v>
      </c>
      <c r="Y505" s="180">
        <f t="shared" si="250"/>
        <v>0</v>
      </c>
      <c r="Z505" s="180">
        <f t="shared" si="250"/>
        <v>0</v>
      </c>
      <c r="AA505" s="180">
        <f t="shared" si="250"/>
        <v>0</v>
      </c>
      <c r="AB505" s="180">
        <f t="shared" si="250"/>
        <v>0</v>
      </c>
      <c r="AC505" s="180">
        <f t="shared" si="250"/>
        <v>0</v>
      </c>
      <c r="AD505" s="180">
        <f t="shared" si="250"/>
        <v>0</v>
      </c>
      <c r="AE505" s="180">
        <f t="shared" si="250"/>
        <v>0</v>
      </c>
      <c r="AF505" s="180">
        <f t="shared" si="250"/>
        <v>0</v>
      </c>
      <c r="AG505" s="180">
        <f t="shared" si="250"/>
        <v>0</v>
      </c>
      <c r="AH505" s="180">
        <f t="shared" si="250"/>
        <v>0</v>
      </c>
      <c r="AI505" s="180">
        <f t="shared" si="250"/>
        <v>0</v>
      </c>
      <c r="AJ505" s="180">
        <f t="shared" si="250"/>
        <v>0</v>
      </c>
      <c r="AK505" s="180">
        <f t="shared" si="250"/>
        <v>0</v>
      </c>
      <c r="AL505" s="180">
        <f t="shared" si="250"/>
        <v>0</v>
      </c>
      <c r="AM505" s="180">
        <f t="shared" si="250"/>
        <v>0</v>
      </c>
      <c r="AN505" s="180">
        <f t="shared" si="250"/>
        <v>0</v>
      </c>
      <c r="AO505" s="180">
        <f t="shared" si="250"/>
        <v>0</v>
      </c>
      <c r="AP505" s="180">
        <f t="shared" si="250"/>
        <v>0</v>
      </c>
    </row>
    <row r="506" spans="1:42" x14ac:dyDescent="0.2">
      <c r="A506" s="4">
        <f t="shared" ref="A506:A511" si="251">A505+1</f>
        <v>3</v>
      </c>
      <c r="B506" s="178">
        <f t="shared" si="248"/>
        <v>0</v>
      </c>
      <c r="C506" s="180">
        <f t="shared" ref="C506:AP506" si="252">LOOKUP(C494,$B$435:$AP$435,$B$436:$AP$436)*$B705/100</f>
        <v>0</v>
      </c>
      <c r="D506" s="180">
        <f t="shared" si="252"/>
        <v>0</v>
      </c>
      <c r="E506" s="180">
        <f t="shared" si="252"/>
        <v>0</v>
      </c>
      <c r="F506" s="180">
        <f t="shared" si="252"/>
        <v>0</v>
      </c>
      <c r="G506" s="180">
        <f t="shared" si="252"/>
        <v>0</v>
      </c>
      <c r="H506" s="180">
        <f t="shared" si="252"/>
        <v>0</v>
      </c>
      <c r="I506" s="180">
        <f t="shared" si="252"/>
        <v>0</v>
      </c>
      <c r="J506" s="180">
        <f t="shared" si="252"/>
        <v>0</v>
      </c>
      <c r="K506" s="180">
        <f t="shared" si="252"/>
        <v>0</v>
      </c>
      <c r="L506" s="180">
        <f t="shared" si="252"/>
        <v>0</v>
      </c>
      <c r="M506" s="180">
        <f t="shared" si="252"/>
        <v>0</v>
      </c>
      <c r="N506" s="180">
        <f t="shared" si="252"/>
        <v>0</v>
      </c>
      <c r="O506" s="180">
        <f t="shared" si="252"/>
        <v>0</v>
      </c>
      <c r="P506" s="180">
        <f t="shared" si="252"/>
        <v>0</v>
      </c>
      <c r="Q506" s="180">
        <f t="shared" si="252"/>
        <v>0</v>
      </c>
      <c r="R506" s="180">
        <f t="shared" si="252"/>
        <v>0</v>
      </c>
      <c r="S506" s="180">
        <f t="shared" si="252"/>
        <v>0</v>
      </c>
      <c r="T506" s="180">
        <f t="shared" si="252"/>
        <v>0</v>
      </c>
      <c r="U506" s="180">
        <f t="shared" si="252"/>
        <v>0</v>
      </c>
      <c r="V506" s="180">
        <f t="shared" si="252"/>
        <v>0</v>
      </c>
      <c r="W506" s="180">
        <f t="shared" si="252"/>
        <v>0</v>
      </c>
      <c r="X506" s="180">
        <f t="shared" si="252"/>
        <v>0</v>
      </c>
      <c r="Y506" s="180">
        <f t="shared" si="252"/>
        <v>0</v>
      </c>
      <c r="Z506" s="180">
        <f t="shared" si="252"/>
        <v>0</v>
      </c>
      <c r="AA506" s="180">
        <f t="shared" si="252"/>
        <v>0</v>
      </c>
      <c r="AB506" s="180">
        <f t="shared" si="252"/>
        <v>0</v>
      </c>
      <c r="AC506" s="180">
        <f t="shared" si="252"/>
        <v>0</v>
      </c>
      <c r="AD506" s="180">
        <f t="shared" si="252"/>
        <v>0</v>
      </c>
      <c r="AE506" s="180">
        <f t="shared" si="252"/>
        <v>0</v>
      </c>
      <c r="AF506" s="180">
        <f t="shared" si="252"/>
        <v>0</v>
      </c>
      <c r="AG506" s="180">
        <f t="shared" si="252"/>
        <v>0</v>
      </c>
      <c r="AH506" s="180">
        <f t="shared" si="252"/>
        <v>0</v>
      </c>
      <c r="AI506" s="180">
        <f t="shared" si="252"/>
        <v>0</v>
      </c>
      <c r="AJ506" s="180">
        <f t="shared" si="252"/>
        <v>0</v>
      </c>
      <c r="AK506" s="180">
        <f t="shared" si="252"/>
        <v>0</v>
      </c>
      <c r="AL506" s="180">
        <f t="shared" si="252"/>
        <v>0</v>
      </c>
      <c r="AM506" s="180">
        <f t="shared" si="252"/>
        <v>0</v>
      </c>
      <c r="AN506" s="180">
        <f t="shared" si="252"/>
        <v>0</v>
      </c>
      <c r="AO506" s="180">
        <f t="shared" si="252"/>
        <v>0</v>
      </c>
      <c r="AP506" s="180">
        <f t="shared" si="252"/>
        <v>0</v>
      </c>
    </row>
    <row r="507" spans="1:42" x14ac:dyDescent="0.2">
      <c r="A507" s="4">
        <f t="shared" si="251"/>
        <v>4</v>
      </c>
      <c r="B507" s="178">
        <f t="shared" si="248"/>
        <v>0</v>
      </c>
      <c r="C507" s="180">
        <f t="shared" ref="C507:AP507" si="253">LOOKUP(C495,$B$435:$AP$435,$B$436:$AP$436)*$B706/100</f>
        <v>0</v>
      </c>
      <c r="D507" s="180">
        <f t="shared" si="253"/>
        <v>0</v>
      </c>
      <c r="E507" s="180">
        <f t="shared" si="253"/>
        <v>0</v>
      </c>
      <c r="F507" s="180">
        <f t="shared" si="253"/>
        <v>0</v>
      </c>
      <c r="G507" s="180">
        <f t="shared" si="253"/>
        <v>0</v>
      </c>
      <c r="H507" s="180">
        <f t="shared" si="253"/>
        <v>0</v>
      </c>
      <c r="I507" s="180">
        <f t="shared" si="253"/>
        <v>0</v>
      </c>
      <c r="J507" s="180">
        <f t="shared" si="253"/>
        <v>0</v>
      </c>
      <c r="K507" s="180">
        <f t="shared" si="253"/>
        <v>0</v>
      </c>
      <c r="L507" s="180">
        <f t="shared" si="253"/>
        <v>0</v>
      </c>
      <c r="M507" s="180">
        <f t="shared" si="253"/>
        <v>0</v>
      </c>
      <c r="N507" s="180">
        <f t="shared" si="253"/>
        <v>0</v>
      </c>
      <c r="O507" s="180">
        <f t="shared" si="253"/>
        <v>0</v>
      </c>
      <c r="P507" s="180">
        <f t="shared" si="253"/>
        <v>0</v>
      </c>
      <c r="Q507" s="180">
        <f t="shared" si="253"/>
        <v>0</v>
      </c>
      <c r="R507" s="180">
        <f t="shared" si="253"/>
        <v>0</v>
      </c>
      <c r="S507" s="180">
        <f t="shared" si="253"/>
        <v>0</v>
      </c>
      <c r="T507" s="180">
        <f t="shared" si="253"/>
        <v>0</v>
      </c>
      <c r="U507" s="180">
        <f t="shared" si="253"/>
        <v>0</v>
      </c>
      <c r="V507" s="180">
        <f t="shared" si="253"/>
        <v>0</v>
      </c>
      <c r="W507" s="180">
        <f t="shared" si="253"/>
        <v>0</v>
      </c>
      <c r="X507" s="180">
        <f t="shared" si="253"/>
        <v>0</v>
      </c>
      <c r="Y507" s="180">
        <f t="shared" si="253"/>
        <v>0</v>
      </c>
      <c r="Z507" s="180">
        <f t="shared" si="253"/>
        <v>0</v>
      </c>
      <c r="AA507" s="180">
        <f t="shared" si="253"/>
        <v>0</v>
      </c>
      <c r="AB507" s="180">
        <f t="shared" si="253"/>
        <v>0</v>
      </c>
      <c r="AC507" s="180">
        <f t="shared" si="253"/>
        <v>0</v>
      </c>
      <c r="AD507" s="180">
        <f t="shared" si="253"/>
        <v>0</v>
      </c>
      <c r="AE507" s="180">
        <f t="shared" si="253"/>
        <v>0</v>
      </c>
      <c r="AF507" s="180">
        <f t="shared" si="253"/>
        <v>0</v>
      </c>
      <c r="AG507" s="180">
        <f t="shared" si="253"/>
        <v>0</v>
      </c>
      <c r="AH507" s="180">
        <f t="shared" si="253"/>
        <v>0</v>
      </c>
      <c r="AI507" s="180">
        <f t="shared" si="253"/>
        <v>0</v>
      </c>
      <c r="AJ507" s="180">
        <f t="shared" si="253"/>
        <v>0</v>
      </c>
      <c r="AK507" s="180">
        <f t="shared" si="253"/>
        <v>0</v>
      </c>
      <c r="AL507" s="180">
        <f t="shared" si="253"/>
        <v>0</v>
      </c>
      <c r="AM507" s="180">
        <f t="shared" si="253"/>
        <v>0</v>
      </c>
      <c r="AN507" s="180">
        <f t="shared" si="253"/>
        <v>0</v>
      </c>
      <c r="AO507" s="180">
        <f t="shared" si="253"/>
        <v>0</v>
      </c>
      <c r="AP507" s="180">
        <f t="shared" si="253"/>
        <v>0</v>
      </c>
    </row>
    <row r="508" spans="1:42" x14ac:dyDescent="0.2">
      <c r="A508" s="4">
        <f t="shared" si="251"/>
        <v>5</v>
      </c>
      <c r="B508" s="178">
        <f t="shared" si="248"/>
        <v>0</v>
      </c>
      <c r="C508" s="180">
        <f t="shared" ref="C508:AP508" si="254">LOOKUP(C496,$B$435:$AP$435,$B$436:$AP$436)*$B707/100</f>
        <v>0</v>
      </c>
      <c r="D508" s="180">
        <f t="shared" si="254"/>
        <v>0</v>
      </c>
      <c r="E508" s="180">
        <f t="shared" si="254"/>
        <v>0</v>
      </c>
      <c r="F508" s="180">
        <f t="shared" si="254"/>
        <v>0</v>
      </c>
      <c r="G508" s="180">
        <f t="shared" si="254"/>
        <v>0</v>
      </c>
      <c r="H508" s="180">
        <f t="shared" si="254"/>
        <v>0</v>
      </c>
      <c r="I508" s="180">
        <f t="shared" si="254"/>
        <v>0</v>
      </c>
      <c r="J508" s="180">
        <f t="shared" si="254"/>
        <v>0</v>
      </c>
      <c r="K508" s="180">
        <f t="shared" si="254"/>
        <v>0</v>
      </c>
      <c r="L508" s="180">
        <f t="shared" si="254"/>
        <v>0</v>
      </c>
      <c r="M508" s="180">
        <f t="shared" si="254"/>
        <v>0</v>
      </c>
      <c r="N508" s="180">
        <f t="shared" si="254"/>
        <v>0</v>
      </c>
      <c r="O508" s="180">
        <f t="shared" si="254"/>
        <v>0</v>
      </c>
      <c r="P508" s="180">
        <f t="shared" si="254"/>
        <v>0</v>
      </c>
      <c r="Q508" s="180">
        <f t="shared" si="254"/>
        <v>0</v>
      </c>
      <c r="R508" s="180">
        <f t="shared" si="254"/>
        <v>0</v>
      </c>
      <c r="S508" s="180">
        <f t="shared" si="254"/>
        <v>0</v>
      </c>
      <c r="T508" s="180">
        <f t="shared" si="254"/>
        <v>0</v>
      </c>
      <c r="U508" s="180">
        <f t="shared" si="254"/>
        <v>0</v>
      </c>
      <c r="V508" s="180">
        <f t="shared" si="254"/>
        <v>0</v>
      </c>
      <c r="W508" s="180">
        <f t="shared" si="254"/>
        <v>0</v>
      </c>
      <c r="X508" s="180">
        <f t="shared" si="254"/>
        <v>0</v>
      </c>
      <c r="Y508" s="180">
        <f t="shared" si="254"/>
        <v>0</v>
      </c>
      <c r="Z508" s="180">
        <f t="shared" si="254"/>
        <v>0</v>
      </c>
      <c r="AA508" s="180">
        <f t="shared" si="254"/>
        <v>0</v>
      </c>
      <c r="AB508" s="180">
        <f t="shared" si="254"/>
        <v>0</v>
      </c>
      <c r="AC508" s="180">
        <f t="shared" si="254"/>
        <v>0</v>
      </c>
      <c r="AD508" s="180">
        <f t="shared" si="254"/>
        <v>0</v>
      </c>
      <c r="AE508" s="180">
        <f t="shared" si="254"/>
        <v>0</v>
      </c>
      <c r="AF508" s="180">
        <f t="shared" si="254"/>
        <v>0</v>
      </c>
      <c r="AG508" s="180">
        <f t="shared" si="254"/>
        <v>0</v>
      </c>
      <c r="AH508" s="180">
        <f t="shared" si="254"/>
        <v>0</v>
      </c>
      <c r="AI508" s="180">
        <f t="shared" si="254"/>
        <v>0</v>
      </c>
      <c r="AJ508" s="180">
        <f t="shared" si="254"/>
        <v>0</v>
      </c>
      <c r="AK508" s="180">
        <f t="shared" si="254"/>
        <v>0</v>
      </c>
      <c r="AL508" s="180">
        <f t="shared" si="254"/>
        <v>0</v>
      </c>
      <c r="AM508" s="180">
        <f t="shared" si="254"/>
        <v>0</v>
      </c>
      <c r="AN508" s="180">
        <f t="shared" si="254"/>
        <v>0</v>
      </c>
      <c r="AO508" s="180">
        <f t="shared" si="254"/>
        <v>0</v>
      </c>
      <c r="AP508" s="180">
        <f t="shared" si="254"/>
        <v>0</v>
      </c>
    </row>
    <row r="509" spans="1:42" x14ac:dyDescent="0.2">
      <c r="A509" s="4">
        <f t="shared" si="251"/>
        <v>6</v>
      </c>
      <c r="B509" s="178">
        <f t="shared" si="248"/>
        <v>0</v>
      </c>
      <c r="C509" s="180">
        <f t="shared" ref="C509:AP509" si="255">LOOKUP(C497,$B$435:$AP$435,$B$436:$AP$436)*$B708/100</f>
        <v>0</v>
      </c>
      <c r="D509" s="180">
        <f t="shared" si="255"/>
        <v>0</v>
      </c>
      <c r="E509" s="180">
        <f t="shared" si="255"/>
        <v>0</v>
      </c>
      <c r="F509" s="180">
        <f t="shared" si="255"/>
        <v>0</v>
      </c>
      <c r="G509" s="180">
        <f t="shared" si="255"/>
        <v>0</v>
      </c>
      <c r="H509" s="180">
        <f t="shared" si="255"/>
        <v>0</v>
      </c>
      <c r="I509" s="180">
        <f t="shared" si="255"/>
        <v>0</v>
      </c>
      <c r="J509" s="180">
        <f t="shared" si="255"/>
        <v>0</v>
      </c>
      <c r="K509" s="180">
        <f t="shared" si="255"/>
        <v>0</v>
      </c>
      <c r="L509" s="180">
        <f t="shared" si="255"/>
        <v>0</v>
      </c>
      <c r="M509" s="180">
        <f t="shared" si="255"/>
        <v>0</v>
      </c>
      <c r="N509" s="180">
        <f t="shared" si="255"/>
        <v>0</v>
      </c>
      <c r="O509" s="180">
        <f t="shared" si="255"/>
        <v>0</v>
      </c>
      <c r="P509" s="180">
        <f t="shared" si="255"/>
        <v>0</v>
      </c>
      <c r="Q509" s="180">
        <f t="shared" si="255"/>
        <v>0</v>
      </c>
      <c r="R509" s="180">
        <f t="shared" si="255"/>
        <v>0</v>
      </c>
      <c r="S509" s="180">
        <f t="shared" si="255"/>
        <v>0</v>
      </c>
      <c r="T509" s="180">
        <f t="shared" si="255"/>
        <v>0</v>
      </c>
      <c r="U509" s="180">
        <f t="shared" si="255"/>
        <v>0</v>
      </c>
      <c r="V509" s="180">
        <f t="shared" si="255"/>
        <v>0</v>
      </c>
      <c r="W509" s="180">
        <f t="shared" si="255"/>
        <v>0</v>
      </c>
      <c r="X509" s="180">
        <f t="shared" si="255"/>
        <v>0</v>
      </c>
      <c r="Y509" s="180">
        <f t="shared" si="255"/>
        <v>0</v>
      </c>
      <c r="Z509" s="180">
        <f t="shared" si="255"/>
        <v>0</v>
      </c>
      <c r="AA509" s="180">
        <f t="shared" si="255"/>
        <v>0</v>
      </c>
      <c r="AB509" s="180">
        <f t="shared" si="255"/>
        <v>0</v>
      </c>
      <c r="AC509" s="180">
        <f t="shared" si="255"/>
        <v>0</v>
      </c>
      <c r="AD509" s="180">
        <f t="shared" si="255"/>
        <v>0</v>
      </c>
      <c r="AE509" s="180">
        <f t="shared" si="255"/>
        <v>0</v>
      </c>
      <c r="AF509" s="180">
        <f t="shared" si="255"/>
        <v>0</v>
      </c>
      <c r="AG509" s="180">
        <f t="shared" si="255"/>
        <v>0</v>
      </c>
      <c r="AH509" s="180">
        <f t="shared" si="255"/>
        <v>0</v>
      </c>
      <c r="AI509" s="180">
        <f t="shared" si="255"/>
        <v>0</v>
      </c>
      <c r="AJ509" s="180">
        <f t="shared" si="255"/>
        <v>0</v>
      </c>
      <c r="AK509" s="180">
        <f t="shared" si="255"/>
        <v>0</v>
      </c>
      <c r="AL509" s="180">
        <f t="shared" si="255"/>
        <v>0</v>
      </c>
      <c r="AM509" s="180">
        <f t="shared" si="255"/>
        <v>0</v>
      </c>
      <c r="AN509" s="180">
        <f t="shared" si="255"/>
        <v>0</v>
      </c>
      <c r="AO509" s="180">
        <f t="shared" si="255"/>
        <v>0</v>
      </c>
      <c r="AP509" s="180">
        <f t="shared" si="255"/>
        <v>0</v>
      </c>
    </row>
    <row r="510" spans="1:42" x14ac:dyDescent="0.2">
      <c r="A510" s="4">
        <f t="shared" si="251"/>
        <v>7</v>
      </c>
      <c r="B510" s="178">
        <f t="shared" si="248"/>
        <v>0</v>
      </c>
      <c r="C510" s="180">
        <f t="shared" ref="C510:AP510" si="256">LOOKUP(C498,$B$435:$AP$435,$B$436:$AP$436)*$B709/100</f>
        <v>0</v>
      </c>
      <c r="D510" s="180">
        <f t="shared" si="256"/>
        <v>0</v>
      </c>
      <c r="E510" s="180">
        <f t="shared" si="256"/>
        <v>0</v>
      </c>
      <c r="F510" s="180">
        <f t="shared" si="256"/>
        <v>0</v>
      </c>
      <c r="G510" s="180">
        <f t="shared" si="256"/>
        <v>0</v>
      </c>
      <c r="H510" s="180">
        <f t="shared" si="256"/>
        <v>0</v>
      </c>
      <c r="I510" s="180">
        <f t="shared" si="256"/>
        <v>0</v>
      </c>
      <c r="J510" s="180">
        <f t="shared" si="256"/>
        <v>0</v>
      </c>
      <c r="K510" s="180">
        <f t="shared" si="256"/>
        <v>0</v>
      </c>
      <c r="L510" s="180">
        <f t="shared" si="256"/>
        <v>0</v>
      </c>
      <c r="M510" s="180">
        <f t="shared" si="256"/>
        <v>0</v>
      </c>
      <c r="N510" s="180">
        <f t="shared" si="256"/>
        <v>0</v>
      </c>
      <c r="O510" s="180">
        <f t="shared" si="256"/>
        <v>0</v>
      </c>
      <c r="P510" s="180">
        <f t="shared" si="256"/>
        <v>0</v>
      </c>
      <c r="Q510" s="180">
        <f t="shared" si="256"/>
        <v>0</v>
      </c>
      <c r="R510" s="180">
        <f t="shared" si="256"/>
        <v>0</v>
      </c>
      <c r="S510" s="180">
        <f t="shared" si="256"/>
        <v>0</v>
      </c>
      <c r="T510" s="180">
        <f t="shared" si="256"/>
        <v>0</v>
      </c>
      <c r="U510" s="180">
        <f t="shared" si="256"/>
        <v>0</v>
      </c>
      <c r="V510" s="180">
        <f t="shared" si="256"/>
        <v>0</v>
      </c>
      <c r="W510" s="180">
        <f t="shared" si="256"/>
        <v>0</v>
      </c>
      <c r="X510" s="180">
        <f t="shared" si="256"/>
        <v>0</v>
      </c>
      <c r="Y510" s="180">
        <f t="shared" si="256"/>
        <v>0</v>
      </c>
      <c r="Z510" s="180">
        <f t="shared" si="256"/>
        <v>0</v>
      </c>
      <c r="AA510" s="180">
        <f t="shared" si="256"/>
        <v>0</v>
      </c>
      <c r="AB510" s="180">
        <f t="shared" si="256"/>
        <v>0</v>
      </c>
      <c r="AC510" s="180">
        <f t="shared" si="256"/>
        <v>0</v>
      </c>
      <c r="AD510" s="180">
        <f t="shared" si="256"/>
        <v>0</v>
      </c>
      <c r="AE510" s="180">
        <f t="shared" si="256"/>
        <v>0</v>
      </c>
      <c r="AF510" s="180">
        <f t="shared" si="256"/>
        <v>0</v>
      </c>
      <c r="AG510" s="180">
        <f t="shared" si="256"/>
        <v>0</v>
      </c>
      <c r="AH510" s="180">
        <f t="shared" si="256"/>
        <v>0</v>
      </c>
      <c r="AI510" s="180">
        <f t="shared" si="256"/>
        <v>0</v>
      </c>
      <c r="AJ510" s="180">
        <f t="shared" si="256"/>
        <v>0</v>
      </c>
      <c r="AK510" s="180">
        <f t="shared" si="256"/>
        <v>0</v>
      </c>
      <c r="AL510" s="180">
        <f t="shared" si="256"/>
        <v>0</v>
      </c>
      <c r="AM510" s="180">
        <f t="shared" si="256"/>
        <v>0</v>
      </c>
      <c r="AN510" s="180">
        <f t="shared" si="256"/>
        <v>0</v>
      </c>
      <c r="AO510" s="180">
        <f t="shared" si="256"/>
        <v>0</v>
      </c>
      <c r="AP510" s="180">
        <f t="shared" si="256"/>
        <v>0</v>
      </c>
    </row>
    <row r="511" spans="1:42" x14ac:dyDescent="0.2">
      <c r="A511" s="4">
        <f t="shared" si="251"/>
        <v>8</v>
      </c>
      <c r="B511" s="178">
        <f t="shared" si="248"/>
        <v>0</v>
      </c>
      <c r="C511" s="180">
        <f t="shared" ref="C511:AP511" si="257">LOOKUP(C499,$B$435:$AP$435,$B$436:$AP$436)*$B710/100</f>
        <v>0</v>
      </c>
      <c r="D511" s="180">
        <f t="shared" si="257"/>
        <v>0</v>
      </c>
      <c r="E511" s="180">
        <f t="shared" si="257"/>
        <v>0</v>
      </c>
      <c r="F511" s="180">
        <f t="shared" si="257"/>
        <v>0</v>
      </c>
      <c r="G511" s="180">
        <f t="shared" si="257"/>
        <v>0</v>
      </c>
      <c r="H511" s="180">
        <f t="shared" si="257"/>
        <v>0</v>
      </c>
      <c r="I511" s="180">
        <f t="shared" si="257"/>
        <v>0</v>
      </c>
      <c r="J511" s="180">
        <f t="shared" si="257"/>
        <v>0</v>
      </c>
      <c r="K511" s="180">
        <f t="shared" si="257"/>
        <v>0</v>
      </c>
      <c r="L511" s="180">
        <f t="shared" si="257"/>
        <v>0</v>
      </c>
      <c r="M511" s="180">
        <f t="shared" si="257"/>
        <v>0</v>
      </c>
      <c r="N511" s="180">
        <f t="shared" si="257"/>
        <v>0</v>
      </c>
      <c r="O511" s="180">
        <f t="shared" si="257"/>
        <v>0</v>
      </c>
      <c r="P511" s="180">
        <f t="shared" si="257"/>
        <v>0</v>
      </c>
      <c r="Q511" s="180">
        <f t="shared" si="257"/>
        <v>0</v>
      </c>
      <c r="R511" s="180">
        <f t="shared" si="257"/>
        <v>0</v>
      </c>
      <c r="S511" s="180">
        <f t="shared" si="257"/>
        <v>0</v>
      </c>
      <c r="T511" s="180">
        <f t="shared" si="257"/>
        <v>0</v>
      </c>
      <c r="U511" s="180">
        <f t="shared" si="257"/>
        <v>0</v>
      </c>
      <c r="V511" s="180">
        <f t="shared" si="257"/>
        <v>0</v>
      </c>
      <c r="W511" s="180">
        <f t="shared" si="257"/>
        <v>0</v>
      </c>
      <c r="X511" s="180">
        <f t="shared" si="257"/>
        <v>0</v>
      </c>
      <c r="Y511" s="180">
        <f t="shared" si="257"/>
        <v>0</v>
      </c>
      <c r="Z511" s="180">
        <f t="shared" si="257"/>
        <v>0</v>
      </c>
      <c r="AA511" s="180">
        <f t="shared" si="257"/>
        <v>0</v>
      </c>
      <c r="AB511" s="180">
        <f t="shared" si="257"/>
        <v>0</v>
      </c>
      <c r="AC511" s="180">
        <f t="shared" si="257"/>
        <v>0</v>
      </c>
      <c r="AD511" s="180">
        <f t="shared" si="257"/>
        <v>0</v>
      </c>
      <c r="AE511" s="180">
        <f t="shared" si="257"/>
        <v>0</v>
      </c>
      <c r="AF511" s="180">
        <f t="shared" si="257"/>
        <v>0</v>
      </c>
      <c r="AG511" s="180">
        <f t="shared" si="257"/>
        <v>0</v>
      </c>
      <c r="AH511" s="180">
        <f t="shared" si="257"/>
        <v>0</v>
      </c>
      <c r="AI511" s="180">
        <f t="shared" si="257"/>
        <v>0</v>
      </c>
      <c r="AJ511" s="180">
        <f t="shared" si="257"/>
        <v>0</v>
      </c>
      <c r="AK511" s="180">
        <f t="shared" si="257"/>
        <v>0</v>
      </c>
      <c r="AL511" s="180">
        <f t="shared" si="257"/>
        <v>0</v>
      </c>
      <c r="AM511" s="180">
        <f t="shared" si="257"/>
        <v>0</v>
      </c>
      <c r="AN511" s="180">
        <f t="shared" si="257"/>
        <v>0</v>
      </c>
      <c r="AO511" s="180">
        <f t="shared" si="257"/>
        <v>0</v>
      </c>
      <c r="AP511" s="180">
        <f t="shared" si="257"/>
        <v>0</v>
      </c>
    </row>
    <row r="512" spans="1:42" x14ac:dyDescent="0.2">
      <c r="A512" s="4">
        <f>A511+1</f>
        <v>9</v>
      </c>
      <c r="B512" s="178">
        <f t="shared" si="248"/>
        <v>0</v>
      </c>
      <c r="C512" s="180">
        <f t="shared" ref="C512:AP512" si="258">LOOKUP(C500,$B$435:$AP$435,$B$436:$AP$436)*$B711/100</f>
        <v>0</v>
      </c>
      <c r="D512" s="180">
        <f t="shared" si="258"/>
        <v>0</v>
      </c>
      <c r="E512" s="180">
        <f t="shared" si="258"/>
        <v>0</v>
      </c>
      <c r="F512" s="180">
        <f t="shared" si="258"/>
        <v>0</v>
      </c>
      <c r="G512" s="180">
        <f t="shared" si="258"/>
        <v>0</v>
      </c>
      <c r="H512" s="180">
        <f t="shared" si="258"/>
        <v>0</v>
      </c>
      <c r="I512" s="180">
        <f t="shared" si="258"/>
        <v>0</v>
      </c>
      <c r="J512" s="180">
        <f t="shared" si="258"/>
        <v>0</v>
      </c>
      <c r="K512" s="180">
        <f t="shared" si="258"/>
        <v>0</v>
      </c>
      <c r="L512" s="180">
        <f t="shared" si="258"/>
        <v>0</v>
      </c>
      <c r="M512" s="180">
        <f t="shared" si="258"/>
        <v>0</v>
      </c>
      <c r="N512" s="180">
        <f t="shared" si="258"/>
        <v>0</v>
      </c>
      <c r="O512" s="180">
        <f t="shared" si="258"/>
        <v>0</v>
      </c>
      <c r="P512" s="180">
        <f t="shared" si="258"/>
        <v>0</v>
      </c>
      <c r="Q512" s="180">
        <f t="shared" si="258"/>
        <v>0</v>
      </c>
      <c r="R512" s="180">
        <f t="shared" si="258"/>
        <v>0</v>
      </c>
      <c r="S512" s="180">
        <f t="shared" si="258"/>
        <v>0</v>
      </c>
      <c r="T512" s="180">
        <f t="shared" si="258"/>
        <v>0</v>
      </c>
      <c r="U512" s="180">
        <f t="shared" si="258"/>
        <v>0</v>
      </c>
      <c r="V512" s="180">
        <f t="shared" si="258"/>
        <v>0</v>
      </c>
      <c r="W512" s="180">
        <f t="shared" si="258"/>
        <v>0</v>
      </c>
      <c r="X512" s="180">
        <f t="shared" si="258"/>
        <v>0</v>
      </c>
      <c r="Y512" s="180">
        <f t="shared" si="258"/>
        <v>0</v>
      </c>
      <c r="Z512" s="180">
        <f t="shared" si="258"/>
        <v>0</v>
      </c>
      <c r="AA512" s="180">
        <f t="shared" si="258"/>
        <v>0</v>
      </c>
      <c r="AB512" s="180">
        <f t="shared" si="258"/>
        <v>0</v>
      </c>
      <c r="AC512" s="180">
        <f t="shared" si="258"/>
        <v>0</v>
      </c>
      <c r="AD512" s="180">
        <f t="shared" si="258"/>
        <v>0</v>
      </c>
      <c r="AE512" s="180">
        <f t="shared" si="258"/>
        <v>0</v>
      </c>
      <c r="AF512" s="180">
        <f t="shared" si="258"/>
        <v>0</v>
      </c>
      <c r="AG512" s="180">
        <f t="shared" si="258"/>
        <v>0</v>
      </c>
      <c r="AH512" s="180">
        <f t="shared" si="258"/>
        <v>0</v>
      </c>
      <c r="AI512" s="180">
        <f t="shared" si="258"/>
        <v>0</v>
      </c>
      <c r="AJ512" s="180">
        <f t="shared" si="258"/>
        <v>0</v>
      </c>
      <c r="AK512" s="180">
        <f t="shared" si="258"/>
        <v>0</v>
      </c>
      <c r="AL512" s="180">
        <f t="shared" si="258"/>
        <v>0</v>
      </c>
      <c r="AM512" s="180">
        <f t="shared" si="258"/>
        <v>0</v>
      </c>
      <c r="AN512" s="180">
        <f t="shared" si="258"/>
        <v>0</v>
      </c>
      <c r="AO512" s="180">
        <f t="shared" si="258"/>
        <v>0</v>
      </c>
      <c r="AP512" s="180">
        <f t="shared" si="258"/>
        <v>0</v>
      </c>
    </row>
    <row r="513" spans="1:42" x14ac:dyDescent="0.2">
      <c r="A513" s="4">
        <f t="shared" ref="A513" si="259">A512+1</f>
        <v>10</v>
      </c>
      <c r="B513" s="178">
        <f t="shared" si="248"/>
        <v>0</v>
      </c>
      <c r="C513" s="180">
        <f t="shared" ref="C513:AP513" si="260">LOOKUP(C501,$B$435:$AP$435,$B$436:$AP$436)*$B712/100</f>
        <v>0</v>
      </c>
      <c r="D513" s="180">
        <f t="shared" si="260"/>
        <v>0</v>
      </c>
      <c r="E513" s="180">
        <f t="shared" si="260"/>
        <v>0</v>
      </c>
      <c r="F513" s="180">
        <f t="shared" si="260"/>
        <v>0</v>
      </c>
      <c r="G513" s="180">
        <f t="shared" si="260"/>
        <v>0</v>
      </c>
      <c r="H513" s="180">
        <f t="shared" si="260"/>
        <v>0</v>
      </c>
      <c r="I513" s="180">
        <f t="shared" si="260"/>
        <v>0</v>
      </c>
      <c r="J513" s="180">
        <f t="shared" si="260"/>
        <v>0</v>
      </c>
      <c r="K513" s="180">
        <f t="shared" si="260"/>
        <v>0</v>
      </c>
      <c r="L513" s="180">
        <f t="shared" si="260"/>
        <v>0</v>
      </c>
      <c r="M513" s="180">
        <f t="shared" si="260"/>
        <v>0</v>
      </c>
      <c r="N513" s="180">
        <f t="shared" si="260"/>
        <v>0</v>
      </c>
      <c r="O513" s="180">
        <f t="shared" si="260"/>
        <v>0</v>
      </c>
      <c r="P513" s="180">
        <f t="shared" si="260"/>
        <v>0</v>
      </c>
      <c r="Q513" s="180">
        <f t="shared" si="260"/>
        <v>0</v>
      </c>
      <c r="R513" s="180">
        <f t="shared" si="260"/>
        <v>0</v>
      </c>
      <c r="S513" s="180">
        <f t="shared" si="260"/>
        <v>0</v>
      </c>
      <c r="T513" s="180">
        <f t="shared" si="260"/>
        <v>0</v>
      </c>
      <c r="U513" s="180">
        <f t="shared" si="260"/>
        <v>0</v>
      </c>
      <c r="V513" s="180">
        <f t="shared" si="260"/>
        <v>0</v>
      </c>
      <c r="W513" s="180">
        <f t="shared" si="260"/>
        <v>0</v>
      </c>
      <c r="X513" s="180">
        <f t="shared" si="260"/>
        <v>0</v>
      </c>
      <c r="Y513" s="180">
        <f t="shared" si="260"/>
        <v>0</v>
      </c>
      <c r="Z513" s="180">
        <f t="shared" si="260"/>
        <v>0</v>
      </c>
      <c r="AA513" s="180">
        <f t="shared" si="260"/>
        <v>0</v>
      </c>
      <c r="AB513" s="180">
        <f t="shared" si="260"/>
        <v>0</v>
      </c>
      <c r="AC513" s="180">
        <f t="shared" si="260"/>
        <v>0</v>
      </c>
      <c r="AD513" s="180">
        <f t="shared" si="260"/>
        <v>0</v>
      </c>
      <c r="AE513" s="180">
        <f t="shared" si="260"/>
        <v>0</v>
      </c>
      <c r="AF513" s="180">
        <f t="shared" si="260"/>
        <v>0</v>
      </c>
      <c r="AG513" s="180">
        <f t="shared" si="260"/>
        <v>0</v>
      </c>
      <c r="AH513" s="180">
        <f t="shared" si="260"/>
        <v>0</v>
      </c>
      <c r="AI513" s="180">
        <f t="shared" si="260"/>
        <v>0</v>
      </c>
      <c r="AJ513" s="180">
        <f t="shared" si="260"/>
        <v>0</v>
      </c>
      <c r="AK513" s="180">
        <f t="shared" si="260"/>
        <v>0</v>
      </c>
      <c r="AL513" s="180">
        <f t="shared" si="260"/>
        <v>0</v>
      </c>
      <c r="AM513" s="180">
        <f t="shared" si="260"/>
        <v>0</v>
      </c>
      <c r="AN513" s="180">
        <f t="shared" si="260"/>
        <v>0</v>
      </c>
      <c r="AO513" s="180">
        <f t="shared" si="260"/>
        <v>0</v>
      </c>
      <c r="AP513" s="180">
        <f t="shared" si="260"/>
        <v>0</v>
      </c>
    </row>
    <row r="514" spans="1:42" x14ac:dyDescent="0.2">
      <c r="A514" s="27" t="s">
        <v>13</v>
      </c>
      <c r="B514" s="15"/>
      <c r="C514" s="163">
        <f>SUM(C504:C513)</f>
        <v>0</v>
      </c>
      <c r="D514" s="163">
        <f t="shared" ref="D514:AP514" si="261">SUM(D504:D513)</f>
        <v>0</v>
      </c>
      <c r="E514" s="163">
        <f t="shared" si="261"/>
        <v>0</v>
      </c>
      <c r="F514" s="163">
        <f t="shared" si="261"/>
        <v>0</v>
      </c>
      <c r="G514" s="163">
        <f t="shared" si="261"/>
        <v>0</v>
      </c>
      <c r="H514" s="163">
        <f t="shared" si="261"/>
        <v>0</v>
      </c>
      <c r="I514" s="163">
        <f t="shared" si="261"/>
        <v>0</v>
      </c>
      <c r="J514" s="163">
        <f t="shared" si="261"/>
        <v>0</v>
      </c>
      <c r="K514" s="163">
        <f t="shared" si="261"/>
        <v>0</v>
      </c>
      <c r="L514" s="163">
        <f t="shared" si="261"/>
        <v>0</v>
      </c>
      <c r="M514" s="163">
        <f t="shared" si="261"/>
        <v>0</v>
      </c>
      <c r="N514" s="163">
        <f t="shared" si="261"/>
        <v>0</v>
      </c>
      <c r="O514" s="163">
        <f t="shared" si="261"/>
        <v>0</v>
      </c>
      <c r="P514" s="163">
        <f t="shared" si="261"/>
        <v>0</v>
      </c>
      <c r="Q514" s="163">
        <f t="shared" si="261"/>
        <v>0</v>
      </c>
      <c r="R514" s="163">
        <f t="shared" si="261"/>
        <v>0</v>
      </c>
      <c r="S514" s="163">
        <f t="shared" si="261"/>
        <v>0</v>
      </c>
      <c r="T514" s="163">
        <f t="shared" si="261"/>
        <v>0</v>
      </c>
      <c r="U514" s="163">
        <f t="shared" si="261"/>
        <v>0</v>
      </c>
      <c r="V514" s="163">
        <f t="shared" si="261"/>
        <v>0</v>
      </c>
      <c r="W514" s="163">
        <f t="shared" si="261"/>
        <v>0</v>
      </c>
      <c r="X514" s="163">
        <f t="shared" si="261"/>
        <v>0</v>
      </c>
      <c r="Y514" s="163">
        <f t="shared" si="261"/>
        <v>0</v>
      </c>
      <c r="Z514" s="163">
        <f t="shared" si="261"/>
        <v>0</v>
      </c>
      <c r="AA514" s="163">
        <f t="shared" si="261"/>
        <v>0</v>
      </c>
      <c r="AB514" s="163">
        <f t="shared" si="261"/>
        <v>0</v>
      </c>
      <c r="AC514" s="163">
        <f t="shared" si="261"/>
        <v>0</v>
      </c>
      <c r="AD514" s="163">
        <f t="shared" si="261"/>
        <v>0</v>
      </c>
      <c r="AE514" s="163">
        <f t="shared" si="261"/>
        <v>0</v>
      </c>
      <c r="AF514" s="163">
        <f t="shared" si="261"/>
        <v>0</v>
      </c>
      <c r="AG514" s="163">
        <f t="shared" si="261"/>
        <v>0</v>
      </c>
      <c r="AH514" s="163">
        <f t="shared" si="261"/>
        <v>0</v>
      </c>
      <c r="AI514" s="163">
        <f t="shared" si="261"/>
        <v>0</v>
      </c>
      <c r="AJ514" s="163">
        <f t="shared" si="261"/>
        <v>0</v>
      </c>
      <c r="AK514" s="163">
        <f t="shared" si="261"/>
        <v>0</v>
      </c>
      <c r="AL514" s="163">
        <f t="shared" si="261"/>
        <v>0</v>
      </c>
      <c r="AM514" s="163">
        <f t="shared" si="261"/>
        <v>0</v>
      </c>
      <c r="AN514" s="163">
        <f t="shared" si="261"/>
        <v>0</v>
      </c>
      <c r="AO514" s="163">
        <f t="shared" si="261"/>
        <v>0</v>
      </c>
      <c r="AP514" s="163">
        <f t="shared" si="261"/>
        <v>0</v>
      </c>
    </row>
    <row r="515" spans="1:42" x14ac:dyDescent="0.2">
      <c r="A515" s="27"/>
      <c r="B515" s="15"/>
      <c r="C515" s="163"/>
      <c r="D515" s="163"/>
      <c r="E515" s="163"/>
      <c r="F515" s="163"/>
      <c r="G515" s="163"/>
      <c r="H515" s="163"/>
      <c r="I515" s="163"/>
      <c r="J515" s="163"/>
      <c r="K515" s="163"/>
      <c r="L515" s="163"/>
      <c r="M515" s="163"/>
      <c r="N515" s="163"/>
      <c r="O515" s="163"/>
      <c r="P515" s="163"/>
      <c r="Q515" s="163"/>
      <c r="R515" s="163"/>
      <c r="S515" s="163"/>
      <c r="T515" s="163"/>
      <c r="U515" s="163"/>
      <c r="V515" s="163"/>
      <c r="W515" s="163"/>
      <c r="X515" s="163"/>
      <c r="Y515" s="163"/>
      <c r="Z515" s="163"/>
      <c r="AA515" s="163"/>
      <c r="AB515" s="163"/>
      <c r="AC515" s="163"/>
      <c r="AD515" s="163"/>
      <c r="AE515" s="163"/>
      <c r="AF515" s="163"/>
      <c r="AG515" s="163"/>
      <c r="AH515" s="163"/>
      <c r="AI515" s="163"/>
      <c r="AJ515" s="163"/>
      <c r="AK515" s="163"/>
      <c r="AL515" s="163"/>
      <c r="AM515" s="163"/>
      <c r="AN515" s="163"/>
      <c r="AO515" s="163"/>
      <c r="AP515" s="163"/>
    </row>
    <row r="516" spans="1:42" x14ac:dyDescent="0.2">
      <c r="A516" s="319" t="s">
        <v>213</v>
      </c>
      <c r="B516" s="320"/>
      <c r="C516" s="320"/>
      <c r="D516" s="320"/>
      <c r="E516" s="320"/>
      <c r="F516" s="320"/>
      <c r="G516" s="320"/>
      <c r="H516" s="320"/>
      <c r="I516" s="320"/>
      <c r="J516" s="320"/>
      <c r="K516" s="320"/>
      <c r="L516" s="320"/>
      <c r="M516" s="320"/>
      <c r="N516" s="320"/>
      <c r="O516" s="320"/>
      <c r="P516" s="320"/>
      <c r="Q516" s="320"/>
      <c r="R516" s="320"/>
      <c r="S516" s="320"/>
      <c r="T516" s="320"/>
      <c r="U516" s="320"/>
      <c r="V516" s="320"/>
      <c r="W516" s="320"/>
      <c r="X516" s="320"/>
      <c r="Y516" s="320"/>
      <c r="Z516" s="320"/>
      <c r="AA516" s="320"/>
      <c r="AB516" s="320"/>
      <c r="AC516" s="320"/>
      <c r="AD516" s="320"/>
      <c r="AE516" s="320"/>
      <c r="AF516" s="320"/>
      <c r="AG516" s="320"/>
      <c r="AH516" s="320"/>
      <c r="AI516" s="320"/>
      <c r="AJ516" s="320"/>
      <c r="AK516" s="320"/>
      <c r="AL516" s="320"/>
      <c r="AM516" s="320"/>
      <c r="AN516" s="320"/>
      <c r="AO516" s="320"/>
      <c r="AP516" s="320"/>
    </row>
    <row r="517" spans="1:42" x14ac:dyDescent="0.2">
      <c r="A517" s="20" t="s">
        <v>426</v>
      </c>
    </row>
    <row r="518" spans="1:42" x14ac:dyDescent="0.2">
      <c r="A518" s="18" t="s">
        <v>5</v>
      </c>
    </row>
    <row r="519" spans="1:42" x14ac:dyDescent="0.2">
      <c r="A519" s="90" t="s">
        <v>421</v>
      </c>
      <c r="B519" s="123"/>
      <c r="C519" s="123">
        <f t="array" ref="C519:AP519">Inputs!D170:AQ170</f>
        <v>0</v>
      </c>
      <c r="D519" s="123">
        <v>0</v>
      </c>
      <c r="E519" s="123">
        <v>0</v>
      </c>
      <c r="F519" s="123">
        <v>0</v>
      </c>
      <c r="G519" s="123">
        <v>0</v>
      </c>
      <c r="H519" s="123">
        <v>0</v>
      </c>
      <c r="I519" s="123">
        <v>0</v>
      </c>
      <c r="J519" s="123">
        <v>0</v>
      </c>
      <c r="K519" s="123">
        <v>0</v>
      </c>
      <c r="L519" s="123">
        <v>0</v>
      </c>
      <c r="M519" s="123">
        <v>0</v>
      </c>
      <c r="N519" s="123">
        <v>0</v>
      </c>
      <c r="O519" s="123">
        <v>0</v>
      </c>
      <c r="P519" s="123">
        <v>0</v>
      </c>
      <c r="Q519" s="123">
        <v>0</v>
      </c>
      <c r="R519" s="123">
        <v>0</v>
      </c>
      <c r="S519" s="123">
        <v>0</v>
      </c>
      <c r="T519" s="123">
        <v>0</v>
      </c>
      <c r="U519" s="123">
        <v>0</v>
      </c>
      <c r="V519" s="123">
        <v>0</v>
      </c>
      <c r="W519" s="123">
        <v>0</v>
      </c>
      <c r="X519" s="123">
        <v>0</v>
      </c>
      <c r="Y519" s="123">
        <v>0</v>
      </c>
      <c r="Z519" s="123">
        <v>0</v>
      </c>
      <c r="AA519" s="123">
        <v>0</v>
      </c>
      <c r="AB519" s="123">
        <v>0</v>
      </c>
      <c r="AC519" s="123">
        <v>0</v>
      </c>
      <c r="AD519" s="123">
        <v>0</v>
      </c>
      <c r="AE519" s="123">
        <v>0</v>
      </c>
      <c r="AF519" s="123">
        <v>0</v>
      </c>
      <c r="AG519" s="123">
        <v>0</v>
      </c>
      <c r="AH519" s="123">
        <v>0</v>
      </c>
      <c r="AI519" s="123">
        <v>0</v>
      </c>
      <c r="AJ519" s="123">
        <v>0</v>
      </c>
      <c r="AK519" s="123">
        <v>0</v>
      </c>
      <c r="AL519" s="123">
        <v>0</v>
      </c>
      <c r="AM519" s="123">
        <v>0</v>
      </c>
      <c r="AN519" s="123">
        <v>0</v>
      </c>
      <c r="AO519" s="123">
        <v>0</v>
      </c>
      <c r="AP519" s="123">
        <v>0</v>
      </c>
    </row>
    <row r="520" spans="1:42" x14ac:dyDescent="0.2">
      <c r="A520" s="90" t="s">
        <v>424</v>
      </c>
      <c r="B520" s="123"/>
      <c r="C520" s="123">
        <f t="array" ref="C520:AP520">Inputs!D173:AQ173</f>
        <v>0</v>
      </c>
      <c r="D520" s="123">
        <v>0</v>
      </c>
      <c r="E520" s="123">
        <v>0</v>
      </c>
      <c r="F520" s="123">
        <v>0</v>
      </c>
      <c r="G520" s="123">
        <v>0</v>
      </c>
      <c r="H520" s="123">
        <v>0</v>
      </c>
      <c r="I520" s="123">
        <v>0</v>
      </c>
      <c r="J520" s="123">
        <v>0</v>
      </c>
      <c r="K520" s="123">
        <v>0</v>
      </c>
      <c r="L520" s="123">
        <v>0</v>
      </c>
      <c r="M520" s="123">
        <v>0</v>
      </c>
      <c r="N520" s="123">
        <v>0</v>
      </c>
      <c r="O520" s="123">
        <v>0</v>
      </c>
      <c r="P520" s="123">
        <v>0</v>
      </c>
      <c r="Q520" s="123">
        <v>0</v>
      </c>
      <c r="R520" s="123">
        <v>0</v>
      </c>
      <c r="S520" s="123">
        <v>0</v>
      </c>
      <c r="T520" s="123">
        <v>0</v>
      </c>
      <c r="U520" s="123">
        <v>0</v>
      </c>
      <c r="V520" s="123">
        <v>0</v>
      </c>
      <c r="W520" s="123">
        <v>0</v>
      </c>
      <c r="X520" s="123">
        <v>0</v>
      </c>
      <c r="Y520" s="123">
        <v>0</v>
      </c>
      <c r="Z520" s="123">
        <v>0</v>
      </c>
      <c r="AA520" s="123">
        <v>0</v>
      </c>
      <c r="AB520" s="123">
        <v>0</v>
      </c>
      <c r="AC520" s="123">
        <v>0</v>
      </c>
      <c r="AD520" s="123">
        <v>0</v>
      </c>
      <c r="AE520" s="123">
        <v>0</v>
      </c>
      <c r="AF520" s="123">
        <v>0</v>
      </c>
      <c r="AG520" s="123">
        <v>0</v>
      </c>
      <c r="AH520" s="123">
        <v>0</v>
      </c>
      <c r="AI520" s="123">
        <v>0</v>
      </c>
      <c r="AJ520" s="123">
        <v>0</v>
      </c>
      <c r="AK520" s="123">
        <v>0</v>
      </c>
      <c r="AL520" s="123">
        <v>0</v>
      </c>
      <c r="AM520" s="123">
        <v>0</v>
      </c>
      <c r="AN520" s="123">
        <v>0</v>
      </c>
      <c r="AO520" s="123">
        <v>0</v>
      </c>
      <c r="AP520" s="123">
        <v>0</v>
      </c>
    </row>
    <row r="521" spans="1:42" x14ac:dyDescent="0.2">
      <c r="A521" s="22" t="s">
        <v>422</v>
      </c>
      <c r="B521" s="123"/>
      <c r="C521" s="321">
        <f t="array" ref="C521:AP521">Inputs!D174:AQ174</f>
        <v>9.9999999999999998E+37</v>
      </c>
      <c r="D521" s="321">
        <v>9.9999999999999998E+37</v>
      </c>
      <c r="E521" s="321">
        <v>9.9999999999999998E+37</v>
      </c>
      <c r="F521" s="321">
        <v>9.9999999999999998E+37</v>
      </c>
      <c r="G521" s="321">
        <v>9.9999999999999998E+37</v>
      </c>
      <c r="H521" s="321">
        <v>9.9999999999999998E+37</v>
      </c>
      <c r="I521" s="321">
        <v>9.9999999999999998E+37</v>
      </c>
      <c r="J521" s="321">
        <v>9.9999999999999998E+37</v>
      </c>
      <c r="K521" s="321">
        <v>9.9999999999999998E+37</v>
      </c>
      <c r="L521" s="321">
        <v>9.9999999999999998E+37</v>
      </c>
      <c r="M521" s="321">
        <v>9.9999999999999998E+37</v>
      </c>
      <c r="N521" s="321">
        <v>9.9999999999999998E+37</v>
      </c>
      <c r="O521" s="321">
        <v>9.9999999999999998E+37</v>
      </c>
      <c r="P521" s="321">
        <v>9.9999999999999998E+37</v>
      </c>
      <c r="Q521" s="321">
        <v>9.9999999999999998E+37</v>
      </c>
      <c r="R521" s="321">
        <v>9.9999999999999998E+37</v>
      </c>
      <c r="S521" s="321">
        <v>9.9999999999999998E+37</v>
      </c>
      <c r="T521" s="321">
        <v>9.9999999999999998E+37</v>
      </c>
      <c r="U521" s="321">
        <v>9.9999999999999998E+37</v>
      </c>
      <c r="V521" s="321">
        <v>9.9999999999999998E+37</v>
      </c>
      <c r="W521" s="321">
        <v>9.9999999999999998E+37</v>
      </c>
      <c r="X521" s="321">
        <v>9.9999999999999998E+37</v>
      </c>
      <c r="Y521" s="321">
        <v>9.9999999999999998E+37</v>
      </c>
      <c r="Z521" s="321">
        <v>9.9999999999999998E+37</v>
      </c>
      <c r="AA521" s="321">
        <v>9.9999999999999998E+37</v>
      </c>
      <c r="AB521" s="321">
        <v>0</v>
      </c>
      <c r="AC521" s="321">
        <v>0</v>
      </c>
      <c r="AD521" s="321">
        <v>0</v>
      </c>
      <c r="AE521" s="321">
        <v>0</v>
      </c>
      <c r="AF521" s="321">
        <v>0</v>
      </c>
      <c r="AG521" s="321">
        <v>0</v>
      </c>
      <c r="AH521" s="321">
        <v>0</v>
      </c>
      <c r="AI521" s="321">
        <v>0</v>
      </c>
      <c r="AJ521" s="321">
        <v>0</v>
      </c>
      <c r="AK521" s="321">
        <v>0</v>
      </c>
      <c r="AL521" s="321">
        <v>0</v>
      </c>
      <c r="AM521" s="321">
        <v>0</v>
      </c>
      <c r="AN521" s="321">
        <v>0</v>
      </c>
      <c r="AO521" s="321">
        <v>0</v>
      </c>
      <c r="AP521" s="321">
        <v>0</v>
      </c>
    </row>
    <row r="522" spans="1:42" x14ac:dyDescent="0.2">
      <c r="A522" s="22" t="s">
        <v>423</v>
      </c>
      <c r="B522" s="123"/>
      <c r="C522" s="123">
        <f>MIN(C$521,C$520/100*$G$253)</f>
        <v>0</v>
      </c>
      <c r="D522" s="123">
        <f t="shared" ref="D522:AP522" si="262">MIN(D$521,D$520/100*$G$253)</f>
        <v>0</v>
      </c>
      <c r="E522" s="123">
        <f t="shared" si="262"/>
        <v>0</v>
      </c>
      <c r="F522" s="123">
        <f t="shared" si="262"/>
        <v>0</v>
      </c>
      <c r="G522" s="123">
        <f t="shared" si="262"/>
        <v>0</v>
      </c>
      <c r="H522" s="123">
        <f t="shared" si="262"/>
        <v>0</v>
      </c>
      <c r="I522" s="123">
        <f t="shared" si="262"/>
        <v>0</v>
      </c>
      <c r="J522" s="123">
        <f t="shared" si="262"/>
        <v>0</v>
      </c>
      <c r="K522" s="123">
        <f t="shared" si="262"/>
        <v>0</v>
      </c>
      <c r="L522" s="123">
        <f t="shared" si="262"/>
        <v>0</v>
      </c>
      <c r="M522" s="123">
        <f t="shared" si="262"/>
        <v>0</v>
      </c>
      <c r="N522" s="123">
        <f t="shared" si="262"/>
        <v>0</v>
      </c>
      <c r="O522" s="123">
        <f t="shared" si="262"/>
        <v>0</v>
      </c>
      <c r="P522" s="123">
        <f t="shared" si="262"/>
        <v>0</v>
      </c>
      <c r="Q522" s="123">
        <f t="shared" si="262"/>
        <v>0</v>
      </c>
      <c r="R522" s="123">
        <f t="shared" si="262"/>
        <v>0</v>
      </c>
      <c r="S522" s="123">
        <f t="shared" si="262"/>
        <v>0</v>
      </c>
      <c r="T522" s="123">
        <f t="shared" si="262"/>
        <v>0</v>
      </c>
      <c r="U522" s="123">
        <f t="shared" si="262"/>
        <v>0</v>
      </c>
      <c r="V522" s="123">
        <f t="shared" si="262"/>
        <v>0</v>
      </c>
      <c r="W522" s="123">
        <f t="shared" si="262"/>
        <v>0</v>
      </c>
      <c r="X522" s="123">
        <f t="shared" si="262"/>
        <v>0</v>
      </c>
      <c r="Y522" s="123">
        <f t="shared" si="262"/>
        <v>0</v>
      </c>
      <c r="Z522" s="123">
        <f t="shared" si="262"/>
        <v>0</v>
      </c>
      <c r="AA522" s="123">
        <f t="shared" si="262"/>
        <v>0</v>
      </c>
      <c r="AB522" s="123">
        <f t="shared" si="262"/>
        <v>0</v>
      </c>
      <c r="AC522" s="123">
        <f t="shared" si="262"/>
        <v>0</v>
      </c>
      <c r="AD522" s="123">
        <f t="shared" si="262"/>
        <v>0</v>
      </c>
      <c r="AE522" s="123">
        <f t="shared" si="262"/>
        <v>0</v>
      </c>
      <c r="AF522" s="123">
        <f t="shared" si="262"/>
        <v>0</v>
      </c>
      <c r="AG522" s="123">
        <f t="shared" si="262"/>
        <v>0</v>
      </c>
      <c r="AH522" s="123">
        <f t="shared" si="262"/>
        <v>0</v>
      </c>
      <c r="AI522" s="123">
        <f t="shared" si="262"/>
        <v>0</v>
      </c>
      <c r="AJ522" s="123">
        <f t="shared" si="262"/>
        <v>0</v>
      </c>
      <c r="AK522" s="123">
        <f t="shared" si="262"/>
        <v>0</v>
      </c>
      <c r="AL522" s="123">
        <f t="shared" si="262"/>
        <v>0</v>
      </c>
      <c r="AM522" s="123">
        <f t="shared" si="262"/>
        <v>0</v>
      </c>
      <c r="AN522" s="123">
        <f t="shared" si="262"/>
        <v>0</v>
      </c>
      <c r="AO522" s="123">
        <f t="shared" si="262"/>
        <v>0</v>
      </c>
      <c r="AP522" s="123">
        <f t="shared" si="262"/>
        <v>0</v>
      </c>
    </row>
    <row r="523" spans="1:42" x14ac:dyDescent="0.2">
      <c r="A523" s="90" t="s">
        <v>13</v>
      </c>
      <c r="B523" s="123"/>
      <c r="C523" s="123">
        <f>C$519+C$522</f>
        <v>0</v>
      </c>
      <c r="D523" s="123">
        <f t="shared" ref="D523:AP523" si="263">D$519+D$522</f>
        <v>0</v>
      </c>
      <c r="E523" s="123">
        <f t="shared" si="263"/>
        <v>0</v>
      </c>
      <c r="F523" s="123">
        <f t="shared" si="263"/>
        <v>0</v>
      </c>
      <c r="G523" s="123">
        <f t="shared" si="263"/>
        <v>0</v>
      </c>
      <c r="H523" s="123">
        <f t="shared" si="263"/>
        <v>0</v>
      </c>
      <c r="I523" s="123">
        <f t="shared" si="263"/>
        <v>0</v>
      </c>
      <c r="J523" s="123">
        <f t="shared" si="263"/>
        <v>0</v>
      </c>
      <c r="K523" s="123">
        <f t="shared" si="263"/>
        <v>0</v>
      </c>
      <c r="L523" s="123">
        <f t="shared" si="263"/>
        <v>0</v>
      </c>
      <c r="M523" s="123">
        <f t="shared" si="263"/>
        <v>0</v>
      </c>
      <c r="N523" s="123">
        <f t="shared" si="263"/>
        <v>0</v>
      </c>
      <c r="O523" s="123">
        <f t="shared" si="263"/>
        <v>0</v>
      </c>
      <c r="P523" s="123">
        <f t="shared" si="263"/>
        <v>0</v>
      </c>
      <c r="Q523" s="123">
        <f t="shared" si="263"/>
        <v>0</v>
      </c>
      <c r="R523" s="123">
        <f t="shared" si="263"/>
        <v>0</v>
      </c>
      <c r="S523" s="123">
        <f t="shared" si="263"/>
        <v>0</v>
      </c>
      <c r="T523" s="123">
        <f t="shared" si="263"/>
        <v>0</v>
      </c>
      <c r="U523" s="123">
        <f t="shared" si="263"/>
        <v>0</v>
      </c>
      <c r="V523" s="123">
        <f t="shared" si="263"/>
        <v>0</v>
      </c>
      <c r="W523" s="123">
        <f t="shared" si="263"/>
        <v>0</v>
      </c>
      <c r="X523" s="123">
        <f t="shared" si="263"/>
        <v>0</v>
      </c>
      <c r="Y523" s="123">
        <f t="shared" si="263"/>
        <v>0</v>
      </c>
      <c r="Z523" s="123">
        <f t="shared" si="263"/>
        <v>0</v>
      </c>
      <c r="AA523" s="123">
        <f t="shared" si="263"/>
        <v>0</v>
      </c>
      <c r="AB523" s="123">
        <f t="shared" si="263"/>
        <v>0</v>
      </c>
      <c r="AC523" s="123">
        <f t="shared" si="263"/>
        <v>0</v>
      </c>
      <c r="AD523" s="123">
        <f t="shared" si="263"/>
        <v>0</v>
      </c>
      <c r="AE523" s="123">
        <f t="shared" si="263"/>
        <v>0</v>
      </c>
      <c r="AF523" s="123">
        <f t="shared" si="263"/>
        <v>0</v>
      </c>
      <c r="AG523" s="123">
        <f t="shared" si="263"/>
        <v>0</v>
      </c>
      <c r="AH523" s="123">
        <f t="shared" si="263"/>
        <v>0</v>
      </c>
      <c r="AI523" s="123">
        <f t="shared" si="263"/>
        <v>0</v>
      </c>
      <c r="AJ523" s="123">
        <f t="shared" si="263"/>
        <v>0</v>
      </c>
      <c r="AK523" s="123">
        <f t="shared" si="263"/>
        <v>0</v>
      </c>
      <c r="AL523" s="123">
        <f t="shared" si="263"/>
        <v>0</v>
      </c>
      <c r="AM523" s="123">
        <f t="shared" si="263"/>
        <v>0</v>
      </c>
      <c r="AN523" s="123">
        <f t="shared" si="263"/>
        <v>0</v>
      </c>
      <c r="AO523" s="123">
        <f t="shared" si="263"/>
        <v>0</v>
      </c>
      <c r="AP523" s="123">
        <f t="shared" si="263"/>
        <v>0</v>
      </c>
    </row>
    <row r="524" spans="1:42" x14ac:dyDescent="0.2">
      <c r="A524" s="18" t="s">
        <v>4</v>
      </c>
      <c r="B524" s="123"/>
    </row>
    <row r="525" spans="1:42" x14ac:dyDescent="0.2">
      <c r="A525" s="90" t="s">
        <v>421</v>
      </c>
      <c r="B525" s="123"/>
      <c r="C525" s="123">
        <f t="array" ref="C525:AP525">Inputs!D169:AQ169</f>
        <v>0</v>
      </c>
      <c r="D525" s="123">
        <v>0</v>
      </c>
      <c r="E525" s="123">
        <v>0</v>
      </c>
      <c r="F525" s="123">
        <v>0</v>
      </c>
      <c r="G525" s="123">
        <v>0</v>
      </c>
      <c r="H525" s="123">
        <v>0</v>
      </c>
      <c r="I525" s="123">
        <v>0</v>
      </c>
      <c r="J525" s="123">
        <v>0</v>
      </c>
      <c r="K525" s="123">
        <v>0</v>
      </c>
      <c r="L525" s="123">
        <v>0</v>
      </c>
      <c r="M525" s="123">
        <v>0</v>
      </c>
      <c r="N525" s="123">
        <v>0</v>
      </c>
      <c r="O525" s="123">
        <v>0</v>
      </c>
      <c r="P525" s="123">
        <v>0</v>
      </c>
      <c r="Q525" s="123">
        <v>0</v>
      </c>
      <c r="R525" s="123">
        <v>0</v>
      </c>
      <c r="S525" s="123">
        <v>0</v>
      </c>
      <c r="T525" s="123">
        <v>0</v>
      </c>
      <c r="U525" s="123">
        <v>0</v>
      </c>
      <c r="V525" s="123">
        <v>0</v>
      </c>
      <c r="W525" s="123">
        <v>0</v>
      </c>
      <c r="X525" s="123">
        <v>0</v>
      </c>
      <c r="Y525" s="123">
        <v>0</v>
      </c>
      <c r="Z525" s="123">
        <v>0</v>
      </c>
      <c r="AA525" s="123">
        <v>0</v>
      </c>
      <c r="AB525" s="123">
        <v>0</v>
      </c>
      <c r="AC525" s="123">
        <v>0</v>
      </c>
      <c r="AD525" s="123">
        <v>0</v>
      </c>
      <c r="AE525" s="123">
        <v>0</v>
      </c>
      <c r="AF525" s="123">
        <v>0</v>
      </c>
      <c r="AG525" s="123">
        <v>0</v>
      </c>
      <c r="AH525" s="123">
        <v>0</v>
      </c>
      <c r="AI525" s="123">
        <v>0</v>
      </c>
      <c r="AJ525" s="123">
        <v>0</v>
      </c>
      <c r="AK525" s="123">
        <v>0</v>
      </c>
      <c r="AL525" s="123">
        <v>0</v>
      </c>
      <c r="AM525" s="123">
        <v>0</v>
      </c>
      <c r="AN525" s="123">
        <v>0</v>
      </c>
      <c r="AO525" s="123">
        <v>0</v>
      </c>
      <c r="AP525" s="123">
        <v>0</v>
      </c>
    </row>
    <row r="526" spans="1:42" x14ac:dyDescent="0.2">
      <c r="A526" s="90" t="s">
        <v>425</v>
      </c>
      <c r="B526" s="123"/>
      <c r="C526" s="123">
        <f t="array" ref="C526:AP526">Inputs!D171:AQ171</f>
        <v>30</v>
      </c>
      <c r="D526" s="123">
        <v>0</v>
      </c>
      <c r="E526" s="123">
        <v>0</v>
      </c>
      <c r="F526" s="123">
        <v>0</v>
      </c>
      <c r="G526" s="123">
        <v>0</v>
      </c>
      <c r="H526" s="123">
        <v>0</v>
      </c>
      <c r="I526" s="123">
        <v>0</v>
      </c>
      <c r="J526" s="123">
        <v>0</v>
      </c>
      <c r="K526" s="123">
        <v>0</v>
      </c>
      <c r="L526" s="123">
        <v>0</v>
      </c>
      <c r="M526" s="123">
        <v>0</v>
      </c>
      <c r="N526" s="123">
        <v>0</v>
      </c>
      <c r="O526" s="123">
        <v>0</v>
      </c>
      <c r="P526" s="123">
        <v>0</v>
      </c>
      <c r="Q526" s="123">
        <v>0</v>
      </c>
      <c r="R526" s="123">
        <v>0</v>
      </c>
      <c r="S526" s="123">
        <v>0</v>
      </c>
      <c r="T526" s="123">
        <v>0</v>
      </c>
      <c r="U526" s="123">
        <v>0</v>
      </c>
      <c r="V526" s="123">
        <v>0</v>
      </c>
      <c r="W526" s="123">
        <v>0</v>
      </c>
      <c r="X526" s="123">
        <v>0</v>
      </c>
      <c r="Y526" s="123">
        <v>0</v>
      </c>
      <c r="Z526" s="123">
        <v>0</v>
      </c>
      <c r="AA526" s="123">
        <v>0</v>
      </c>
      <c r="AB526" s="123">
        <v>0</v>
      </c>
      <c r="AC526" s="123">
        <v>0</v>
      </c>
      <c r="AD526" s="123">
        <v>0</v>
      </c>
      <c r="AE526" s="123">
        <v>0</v>
      </c>
      <c r="AF526" s="123">
        <v>0</v>
      </c>
      <c r="AG526" s="123">
        <v>0</v>
      </c>
      <c r="AH526" s="123">
        <v>0</v>
      </c>
      <c r="AI526" s="123">
        <v>0</v>
      </c>
      <c r="AJ526" s="123">
        <v>0</v>
      </c>
      <c r="AK526" s="123">
        <v>0</v>
      </c>
      <c r="AL526" s="123">
        <v>0</v>
      </c>
      <c r="AM526" s="123">
        <v>0</v>
      </c>
      <c r="AN526" s="123">
        <v>0</v>
      </c>
      <c r="AO526" s="123">
        <v>0</v>
      </c>
      <c r="AP526" s="123">
        <v>0</v>
      </c>
    </row>
    <row r="527" spans="1:42" x14ac:dyDescent="0.2">
      <c r="A527" s="22" t="s">
        <v>422</v>
      </c>
      <c r="B527" s="123"/>
      <c r="C527" s="321">
        <f t="array" ref="C527:AP527">Inputs!D172:AQ172</f>
        <v>9.9999999999999998E+37</v>
      </c>
      <c r="D527" s="321">
        <v>9.9999999999999998E+37</v>
      </c>
      <c r="E527" s="321">
        <v>9.9999999999999998E+37</v>
      </c>
      <c r="F527" s="321">
        <v>9.9999999999999998E+37</v>
      </c>
      <c r="G527" s="321">
        <v>9.9999999999999998E+37</v>
      </c>
      <c r="H527" s="321">
        <v>9.9999999999999998E+37</v>
      </c>
      <c r="I527" s="321">
        <v>9.9999999999999998E+37</v>
      </c>
      <c r="J527" s="321">
        <v>9.9999999999999998E+37</v>
      </c>
      <c r="K527" s="321">
        <v>9.9999999999999998E+37</v>
      </c>
      <c r="L527" s="321">
        <v>9.9999999999999998E+37</v>
      </c>
      <c r="M527" s="321">
        <v>9.9999999999999998E+37</v>
      </c>
      <c r="N527" s="321">
        <v>9.9999999999999998E+37</v>
      </c>
      <c r="O527" s="321">
        <v>9.9999999999999998E+37</v>
      </c>
      <c r="P527" s="321">
        <v>9.9999999999999998E+37</v>
      </c>
      <c r="Q527" s="321">
        <v>9.9999999999999998E+37</v>
      </c>
      <c r="R527" s="321">
        <v>9.9999999999999998E+37</v>
      </c>
      <c r="S527" s="321">
        <v>9.9999999999999998E+37</v>
      </c>
      <c r="T527" s="321">
        <v>9.9999999999999998E+37</v>
      </c>
      <c r="U527" s="321">
        <v>9.9999999999999998E+37</v>
      </c>
      <c r="V527" s="321">
        <v>9.9999999999999998E+37</v>
      </c>
      <c r="W527" s="321">
        <v>9.9999999999999998E+37</v>
      </c>
      <c r="X527" s="321">
        <v>9.9999999999999998E+37</v>
      </c>
      <c r="Y527" s="321">
        <v>9.9999999999999998E+37</v>
      </c>
      <c r="Z527" s="321">
        <v>9.9999999999999998E+37</v>
      </c>
      <c r="AA527" s="321">
        <v>9.9999999999999998E+37</v>
      </c>
      <c r="AB527" s="321">
        <v>0</v>
      </c>
      <c r="AC527" s="321">
        <v>0</v>
      </c>
      <c r="AD527" s="321">
        <v>0</v>
      </c>
      <c r="AE527" s="321">
        <v>0</v>
      </c>
      <c r="AF527" s="321">
        <v>0</v>
      </c>
      <c r="AG527" s="321">
        <v>0</v>
      </c>
      <c r="AH527" s="321">
        <v>0</v>
      </c>
      <c r="AI527" s="321">
        <v>0</v>
      </c>
      <c r="AJ527" s="321">
        <v>0</v>
      </c>
      <c r="AK527" s="321">
        <v>0</v>
      </c>
      <c r="AL527" s="321">
        <v>0</v>
      </c>
      <c r="AM527" s="321">
        <v>0</v>
      </c>
      <c r="AN527" s="321">
        <v>0</v>
      </c>
      <c r="AO527" s="321">
        <v>0</v>
      </c>
      <c r="AP527" s="321">
        <v>0</v>
      </c>
    </row>
    <row r="528" spans="1:42" x14ac:dyDescent="0.2">
      <c r="A528" s="90" t="s">
        <v>423</v>
      </c>
      <c r="B528" s="123"/>
      <c r="C528" s="123">
        <f t="shared" ref="C528:AP528" si="264">MIN(C$527,C$526/100*$G$389)</f>
        <v>30689049.824999999</v>
      </c>
      <c r="D528" s="123">
        <f t="shared" si="264"/>
        <v>0</v>
      </c>
      <c r="E528" s="123">
        <f t="shared" si="264"/>
        <v>0</v>
      </c>
      <c r="F528" s="123">
        <f t="shared" si="264"/>
        <v>0</v>
      </c>
      <c r="G528" s="123">
        <f t="shared" si="264"/>
        <v>0</v>
      </c>
      <c r="H528" s="123">
        <f t="shared" si="264"/>
        <v>0</v>
      </c>
      <c r="I528" s="123">
        <f t="shared" si="264"/>
        <v>0</v>
      </c>
      <c r="J528" s="123">
        <f t="shared" si="264"/>
        <v>0</v>
      </c>
      <c r="K528" s="123">
        <f t="shared" si="264"/>
        <v>0</v>
      </c>
      <c r="L528" s="123">
        <f t="shared" si="264"/>
        <v>0</v>
      </c>
      <c r="M528" s="123">
        <f t="shared" si="264"/>
        <v>0</v>
      </c>
      <c r="N528" s="123">
        <f t="shared" si="264"/>
        <v>0</v>
      </c>
      <c r="O528" s="123">
        <f t="shared" si="264"/>
        <v>0</v>
      </c>
      <c r="P528" s="123">
        <f t="shared" si="264"/>
        <v>0</v>
      </c>
      <c r="Q528" s="123">
        <f t="shared" si="264"/>
        <v>0</v>
      </c>
      <c r="R528" s="123">
        <f t="shared" si="264"/>
        <v>0</v>
      </c>
      <c r="S528" s="123">
        <f t="shared" si="264"/>
        <v>0</v>
      </c>
      <c r="T528" s="123">
        <f t="shared" si="264"/>
        <v>0</v>
      </c>
      <c r="U528" s="123">
        <f t="shared" si="264"/>
        <v>0</v>
      </c>
      <c r="V528" s="123">
        <f t="shared" si="264"/>
        <v>0</v>
      </c>
      <c r="W528" s="123">
        <f t="shared" si="264"/>
        <v>0</v>
      </c>
      <c r="X528" s="123">
        <f t="shared" si="264"/>
        <v>0</v>
      </c>
      <c r="Y528" s="123">
        <f t="shared" si="264"/>
        <v>0</v>
      </c>
      <c r="Z528" s="123">
        <f t="shared" si="264"/>
        <v>0</v>
      </c>
      <c r="AA528" s="123">
        <f t="shared" si="264"/>
        <v>0</v>
      </c>
      <c r="AB528" s="123">
        <f t="shared" si="264"/>
        <v>0</v>
      </c>
      <c r="AC528" s="123">
        <f t="shared" si="264"/>
        <v>0</v>
      </c>
      <c r="AD528" s="123">
        <f t="shared" si="264"/>
        <v>0</v>
      </c>
      <c r="AE528" s="123">
        <f t="shared" si="264"/>
        <v>0</v>
      </c>
      <c r="AF528" s="123">
        <f t="shared" si="264"/>
        <v>0</v>
      </c>
      <c r="AG528" s="123">
        <f t="shared" si="264"/>
        <v>0</v>
      </c>
      <c r="AH528" s="123">
        <f t="shared" si="264"/>
        <v>0</v>
      </c>
      <c r="AI528" s="123">
        <f t="shared" si="264"/>
        <v>0</v>
      </c>
      <c r="AJ528" s="123">
        <f t="shared" si="264"/>
        <v>0</v>
      </c>
      <c r="AK528" s="123">
        <f t="shared" si="264"/>
        <v>0</v>
      </c>
      <c r="AL528" s="123">
        <f t="shared" si="264"/>
        <v>0</v>
      </c>
      <c r="AM528" s="123">
        <f t="shared" si="264"/>
        <v>0</v>
      </c>
      <c r="AN528" s="123">
        <f t="shared" si="264"/>
        <v>0</v>
      </c>
      <c r="AO528" s="123">
        <f t="shared" si="264"/>
        <v>0</v>
      </c>
      <c r="AP528" s="123">
        <f t="shared" si="264"/>
        <v>0</v>
      </c>
    </row>
    <row r="529" spans="1:42" x14ac:dyDescent="0.2">
      <c r="A529" s="90" t="s">
        <v>13</v>
      </c>
      <c r="B529" s="15"/>
      <c r="C529" s="123">
        <f>C$525+C$528</f>
        <v>30689049.824999999</v>
      </c>
      <c r="D529" s="123">
        <f t="shared" ref="D529:AP529" si="265">D$525+D$528</f>
        <v>0</v>
      </c>
      <c r="E529" s="123">
        <f t="shared" si="265"/>
        <v>0</v>
      </c>
      <c r="F529" s="123">
        <f t="shared" si="265"/>
        <v>0</v>
      </c>
      <c r="G529" s="123">
        <f t="shared" si="265"/>
        <v>0</v>
      </c>
      <c r="H529" s="123">
        <f t="shared" si="265"/>
        <v>0</v>
      </c>
      <c r="I529" s="123">
        <f t="shared" si="265"/>
        <v>0</v>
      </c>
      <c r="J529" s="123">
        <f t="shared" si="265"/>
        <v>0</v>
      </c>
      <c r="K529" s="123">
        <f t="shared" si="265"/>
        <v>0</v>
      </c>
      <c r="L529" s="123">
        <f t="shared" si="265"/>
        <v>0</v>
      </c>
      <c r="M529" s="123">
        <f t="shared" si="265"/>
        <v>0</v>
      </c>
      <c r="N529" s="123">
        <f t="shared" si="265"/>
        <v>0</v>
      </c>
      <c r="O529" s="123">
        <f t="shared" si="265"/>
        <v>0</v>
      </c>
      <c r="P529" s="123">
        <f t="shared" si="265"/>
        <v>0</v>
      </c>
      <c r="Q529" s="123">
        <f t="shared" si="265"/>
        <v>0</v>
      </c>
      <c r="R529" s="123">
        <f t="shared" si="265"/>
        <v>0</v>
      </c>
      <c r="S529" s="123">
        <f t="shared" si="265"/>
        <v>0</v>
      </c>
      <c r="T529" s="123">
        <f t="shared" si="265"/>
        <v>0</v>
      </c>
      <c r="U529" s="123">
        <f t="shared" si="265"/>
        <v>0</v>
      </c>
      <c r="V529" s="123">
        <f t="shared" si="265"/>
        <v>0</v>
      </c>
      <c r="W529" s="123">
        <f t="shared" si="265"/>
        <v>0</v>
      </c>
      <c r="X529" s="123">
        <f t="shared" si="265"/>
        <v>0</v>
      </c>
      <c r="Y529" s="123">
        <f t="shared" si="265"/>
        <v>0</v>
      </c>
      <c r="Z529" s="123">
        <f t="shared" si="265"/>
        <v>0</v>
      </c>
      <c r="AA529" s="123">
        <f t="shared" si="265"/>
        <v>0</v>
      </c>
      <c r="AB529" s="123">
        <f t="shared" si="265"/>
        <v>0</v>
      </c>
      <c r="AC529" s="123">
        <f t="shared" si="265"/>
        <v>0</v>
      </c>
      <c r="AD529" s="123">
        <f t="shared" si="265"/>
        <v>0</v>
      </c>
      <c r="AE529" s="123">
        <f t="shared" si="265"/>
        <v>0</v>
      </c>
      <c r="AF529" s="123">
        <f t="shared" si="265"/>
        <v>0</v>
      </c>
      <c r="AG529" s="123">
        <f t="shared" si="265"/>
        <v>0</v>
      </c>
      <c r="AH529" s="123">
        <f t="shared" si="265"/>
        <v>0</v>
      </c>
      <c r="AI529" s="123">
        <f t="shared" si="265"/>
        <v>0</v>
      </c>
      <c r="AJ529" s="123">
        <f t="shared" si="265"/>
        <v>0</v>
      </c>
      <c r="AK529" s="123">
        <f t="shared" si="265"/>
        <v>0</v>
      </c>
      <c r="AL529" s="123">
        <f t="shared" si="265"/>
        <v>0</v>
      </c>
      <c r="AM529" s="123">
        <f t="shared" si="265"/>
        <v>0</v>
      </c>
      <c r="AN529" s="123">
        <f t="shared" si="265"/>
        <v>0</v>
      </c>
      <c r="AO529" s="123">
        <f t="shared" si="265"/>
        <v>0</v>
      </c>
      <c r="AP529" s="123">
        <f t="shared" si="265"/>
        <v>0</v>
      </c>
    </row>
    <row r="530" spans="1:42" x14ac:dyDescent="0.2">
      <c r="A530" s="18"/>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5"/>
    </row>
    <row r="531" spans="1:42" x14ac:dyDescent="0.2">
      <c r="A531" s="20" t="s">
        <v>69</v>
      </c>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5"/>
    </row>
    <row r="532" spans="1:42" x14ac:dyDescent="0.2">
      <c r="A532" s="18" t="s">
        <v>5</v>
      </c>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row>
    <row r="533" spans="1:42" x14ac:dyDescent="0.2">
      <c r="A533" s="90" t="s">
        <v>284</v>
      </c>
      <c r="C533" s="205">
        <f>IF(ptc_sta_amount="n/a",Inputs!D182,IF(C$2&lt;=ptc_sta_term,ptc_sta_amount*(1+ptc_sta_escal/100)^B$2,0))</f>
        <v>0</v>
      </c>
      <c r="D533" s="205">
        <f>IF(ptc_sta_amount="n/a",Inputs!E182,IF(D$2&lt;=ptc_sta_term,ptc_sta_amount*(1+ptc_sta_escal/100)^C$2,0))</f>
        <v>0</v>
      </c>
      <c r="E533" s="205">
        <f>IF(ptc_sta_amount="n/a",Inputs!F182,IF(E$2&lt;=ptc_sta_term,ptc_sta_amount*(1+ptc_sta_escal/100)^D$2,0))</f>
        <v>0</v>
      </c>
      <c r="F533" s="205">
        <f>IF(ptc_sta_amount="n/a",Inputs!G182,IF(F$2&lt;=ptc_sta_term,ptc_sta_amount*(1+ptc_sta_escal/100)^E$2,0))</f>
        <v>0</v>
      </c>
      <c r="G533" s="205">
        <f>IF(ptc_sta_amount="n/a",Inputs!H182,IF(G$2&lt;=ptc_sta_term,ptc_sta_amount*(1+ptc_sta_escal/100)^F$2,0))</f>
        <v>0</v>
      </c>
      <c r="H533" s="205">
        <f>IF(ptc_sta_amount="n/a",Inputs!I182,IF(H$2&lt;=ptc_sta_term,ptc_sta_amount*(1+ptc_sta_escal/100)^G$2,0))</f>
        <v>0</v>
      </c>
      <c r="I533" s="205">
        <f>IF(ptc_sta_amount="n/a",Inputs!J182,IF(I$2&lt;=ptc_sta_term,ptc_sta_amount*(1+ptc_sta_escal/100)^H$2,0))</f>
        <v>0</v>
      </c>
      <c r="J533" s="205">
        <f>IF(ptc_sta_amount="n/a",Inputs!K182,IF(J$2&lt;=ptc_sta_term,ptc_sta_amount*(1+ptc_sta_escal/100)^I$2,0))</f>
        <v>0</v>
      </c>
      <c r="K533" s="205">
        <f>IF(ptc_sta_amount="n/a",Inputs!L182,IF(K$2&lt;=ptc_sta_term,ptc_sta_amount*(1+ptc_sta_escal/100)^J$2,0))</f>
        <v>0</v>
      </c>
      <c r="L533" s="205">
        <f>IF(ptc_sta_amount="n/a",Inputs!M182,IF(L$2&lt;=ptc_sta_term,ptc_sta_amount*(1+ptc_sta_escal/100)^K$2,0))</f>
        <v>0</v>
      </c>
      <c r="M533" s="205">
        <f>IF(ptc_sta_amount="n/a",Inputs!N182,IF(M$2&lt;=ptc_sta_term,ptc_sta_amount*(1+ptc_sta_escal/100)^L$2,0))</f>
        <v>0</v>
      </c>
      <c r="N533" s="205">
        <f>IF(ptc_sta_amount="n/a",Inputs!O182,IF(N$2&lt;=ptc_sta_term,ptc_sta_amount*(1+ptc_sta_escal/100)^M$2,0))</f>
        <v>0</v>
      </c>
      <c r="O533" s="205">
        <f>IF(ptc_sta_amount="n/a",Inputs!P182,IF(O$2&lt;=ptc_sta_term,ptc_sta_amount*(1+ptc_sta_escal/100)^N$2,0))</f>
        <v>0</v>
      </c>
      <c r="P533" s="205">
        <f>IF(ptc_sta_amount="n/a",Inputs!Q182,IF(P$2&lt;=ptc_sta_term,ptc_sta_amount*(1+ptc_sta_escal/100)^O$2,0))</f>
        <v>0</v>
      </c>
      <c r="Q533" s="205">
        <f>IF(ptc_sta_amount="n/a",Inputs!R182,IF(Q$2&lt;=ptc_sta_term,ptc_sta_amount*(1+ptc_sta_escal/100)^P$2,0))</f>
        <v>0</v>
      </c>
      <c r="R533" s="205">
        <f>IF(ptc_sta_amount="n/a",Inputs!S182,IF(R$2&lt;=ptc_sta_term,ptc_sta_amount*(1+ptc_sta_escal/100)^Q$2,0))</f>
        <v>0</v>
      </c>
      <c r="S533" s="205">
        <f>IF(ptc_sta_amount="n/a",Inputs!T182,IF(S$2&lt;=ptc_sta_term,ptc_sta_amount*(1+ptc_sta_escal/100)^R$2,0))</f>
        <v>0</v>
      </c>
      <c r="T533" s="205">
        <f>IF(ptc_sta_amount="n/a",Inputs!U182,IF(T$2&lt;=ptc_sta_term,ptc_sta_amount*(1+ptc_sta_escal/100)^S$2,0))</f>
        <v>0</v>
      </c>
      <c r="U533" s="205">
        <f>IF(ptc_sta_amount="n/a",Inputs!V182,IF(U$2&lt;=ptc_sta_term,ptc_sta_amount*(1+ptc_sta_escal/100)^T$2,0))</f>
        <v>0</v>
      </c>
      <c r="V533" s="205">
        <f>IF(ptc_sta_amount="n/a",Inputs!W182,IF(V$2&lt;=ptc_sta_term,ptc_sta_amount*(1+ptc_sta_escal/100)^U$2,0))</f>
        <v>0</v>
      </c>
      <c r="W533" s="205">
        <f>IF(ptc_sta_amount="n/a",Inputs!X182,IF(W$2&lt;=ptc_sta_term,ptc_sta_amount*(1+ptc_sta_escal/100)^V$2,0))</f>
        <v>0</v>
      </c>
      <c r="X533" s="205">
        <f>IF(ptc_sta_amount="n/a",Inputs!Y182,IF(X$2&lt;=ptc_sta_term,ptc_sta_amount*(1+ptc_sta_escal/100)^W$2,0))</f>
        <v>0</v>
      </c>
      <c r="Y533" s="205">
        <f>IF(ptc_sta_amount="n/a",Inputs!Z182,IF(Y$2&lt;=ptc_sta_term,ptc_sta_amount*(1+ptc_sta_escal/100)^X$2,0))</f>
        <v>0</v>
      </c>
      <c r="Z533" s="205">
        <f>IF(ptc_sta_amount="n/a",Inputs!AA182,IF(Z$2&lt;=ptc_sta_term,ptc_sta_amount*(1+ptc_sta_escal/100)^Y$2,0))</f>
        <v>0</v>
      </c>
      <c r="AA533" s="205">
        <f>IF(ptc_sta_amount="n/a",Inputs!AB182,IF(AA$2&lt;=ptc_sta_term,ptc_sta_amount*(1+ptc_sta_escal/100)^Z$2,0))</f>
        <v>0</v>
      </c>
      <c r="AB533" s="205">
        <f>IF(ptc_sta_amount="n/a",Inputs!AC182,IF(AB$2&lt;=ptc_sta_term,ptc_sta_amount*(1+ptc_sta_escal/100)^AA$2,0))</f>
        <v>0</v>
      </c>
      <c r="AC533" s="205">
        <f>IF(ptc_sta_amount="n/a",Inputs!AD182,IF(AC$2&lt;=ptc_sta_term,ptc_sta_amount*(1+ptc_sta_escal/100)^AB$2,0))</f>
        <v>0</v>
      </c>
      <c r="AD533" s="205">
        <f>IF(ptc_sta_amount="n/a",Inputs!AE182,IF(AD$2&lt;=ptc_sta_term,ptc_sta_amount*(1+ptc_sta_escal/100)^AC$2,0))</f>
        <v>0</v>
      </c>
      <c r="AE533" s="205">
        <f>IF(ptc_sta_amount="n/a",Inputs!AF182,IF(AE$2&lt;=ptc_sta_term,ptc_sta_amount*(1+ptc_sta_escal/100)^AD$2,0))</f>
        <v>0</v>
      </c>
      <c r="AF533" s="205">
        <f>IF(ptc_sta_amount="n/a",Inputs!AG182,IF(AF$2&lt;=ptc_sta_term,ptc_sta_amount*(1+ptc_sta_escal/100)^AE$2,0))</f>
        <v>0</v>
      </c>
      <c r="AG533" s="205">
        <f>IF(ptc_sta_amount="n/a",Inputs!AH182,IF(AG$2&lt;=ptc_sta_term,ptc_sta_amount*(1+ptc_sta_escal/100)^AF$2,0))</f>
        <v>0</v>
      </c>
      <c r="AH533" s="205">
        <f>IF(ptc_sta_amount="n/a",Inputs!AI182,IF(AH$2&lt;=ptc_sta_term,ptc_sta_amount*(1+ptc_sta_escal/100)^AG$2,0))</f>
        <v>0</v>
      </c>
      <c r="AI533" s="205">
        <f>IF(ptc_sta_amount="n/a",Inputs!AJ182,IF(AI$2&lt;=ptc_sta_term,ptc_sta_amount*(1+ptc_sta_escal/100)^AH$2,0))</f>
        <v>0</v>
      </c>
      <c r="AJ533" s="205">
        <f>IF(ptc_sta_amount="n/a",Inputs!AK182,IF(AJ$2&lt;=ptc_sta_term,ptc_sta_amount*(1+ptc_sta_escal/100)^AI$2,0))</f>
        <v>0</v>
      </c>
      <c r="AK533" s="205">
        <f>IF(ptc_sta_amount="n/a",Inputs!AL182,IF(AK$2&lt;=ptc_sta_term,ptc_sta_amount*(1+ptc_sta_escal/100)^AJ$2,0))</f>
        <v>0</v>
      </c>
      <c r="AL533" s="205">
        <f>IF(ptc_sta_amount="n/a",Inputs!AM182,IF(AL$2&lt;=ptc_sta_term,ptc_sta_amount*(1+ptc_sta_escal/100)^AK$2,0))</f>
        <v>0</v>
      </c>
      <c r="AM533" s="205">
        <f>IF(ptc_sta_amount="n/a",Inputs!AN182,IF(AM$2&lt;=ptc_sta_term,ptc_sta_amount*(1+ptc_sta_escal/100)^AL$2,0))</f>
        <v>0</v>
      </c>
      <c r="AN533" s="205">
        <f>IF(ptc_sta_amount="n/a",Inputs!AO182,IF(AN$2&lt;=ptc_sta_term,ptc_sta_amount*(1+ptc_sta_escal/100)^AM$2,0))</f>
        <v>0</v>
      </c>
      <c r="AO533" s="205">
        <f>IF(ptc_sta_amount="n/a",Inputs!AP182,IF(AO$2&lt;=ptc_sta_term,ptc_sta_amount*(1+ptc_sta_escal/100)^AN$2,0))</f>
        <v>0</v>
      </c>
      <c r="AP533" s="205">
        <f>IF(ptc_sta_amount="n/a",Inputs!AQ182,IF(AP$2&lt;=ptc_sta_term,ptc_sta_amount*(1+ptc_sta_escal/100)^AO$2,0))</f>
        <v>0</v>
      </c>
    </row>
    <row r="534" spans="1:42" x14ac:dyDescent="0.2">
      <c r="A534" s="90" t="s">
        <v>285</v>
      </c>
      <c r="C534" s="205">
        <f>ROUND(C533*1000,0)</f>
        <v>0</v>
      </c>
      <c r="D534" s="205">
        <f>ROUND(D533*1000,0)</f>
        <v>0</v>
      </c>
      <c r="E534" s="205">
        <f t="shared" ref="E534:AP534" si="266">ROUND(E533*1000,0)</f>
        <v>0</v>
      </c>
      <c r="F534" s="205">
        <f t="shared" si="266"/>
        <v>0</v>
      </c>
      <c r="G534" s="205">
        <f t="shared" si="266"/>
        <v>0</v>
      </c>
      <c r="H534" s="205">
        <f t="shared" si="266"/>
        <v>0</v>
      </c>
      <c r="I534" s="205">
        <f t="shared" si="266"/>
        <v>0</v>
      </c>
      <c r="J534" s="205">
        <f t="shared" si="266"/>
        <v>0</v>
      </c>
      <c r="K534" s="205">
        <f t="shared" si="266"/>
        <v>0</v>
      </c>
      <c r="L534" s="205">
        <f t="shared" si="266"/>
        <v>0</v>
      </c>
      <c r="M534" s="205">
        <f t="shared" si="266"/>
        <v>0</v>
      </c>
      <c r="N534" s="205">
        <f t="shared" si="266"/>
        <v>0</v>
      </c>
      <c r="O534" s="205">
        <f t="shared" si="266"/>
        <v>0</v>
      </c>
      <c r="P534" s="205">
        <f t="shared" si="266"/>
        <v>0</v>
      </c>
      <c r="Q534" s="205">
        <f t="shared" si="266"/>
        <v>0</v>
      </c>
      <c r="R534" s="205">
        <f t="shared" si="266"/>
        <v>0</v>
      </c>
      <c r="S534" s="205">
        <f t="shared" si="266"/>
        <v>0</v>
      </c>
      <c r="T534" s="205">
        <f t="shared" si="266"/>
        <v>0</v>
      </c>
      <c r="U534" s="205">
        <f t="shared" si="266"/>
        <v>0</v>
      </c>
      <c r="V534" s="205">
        <f t="shared" si="266"/>
        <v>0</v>
      </c>
      <c r="W534" s="205">
        <f t="shared" si="266"/>
        <v>0</v>
      </c>
      <c r="X534" s="205">
        <f t="shared" si="266"/>
        <v>0</v>
      </c>
      <c r="Y534" s="205">
        <f t="shared" si="266"/>
        <v>0</v>
      </c>
      <c r="Z534" s="205">
        <f t="shared" si="266"/>
        <v>0</v>
      </c>
      <c r="AA534" s="205">
        <f t="shared" si="266"/>
        <v>0</v>
      </c>
      <c r="AB534" s="205">
        <f t="shared" si="266"/>
        <v>0</v>
      </c>
      <c r="AC534" s="205">
        <f t="shared" si="266"/>
        <v>0</v>
      </c>
      <c r="AD534" s="205">
        <f t="shared" si="266"/>
        <v>0</v>
      </c>
      <c r="AE534" s="205">
        <f t="shared" si="266"/>
        <v>0</v>
      </c>
      <c r="AF534" s="205">
        <f t="shared" si="266"/>
        <v>0</v>
      </c>
      <c r="AG534" s="205">
        <f t="shared" si="266"/>
        <v>0</v>
      </c>
      <c r="AH534" s="205">
        <f t="shared" si="266"/>
        <v>0</v>
      </c>
      <c r="AI534" s="205">
        <f t="shared" si="266"/>
        <v>0</v>
      </c>
      <c r="AJ534" s="205">
        <f t="shared" si="266"/>
        <v>0</v>
      </c>
      <c r="AK534" s="205">
        <f t="shared" si="266"/>
        <v>0</v>
      </c>
      <c r="AL534" s="205">
        <f t="shared" si="266"/>
        <v>0</v>
      </c>
      <c r="AM534" s="205">
        <f t="shared" si="266"/>
        <v>0</v>
      </c>
      <c r="AN534" s="205">
        <f t="shared" si="266"/>
        <v>0</v>
      </c>
      <c r="AO534" s="205">
        <f t="shared" si="266"/>
        <v>0</v>
      </c>
      <c r="AP534" s="205">
        <f t="shared" si="266"/>
        <v>0</v>
      </c>
    </row>
    <row r="535" spans="1:42" x14ac:dyDescent="0.2">
      <c r="A535" s="90" t="s">
        <v>371</v>
      </c>
      <c r="C535" s="124">
        <f>C$5/1000</f>
        <v>211907</v>
      </c>
      <c r="D535" s="124">
        <f t="shared" ref="D535:AP535" si="267">D$5/1000</f>
        <v>210848</v>
      </c>
      <c r="E535" s="124">
        <f t="shared" si="267"/>
        <v>209794</v>
      </c>
      <c r="F535" s="124">
        <f t="shared" si="267"/>
        <v>208745</v>
      </c>
      <c r="G535" s="124">
        <f t="shared" si="267"/>
        <v>207701</v>
      </c>
      <c r="H535" s="124">
        <f t="shared" si="267"/>
        <v>206662</v>
      </c>
      <c r="I535" s="124">
        <f t="shared" si="267"/>
        <v>205629</v>
      </c>
      <c r="J535" s="124">
        <f t="shared" si="267"/>
        <v>204601</v>
      </c>
      <c r="K535" s="124">
        <f t="shared" si="267"/>
        <v>203578</v>
      </c>
      <c r="L535" s="124">
        <f t="shared" si="267"/>
        <v>202560</v>
      </c>
      <c r="M535" s="124">
        <f t="shared" si="267"/>
        <v>201547</v>
      </c>
      <c r="N535" s="124">
        <f t="shared" si="267"/>
        <v>200540</v>
      </c>
      <c r="O535" s="124">
        <f t="shared" si="267"/>
        <v>199537</v>
      </c>
      <c r="P535" s="124">
        <f t="shared" si="267"/>
        <v>198539</v>
      </c>
      <c r="Q535" s="124">
        <f t="shared" si="267"/>
        <v>197547</v>
      </c>
      <c r="R535" s="124">
        <f t="shared" si="267"/>
        <v>196559</v>
      </c>
      <c r="S535" s="124">
        <f t="shared" si="267"/>
        <v>195576</v>
      </c>
      <c r="T535" s="124">
        <f t="shared" si="267"/>
        <v>194598</v>
      </c>
      <c r="U535" s="124">
        <f t="shared" si="267"/>
        <v>193625</v>
      </c>
      <c r="V535" s="124">
        <f t="shared" si="267"/>
        <v>192657</v>
      </c>
      <c r="W535" s="124">
        <f t="shared" si="267"/>
        <v>191694</v>
      </c>
      <c r="X535" s="124">
        <f t="shared" si="267"/>
        <v>190735</v>
      </c>
      <c r="Y535" s="124">
        <f t="shared" si="267"/>
        <v>189782</v>
      </c>
      <c r="Z535" s="124">
        <f t="shared" si="267"/>
        <v>188833</v>
      </c>
      <c r="AA535" s="124">
        <f t="shared" si="267"/>
        <v>187888</v>
      </c>
      <c r="AB535" s="124">
        <f t="shared" si="267"/>
        <v>0</v>
      </c>
      <c r="AC535" s="124">
        <f t="shared" si="267"/>
        <v>0</v>
      </c>
      <c r="AD535" s="124">
        <f t="shared" si="267"/>
        <v>0</v>
      </c>
      <c r="AE535" s="124">
        <f t="shared" si="267"/>
        <v>0</v>
      </c>
      <c r="AF535" s="124">
        <f t="shared" si="267"/>
        <v>0</v>
      </c>
      <c r="AG535" s="124">
        <f t="shared" si="267"/>
        <v>0</v>
      </c>
      <c r="AH535" s="124">
        <f t="shared" si="267"/>
        <v>0</v>
      </c>
      <c r="AI535" s="124">
        <f t="shared" si="267"/>
        <v>0</v>
      </c>
      <c r="AJ535" s="124">
        <f t="shared" si="267"/>
        <v>0</v>
      </c>
      <c r="AK535" s="124">
        <f t="shared" si="267"/>
        <v>0</v>
      </c>
      <c r="AL535" s="124">
        <f t="shared" si="267"/>
        <v>0</v>
      </c>
      <c r="AM535" s="124">
        <f t="shared" si="267"/>
        <v>0</v>
      </c>
      <c r="AN535" s="124">
        <f t="shared" si="267"/>
        <v>0</v>
      </c>
      <c r="AO535" s="124">
        <f t="shared" si="267"/>
        <v>0</v>
      </c>
      <c r="AP535" s="124">
        <f t="shared" si="267"/>
        <v>0</v>
      </c>
    </row>
    <row r="536" spans="1:42" x14ac:dyDescent="0.2">
      <c r="A536" s="90" t="s">
        <v>13</v>
      </c>
      <c r="C536" s="123">
        <f>C534*C535</f>
        <v>0</v>
      </c>
      <c r="D536" s="123">
        <f>D534*D535</f>
        <v>0</v>
      </c>
      <c r="E536" s="123">
        <f t="shared" ref="E536:AP536" si="268">E534*E535</f>
        <v>0</v>
      </c>
      <c r="F536" s="123">
        <f t="shared" si="268"/>
        <v>0</v>
      </c>
      <c r="G536" s="123">
        <f t="shared" si="268"/>
        <v>0</v>
      </c>
      <c r="H536" s="123">
        <f t="shared" si="268"/>
        <v>0</v>
      </c>
      <c r="I536" s="123">
        <f t="shared" si="268"/>
        <v>0</v>
      </c>
      <c r="J536" s="123">
        <f t="shared" si="268"/>
        <v>0</v>
      </c>
      <c r="K536" s="123">
        <f t="shared" si="268"/>
        <v>0</v>
      </c>
      <c r="L536" s="123">
        <f t="shared" si="268"/>
        <v>0</v>
      </c>
      <c r="M536" s="123">
        <f t="shared" si="268"/>
        <v>0</v>
      </c>
      <c r="N536" s="123">
        <f t="shared" si="268"/>
        <v>0</v>
      </c>
      <c r="O536" s="123">
        <f t="shared" si="268"/>
        <v>0</v>
      </c>
      <c r="P536" s="123">
        <f t="shared" si="268"/>
        <v>0</v>
      </c>
      <c r="Q536" s="123">
        <f t="shared" si="268"/>
        <v>0</v>
      </c>
      <c r="R536" s="123">
        <f t="shared" si="268"/>
        <v>0</v>
      </c>
      <c r="S536" s="123">
        <f t="shared" si="268"/>
        <v>0</v>
      </c>
      <c r="T536" s="123">
        <f t="shared" si="268"/>
        <v>0</v>
      </c>
      <c r="U536" s="123">
        <f t="shared" si="268"/>
        <v>0</v>
      </c>
      <c r="V536" s="123">
        <f t="shared" si="268"/>
        <v>0</v>
      </c>
      <c r="W536" s="123">
        <f t="shared" si="268"/>
        <v>0</v>
      </c>
      <c r="X536" s="123">
        <f t="shared" si="268"/>
        <v>0</v>
      </c>
      <c r="Y536" s="123">
        <f t="shared" si="268"/>
        <v>0</v>
      </c>
      <c r="Z536" s="123">
        <f t="shared" si="268"/>
        <v>0</v>
      </c>
      <c r="AA536" s="123">
        <f t="shared" si="268"/>
        <v>0</v>
      </c>
      <c r="AB536" s="123">
        <f t="shared" si="268"/>
        <v>0</v>
      </c>
      <c r="AC536" s="123">
        <f t="shared" si="268"/>
        <v>0</v>
      </c>
      <c r="AD536" s="123">
        <f t="shared" si="268"/>
        <v>0</v>
      </c>
      <c r="AE536" s="123">
        <f t="shared" si="268"/>
        <v>0</v>
      </c>
      <c r="AF536" s="123">
        <f t="shared" si="268"/>
        <v>0</v>
      </c>
      <c r="AG536" s="123">
        <f t="shared" si="268"/>
        <v>0</v>
      </c>
      <c r="AH536" s="123">
        <f t="shared" si="268"/>
        <v>0</v>
      </c>
      <c r="AI536" s="123">
        <f t="shared" si="268"/>
        <v>0</v>
      </c>
      <c r="AJ536" s="123">
        <f t="shared" si="268"/>
        <v>0</v>
      </c>
      <c r="AK536" s="123">
        <f t="shared" si="268"/>
        <v>0</v>
      </c>
      <c r="AL536" s="123">
        <f t="shared" si="268"/>
        <v>0</v>
      </c>
      <c r="AM536" s="123">
        <f t="shared" si="268"/>
        <v>0</v>
      </c>
      <c r="AN536" s="123">
        <f t="shared" si="268"/>
        <v>0</v>
      </c>
      <c r="AO536" s="123">
        <f t="shared" si="268"/>
        <v>0</v>
      </c>
      <c r="AP536" s="123">
        <f t="shared" si="268"/>
        <v>0</v>
      </c>
    </row>
    <row r="537" spans="1:42" x14ac:dyDescent="0.2">
      <c r="A537" s="18"/>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5"/>
    </row>
    <row r="538" spans="1:42" x14ac:dyDescent="0.2">
      <c r="A538" s="18" t="s">
        <v>4</v>
      </c>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5"/>
    </row>
    <row r="539" spans="1:42" x14ac:dyDescent="0.2">
      <c r="A539" s="90" t="s">
        <v>284</v>
      </c>
      <c r="C539" s="205">
        <f>IF(ptc_fed_amount="n/a",Inputs!D181,IF(C$2&lt;=ptc_fed_term,ptc_fed_amount*(1+ptc_fed_escal/100)^B$2,0))</f>
        <v>0</v>
      </c>
      <c r="D539" s="205">
        <f>IF(ptc_fed_amount="n/a",Inputs!E181,IF(D$2&lt;=ptc_fed_term,ptc_fed_amount*(1+ptc_fed_escal/100)^C$2,0))</f>
        <v>0</v>
      </c>
      <c r="E539" s="205">
        <f>IF(ptc_fed_amount="n/a",Inputs!F181,IF(E$2&lt;=ptc_fed_term,ptc_fed_amount*(1+ptc_fed_escal/100)^D$2,0))</f>
        <v>0</v>
      </c>
      <c r="F539" s="205">
        <f>IF(ptc_fed_amount="n/a",Inputs!G181,IF(F$2&lt;=ptc_fed_term,ptc_fed_amount*(1+ptc_fed_escal/100)^E$2,0))</f>
        <v>0</v>
      </c>
      <c r="G539" s="205">
        <f>IF(ptc_fed_amount="n/a",Inputs!H181,IF(G$2&lt;=ptc_fed_term,ptc_fed_amount*(1+ptc_fed_escal/100)^F$2,0))</f>
        <v>0</v>
      </c>
      <c r="H539" s="205">
        <f>IF(ptc_fed_amount="n/a",Inputs!I181,IF(H$2&lt;=ptc_fed_term,ptc_fed_amount*(1+ptc_fed_escal/100)^G$2,0))</f>
        <v>0</v>
      </c>
      <c r="I539" s="205">
        <f>IF(ptc_fed_amount="n/a",Inputs!J181,IF(I$2&lt;=ptc_fed_term,ptc_fed_amount*(1+ptc_fed_escal/100)^H$2,0))</f>
        <v>0</v>
      </c>
      <c r="J539" s="205">
        <f>IF(ptc_fed_amount="n/a",Inputs!K181,IF(J$2&lt;=ptc_fed_term,ptc_fed_amount*(1+ptc_fed_escal/100)^I$2,0))</f>
        <v>0</v>
      </c>
      <c r="K539" s="205">
        <f>IF(ptc_fed_amount="n/a",Inputs!L181,IF(K$2&lt;=ptc_fed_term,ptc_fed_amount*(1+ptc_fed_escal/100)^J$2,0))</f>
        <v>0</v>
      </c>
      <c r="L539" s="205">
        <f>IF(ptc_fed_amount="n/a",Inputs!M181,IF(L$2&lt;=ptc_fed_term,ptc_fed_amount*(1+ptc_fed_escal/100)^K$2,0))</f>
        <v>0</v>
      </c>
      <c r="M539" s="205">
        <f>IF(ptc_fed_amount="n/a",Inputs!N181,IF(M$2&lt;=ptc_fed_term,ptc_fed_amount*(1+ptc_fed_escal/100)^L$2,0))</f>
        <v>0</v>
      </c>
      <c r="N539" s="205">
        <f>IF(ptc_fed_amount="n/a",Inputs!O181,IF(N$2&lt;=ptc_fed_term,ptc_fed_amount*(1+ptc_fed_escal/100)^M$2,0))</f>
        <v>0</v>
      </c>
      <c r="O539" s="205">
        <f>IF(ptc_fed_amount="n/a",Inputs!P181,IF(O$2&lt;=ptc_fed_term,ptc_fed_amount*(1+ptc_fed_escal/100)^N$2,0))</f>
        <v>0</v>
      </c>
      <c r="P539" s="205">
        <f>IF(ptc_fed_amount="n/a",Inputs!Q181,IF(P$2&lt;=ptc_fed_term,ptc_fed_amount*(1+ptc_fed_escal/100)^O$2,0))</f>
        <v>0</v>
      </c>
      <c r="Q539" s="205">
        <f>IF(ptc_fed_amount="n/a",Inputs!R181,IF(Q$2&lt;=ptc_fed_term,ptc_fed_amount*(1+ptc_fed_escal/100)^P$2,0))</f>
        <v>0</v>
      </c>
      <c r="R539" s="205">
        <f>IF(ptc_fed_amount="n/a",Inputs!S181,IF(R$2&lt;=ptc_fed_term,ptc_fed_amount*(1+ptc_fed_escal/100)^Q$2,0))</f>
        <v>0</v>
      </c>
      <c r="S539" s="205">
        <f>IF(ptc_fed_amount="n/a",Inputs!T181,IF(S$2&lt;=ptc_fed_term,ptc_fed_amount*(1+ptc_fed_escal/100)^R$2,0))</f>
        <v>0</v>
      </c>
      <c r="T539" s="205">
        <f>IF(ptc_fed_amount="n/a",Inputs!U181,IF(T$2&lt;=ptc_fed_term,ptc_fed_amount*(1+ptc_fed_escal/100)^S$2,0))</f>
        <v>0</v>
      </c>
      <c r="U539" s="205">
        <f>IF(ptc_fed_amount="n/a",Inputs!V181,IF(U$2&lt;=ptc_fed_term,ptc_fed_amount*(1+ptc_fed_escal/100)^T$2,0))</f>
        <v>0</v>
      </c>
      <c r="V539" s="205">
        <f>IF(ptc_fed_amount="n/a",Inputs!W181,IF(V$2&lt;=ptc_fed_term,ptc_fed_amount*(1+ptc_fed_escal/100)^U$2,0))</f>
        <v>0</v>
      </c>
      <c r="W539" s="205">
        <f>IF(ptc_fed_amount="n/a",Inputs!X181,IF(W$2&lt;=ptc_fed_term,ptc_fed_amount*(1+ptc_fed_escal/100)^V$2,0))</f>
        <v>0</v>
      </c>
      <c r="X539" s="205">
        <f>IF(ptc_fed_amount="n/a",Inputs!Y181,IF(X$2&lt;=ptc_fed_term,ptc_fed_amount*(1+ptc_fed_escal/100)^W$2,0))</f>
        <v>0</v>
      </c>
      <c r="Y539" s="205">
        <f>IF(ptc_fed_amount="n/a",Inputs!Z181,IF(Y$2&lt;=ptc_fed_term,ptc_fed_amount*(1+ptc_fed_escal/100)^X$2,0))</f>
        <v>0</v>
      </c>
      <c r="Z539" s="205">
        <f>IF(ptc_fed_amount="n/a",Inputs!AA181,IF(Z$2&lt;=ptc_fed_term,ptc_fed_amount*(1+ptc_fed_escal/100)^Y$2,0))</f>
        <v>0</v>
      </c>
      <c r="AA539" s="205">
        <f>IF(ptc_fed_amount="n/a",Inputs!AB181,IF(AA$2&lt;=ptc_fed_term,ptc_fed_amount*(1+ptc_fed_escal/100)^Z$2,0))</f>
        <v>0</v>
      </c>
      <c r="AB539" s="205">
        <f>IF(ptc_fed_amount="n/a",Inputs!AC181,IF(AB$2&lt;=ptc_fed_term,ptc_fed_amount*(1+ptc_fed_escal/100)^AA$2,0))</f>
        <v>0</v>
      </c>
      <c r="AC539" s="205">
        <f>IF(ptc_fed_amount="n/a",Inputs!AD181,IF(AC$2&lt;=ptc_fed_term,ptc_fed_amount*(1+ptc_fed_escal/100)^AB$2,0))</f>
        <v>0</v>
      </c>
      <c r="AD539" s="205">
        <f>IF(ptc_fed_amount="n/a",Inputs!AE181,IF(AD$2&lt;=ptc_fed_term,ptc_fed_amount*(1+ptc_fed_escal/100)^AC$2,0))</f>
        <v>0</v>
      </c>
      <c r="AE539" s="205">
        <f>IF(ptc_fed_amount="n/a",Inputs!AF181,IF(AE$2&lt;=ptc_fed_term,ptc_fed_amount*(1+ptc_fed_escal/100)^AD$2,0))</f>
        <v>0</v>
      </c>
      <c r="AF539" s="205">
        <f>IF(ptc_fed_amount="n/a",Inputs!AG181,IF(AF$2&lt;=ptc_fed_term,ptc_fed_amount*(1+ptc_fed_escal/100)^AE$2,0))</f>
        <v>0</v>
      </c>
      <c r="AG539" s="205">
        <f>IF(ptc_fed_amount="n/a",Inputs!AH181,IF(AG$2&lt;=ptc_fed_term,ptc_fed_amount*(1+ptc_fed_escal/100)^AF$2,0))</f>
        <v>0</v>
      </c>
      <c r="AH539" s="205">
        <f>IF(ptc_fed_amount="n/a",Inputs!AI181,IF(AH$2&lt;=ptc_fed_term,ptc_fed_amount*(1+ptc_fed_escal/100)^AG$2,0))</f>
        <v>0</v>
      </c>
      <c r="AI539" s="205">
        <f>IF(ptc_fed_amount="n/a",Inputs!AJ181,IF(AI$2&lt;=ptc_fed_term,ptc_fed_amount*(1+ptc_fed_escal/100)^AH$2,0))</f>
        <v>0</v>
      </c>
      <c r="AJ539" s="205">
        <f>IF(ptc_fed_amount="n/a",Inputs!AK181,IF(AJ$2&lt;=ptc_fed_term,ptc_fed_amount*(1+ptc_fed_escal/100)^AI$2,0))</f>
        <v>0</v>
      </c>
      <c r="AK539" s="205">
        <f>IF(ptc_fed_amount="n/a",Inputs!AL181,IF(AK$2&lt;=ptc_fed_term,ptc_fed_amount*(1+ptc_fed_escal/100)^AJ$2,0))</f>
        <v>0</v>
      </c>
      <c r="AL539" s="205">
        <f>IF(ptc_fed_amount="n/a",Inputs!AM181,IF(AL$2&lt;=ptc_fed_term,ptc_fed_amount*(1+ptc_fed_escal/100)^AK$2,0))</f>
        <v>0</v>
      </c>
      <c r="AM539" s="205">
        <f>IF(ptc_fed_amount="n/a",Inputs!AN181,IF(AM$2&lt;=ptc_fed_term,ptc_fed_amount*(1+ptc_fed_escal/100)^AL$2,0))</f>
        <v>0</v>
      </c>
      <c r="AN539" s="205">
        <f>IF(ptc_fed_amount="n/a",Inputs!AO181,IF(AN$2&lt;=ptc_fed_term,ptc_fed_amount*(1+ptc_fed_escal/100)^AM$2,0))</f>
        <v>0</v>
      </c>
      <c r="AO539" s="205">
        <f>IF(ptc_fed_amount="n/a",Inputs!AP181,IF(AO$2&lt;=ptc_fed_term,ptc_fed_amount*(1+ptc_fed_escal/100)^AN$2,0))</f>
        <v>0</v>
      </c>
      <c r="AP539" s="205">
        <f>IF(ptc_fed_amount="n/a",Inputs!AQ181,IF(AP$2&lt;=ptc_fed_term,ptc_fed_amount*(1+ptc_fed_escal/100)^AO$2,0))</f>
        <v>0</v>
      </c>
    </row>
    <row r="540" spans="1:42" x14ac:dyDescent="0.2">
      <c r="A540" s="90" t="s">
        <v>285</v>
      </c>
      <c r="C540" s="205">
        <f>ROUND(C539*1000,0)</f>
        <v>0</v>
      </c>
      <c r="D540" s="205">
        <f>ROUND(D539*1000,0)</f>
        <v>0</v>
      </c>
      <c r="E540" s="205">
        <f t="shared" ref="E540:AP540" si="269">ROUND(E539*1000,0)</f>
        <v>0</v>
      </c>
      <c r="F540" s="205">
        <f t="shared" si="269"/>
        <v>0</v>
      </c>
      <c r="G540" s="205">
        <f t="shared" si="269"/>
        <v>0</v>
      </c>
      <c r="H540" s="205">
        <f t="shared" si="269"/>
        <v>0</v>
      </c>
      <c r="I540" s="205">
        <f t="shared" si="269"/>
        <v>0</v>
      </c>
      <c r="J540" s="205">
        <f t="shared" si="269"/>
        <v>0</v>
      </c>
      <c r="K540" s="205">
        <f t="shared" si="269"/>
        <v>0</v>
      </c>
      <c r="L540" s="205">
        <f t="shared" si="269"/>
        <v>0</v>
      </c>
      <c r="M540" s="205">
        <f t="shared" si="269"/>
        <v>0</v>
      </c>
      <c r="N540" s="205">
        <f t="shared" si="269"/>
        <v>0</v>
      </c>
      <c r="O540" s="205">
        <f t="shared" si="269"/>
        <v>0</v>
      </c>
      <c r="P540" s="205">
        <f t="shared" si="269"/>
        <v>0</v>
      </c>
      <c r="Q540" s="205">
        <f t="shared" si="269"/>
        <v>0</v>
      </c>
      <c r="R540" s="205">
        <f t="shared" si="269"/>
        <v>0</v>
      </c>
      <c r="S540" s="205">
        <f t="shared" si="269"/>
        <v>0</v>
      </c>
      <c r="T540" s="205">
        <f t="shared" si="269"/>
        <v>0</v>
      </c>
      <c r="U540" s="205">
        <f t="shared" si="269"/>
        <v>0</v>
      </c>
      <c r="V540" s="205">
        <f t="shared" si="269"/>
        <v>0</v>
      </c>
      <c r="W540" s="205">
        <f t="shared" si="269"/>
        <v>0</v>
      </c>
      <c r="X540" s="205">
        <f t="shared" si="269"/>
        <v>0</v>
      </c>
      <c r="Y540" s="205">
        <f t="shared" si="269"/>
        <v>0</v>
      </c>
      <c r="Z540" s="205">
        <f t="shared" si="269"/>
        <v>0</v>
      </c>
      <c r="AA540" s="205">
        <f t="shared" si="269"/>
        <v>0</v>
      </c>
      <c r="AB540" s="205">
        <f t="shared" si="269"/>
        <v>0</v>
      </c>
      <c r="AC540" s="205">
        <f t="shared" si="269"/>
        <v>0</v>
      </c>
      <c r="AD540" s="205">
        <f t="shared" si="269"/>
        <v>0</v>
      </c>
      <c r="AE540" s="205">
        <f t="shared" si="269"/>
        <v>0</v>
      </c>
      <c r="AF540" s="205">
        <f t="shared" si="269"/>
        <v>0</v>
      </c>
      <c r="AG540" s="205">
        <f t="shared" si="269"/>
        <v>0</v>
      </c>
      <c r="AH540" s="205">
        <f t="shared" si="269"/>
        <v>0</v>
      </c>
      <c r="AI540" s="205">
        <f t="shared" si="269"/>
        <v>0</v>
      </c>
      <c r="AJ540" s="205">
        <f t="shared" si="269"/>
        <v>0</v>
      </c>
      <c r="AK540" s="205">
        <f t="shared" si="269"/>
        <v>0</v>
      </c>
      <c r="AL540" s="205">
        <f t="shared" si="269"/>
        <v>0</v>
      </c>
      <c r="AM540" s="205">
        <f t="shared" si="269"/>
        <v>0</v>
      </c>
      <c r="AN540" s="205">
        <f t="shared" si="269"/>
        <v>0</v>
      </c>
      <c r="AO540" s="205">
        <f t="shared" si="269"/>
        <v>0</v>
      </c>
      <c r="AP540" s="205">
        <f t="shared" si="269"/>
        <v>0</v>
      </c>
    </row>
    <row r="541" spans="1:42" x14ac:dyDescent="0.2">
      <c r="A541" s="90" t="s">
        <v>371</v>
      </c>
      <c r="C541" s="124">
        <f>C$5/1000</f>
        <v>211907</v>
      </c>
      <c r="D541" s="124">
        <f t="shared" ref="D541:AP541" si="270">D$5/1000</f>
        <v>210848</v>
      </c>
      <c r="E541" s="124">
        <f t="shared" si="270"/>
        <v>209794</v>
      </c>
      <c r="F541" s="124">
        <f t="shared" si="270"/>
        <v>208745</v>
      </c>
      <c r="G541" s="124">
        <f t="shared" si="270"/>
        <v>207701</v>
      </c>
      <c r="H541" s="124">
        <f t="shared" si="270"/>
        <v>206662</v>
      </c>
      <c r="I541" s="124">
        <f t="shared" si="270"/>
        <v>205629</v>
      </c>
      <c r="J541" s="124">
        <f t="shared" si="270"/>
        <v>204601</v>
      </c>
      <c r="K541" s="124">
        <f t="shared" si="270"/>
        <v>203578</v>
      </c>
      <c r="L541" s="124">
        <f t="shared" si="270"/>
        <v>202560</v>
      </c>
      <c r="M541" s="124">
        <f t="shared" si="270"/>
        <v>201547</v>
      </c>
      <c r="N541" s="124">
        <f t="shared" si="270"/>
        <v>200540</v>
      </c>
      <c r="O541" s="124">
        <f t="shared" si="270"/>
        <v>199537</v>
      </c>
      <c r="P541" s="124">
        <f t="shared" si="270"/>
        <v>198539</v>
      </c>
      <c r="Q541" s="124">
        <f t="shared" si="270"/>
        <v>197547</v>
      </c>
      <c r="R541" s="124">
        <f t="shared" si="270"/>
        <v>196559</v>
      </c>
      <c r="S541" s="124">
        <f t="shared" si="270"/>
        <v>195576</v>
      </c>
      <c r="T541" s="124">
        <f t="shared" si="270"/>
        <v>194598</v>
      </c>
      <c r="U541" s="124">
        <f t="shared" si="270"/>
        <v>193625</v>
      </c>
      <c r="V541" s="124">
        <f t="shared" si="270"/>
        <v>192657</v>
      </c>
      <c r="W541" s="124">
        <f t="shared" si="270"/>
        <v>191694</v>
      </c>
      <c r="X541" s="124">
        <f t="shared" si="270"/>
        <v>190735</v>
      </c>
      <c r="Y541" s="124">
        <f t="shared" si="270"/>
        <v>189782</v>
      </c>
      <c r="Z541" s="124">
        <f t="shared" si="270"/>
        <v>188833</v>
      </c>
      <c r="AA541" s="124">
        <f t="shared" si="270"/>
        <v>187888</v>
      </c>
      <c r="AB541" s="124">
        <f t="shared" si="270"/>
        <v>0</v>
      </c>
      <c r="AC541" s="124">
        <f t="shared" si="270"/>
        <v>0</v>
      </c>
      <c r="AD541" s="124">
        <f t="shared" si="270"/>
        <v>0</v>
      </c>
      <c r="AE541" s="124">
        <f t="shared" si="270"/>
        <v>0</v>
      </c>
      <c r="AF541" s="124">
        <f t="shared" si="270"/>
        <v>0</v>
      </c>
      <c r="AG541" s="124">
        <f t="shared" si="270"/>
        <v>0</v>
      </c>
      <c r="AH541" s="124">
        <f t="shared" si="270"/>
        <v>0</v>
      </c>
      <c r="AI541" s="124">
        <f t="shared" si="270"/>
        <v>0</v>
      </c>
      <c r="AJ541" s="124">
        <f t="shared" si="270"/>
        <v>0</v>
      </c>
      <c r="AK541" s="124">
        <f t="shared" si="270"/>
        <v>0</v>
      </c>
      <c r="AL541" s="124">
        <f t="shared" si="270"/>
        <v>0</v>
      </c>
      <c r="AM541" s="124">
        <f t="shared" si="270"/>
        <v>0</v>
      </c>
      <c r="AN541" s="124">
        <f t="shared" si="270"/>
        <v>0</v>
      </c>
      <c r="AO541" s="124">
        <f t="shared" si="270"/>
        <v>0</v>
      </c>
      <c r="AP541" s="124">
        <f t="shared" si="270"/>
        <v>0</v>
      </c>
    </row>
    <row r="542" spans="1:42" x14ac:dyDescent="0.2">
      <c r="A542" s="90" t="s">
        <v>13</v>
      </c>
      <c r="C542" s="123">
        <f>C540*C541</f>
        <v>0</v>
      </c>
      <c r="D542" s="123">
        <f>D540*D541</f>
        <v>0</v>
      </c>
      <c r="E542" s="123">
        <f t="shared" ref="E542:AP542" si="271">E540*E541</f>
        <v>0</v>
      </c>
      <c r="F542" s="123">
        <f t="shared" si="271"/>
        <v>0</v>
      </c>
      <c r="G542" s="123">
        <f t="shared" si="271"/>
        <v>0</v>
      </c>
      <c r="H542" s="123">
        <f t="shared" si="271"/>
        <v>0</v>
      </c>
      <c r="I542" s="123">
        <f t="shared" si="271"/>
        <v>0</v>
      </c>
      <c r="J542" s="123">
        <f t="shared" si="271"/>
        <v>0</v>
      </c>
      <c r="K542" s="123">
        <f t="shared" si="271"/>
        <v>0</v>
      </c>
      <c r="L542" s="123">
        <f t="shared" si="271"/>
        <v>0</v>
      </c>
      <c r="M542" s="123">
        <f t="shared" si="271"/>
        <v>0</v>
      </c>
      <c r="N542" s="123">
        <f t="shared" si="271"/>
        <v>0</v>
      </c>
      <c r="O542" s="123">
        <f t="shared" si="271"/>
        <v>0</v>
      </c>
      <c r="P542" s="123">
        <f t="shared" si="271"/>
        <v>0</v>
      </c>
      <c r="Q542" s="123">
        <f t="shared" si="271"/>
        <v>0</v>
      </c>
      <c r="R542" s="123">
        <f t="shared" si="271"/>
        <v>0</v>
      </c>
      <c r="S542" s="123">
        <f t="shared" si="271"/>
        <v>0</v>
      </c>
      <c r="T542" s="123">
        <f t="shared" si="271"/>
        <v>0</v>
      </c>
      <c r="U542" s="123">
        <f t="shared" si="271"/>
        <v>0</v>
      </c>
      <c r="V542" s="123">
        <f t="shared" si="271"/>
        <v>0</v>
      </c>
      <c r="W542" s="123">
        <f t="shared" si="271"/>
        <v>0</v>
      </c>
      <c r="X542" s="123">
        <f t="shared" si="271"/>
        <v>0</v>
      </c>
      <c r="Y542" s="123">
        <f t="shared" si="271"/>
        <v>0</v>
      </c>
      <c r="Z542" s="123">
        <f t="shared" si="271"/>
        <v>0</v>
      </c>
      <c r="AA542" s="123">
        <f t="shared" si="271"/>
        <v>0</v>
      </c>
      <c r="AB542" s="123">
        <f t="shared" si="271"/>
        <v>0</v>
      </c>
      <c r="AC542" s="123">
        <f t="shared" si="271"/>
        <v>0</v>
      </c>
      <c r="AD542" s="123">
        <f t="shared" si="271"/>
        <v>0</v>
      </c>
      <c r="AE542" s="123">
        <f t="shared" si="271"/>
        <v>0</v>
      </c>
      <c r="AF542" s="123">
        <f t="shared" si="271"/>
        <v>0</v>
      </c>
      <c r="AG542" s="123">
        <f t="shared" si="271"/>
        <v>0</v>
      </c>
      <c r="AH542" s="123">
        <f t="shared" si="271"/>
        <v>0</v>
      </c>
      <c r="AI542" s="123">
        <f t="shared" si="271"/>
        <v>0</v>
      </c>
      <c r="AJ542" s="123">
        <f t="shared" si="271"/>
        <v>0</v>
      </c>
      <c r="AK542" s="123">
        <f t="shared" si="271"/>
        <v>0</v>
      </c>
      <c r="AL542" s="123">
        <f t="shared" si="271"/>
        <v>0</v>
      </c>
      <c r="AM542" s="123">
        <f t="shared" si="271"/>
        <v>0</v>
      </c>
      <c r="AN542" s="123">
        <f t="shared" si="271"/>
        <v>0</v>
      </c>
      <c r="AO542" s="123">
        <f t="shared" si="271"/>
        <v>0</v>
      </c>
      <c r="AP542" s="123">
        <f t="shared" si="271"/>
        <v>0</v>
      </c>
    </row>
    <row r="543" spans="1:42" x14ac:dyDescent="0.2">
      <c r="A543" s="22"/>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5"/>
    </row>
    <row r="544" spans="1:42" x14ac:dyDescent="0.2">
      <c r="A544" s="20" t="s">
        <v>16</v>
      </c>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5"/>
    </row>
    <row r="545" spans="1:42" x14ac:dyDescent="0.2">
      <c r="A545" s="18" t="str">
        <f>Inputs!B114</f>
        <v>As fixed amount</v>
      </c>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5"/>
    </row>
    <row r="546" spans="1:42" x14ac:dyDescent="0.2">
      <c r="A546" s="22" t="str">
        <f>Inputs!B115</f>
        <v>Federal ($)</v>
      </c>
      <c r="C546" s="123">
        <f>ibi_fed_amount</f>
        <v>0</v>
      </c>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5"/>
    </row>
    <row r="547" spans="1:42" x14ac:dyDescent="0.2">
      <c r="A547" s="22" t="str">
        <f>Inputs!B116</f>
        <v>State ($)</v>
      </c>
      <c r="C547" s="123">
        <f>ibi_sta_amount</f>
        <v>0</v>
      </c>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row>
    <row r="548" spans="1:42" x14ac:dyDescent="0.2">
      <c r="A548" s="22" t="str">
        <f>Inputs!B117</f>
        <v>Utility ($)</v>
      </c>
      <c r="C548" s="123">
        <f>ibi_uti_amount</f>
        <v>0</v>
      </c>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row>
    <row r="549" spans="1:42" x14ac:dyDescent="0.2">
      <c r="A549" s="22" t="str">
        <f>Inputs!B118</f>
        <v>Other ($)</v>
      </c>
      <c r="C549" s="124">
        <f>ibi_oth_amount</f>
        <v>0</v>
      </c>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row>
    <row r="550" spans="1:42" x14ac:dyDescent="0.2">
      <c r="A550" s="22" t="s">
        <v>13</v>
      </c>
      <c r="C550" s="123">
        <f>SUM(C546:C549)</f>
        <v>0</v>
      </c>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5"/>
    </row>
    <row r="551" spans="1:42" x14ac:dyDescent="0.2">
      <c r="A551" s="18" t="str">
        <f>Inputs!B119</f>
        <v>As percentage</v>
      </c>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5"/>
    </row>
    <row r="552" spans="1:42" x14ac:dyDescent="0.2">
      <c r="A552" s="22" t="str">
        <f>Inputs!B120</f>
        <v>Federal (% of total installed cost)</v>
      </c>
      <c r="C552" s="161">
        <f>MIN(ibi_fed_percent/100*total_installed_cost,Inputs!D120)</f>
        <v>0</v>
      </c>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5"/>
    </row>
    <row r="553" spans="1:42" x14ac:dyDescent="0.2">
      <c r="A553" s="22" t="str">
        <f>Inputs!B121</f>
        <v>State (% of total installed cost)</v>
      </c>
      <c r="C553" s="161">
        <f>MIN(ibi_sta_percent/100*total_installed_cost,Inputs!D121)</f>
        <v>0</v>
      </c>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5"/>
    </row>
    <row r="554" spans="1:42" x14ac:dyDescent="0.2">
      <c r="A554" s="22" t="str">
        <f>Inputs!B122</f>
        <v>Utility (% of total installed cost)</v>
      </c>
      <c r="C554" s="161">
        <f>MIN(ibi_uti_percent/100*total_installed_cost,Inputs!D122)</f>
        <v>0</v>
      </c>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5"/>
    </row>
    <row r="555" spans="1:42" x14ac:dyDescent="0.2">
      <c r="A555" s="22" t="str">
        <f>Inputs!B123</f>
        <v>Other (% of total installed cost)</v>
      </c>
      <c r="C555" s="161">
        <f>MIN(ibi_oth_percent/100*total_installed_cost,Inputs!D123)</f>
        <v>0</v>
      </c>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5"/>
    </row>
    <row r="556" spans="1:42" x14ac:dyDescent="0.2">
      <c r="A556" s="22" t="s">
        <v>13</v>
      </c>
      <c r="C556" s="129">
        <f>SUM(C552:C555)</f>
        <v>0</v>
      </c>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5"/>
    </row>
    <row r="557" spans="1:42" x14ac:dyDescent="0.2">
      <c r="A557" s="22"/>
      <c r="C557" s="123"/>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5"/>
    </row>
    <row r="558" spans="1:42" x14ac:dyDescent="0.2">
      <c r="A558" s="20" t="s">
        <v>37</v>
      </c>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row>
    <row r="559" spans="1:42" x14ac:dyDescent="0.2">
      <c r="A559" s="18" t="str">
        <f>Inputs!B125</f>
        <v>Federal ($/W)</v>
      </c>
      <c r="C559" s="161">
        <f>MIN(cbi_fed_amount*system_capacity*1000,cbi_fed_maxvalue)</f>
        <v>0</v>
      </c>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row>
    <row r="560" spans="1:42" x14ac:dyDescent="0.2">
      <c r="A560" s="18" t="str">
        <f>Inputs!B126</f>
        <v>State ($/W)</v>
      </c>
      <c r="C560" s="161">
        <f>MIN(cbi_sta_amount*system_capacity*1000,cbi_sta_maxvalue)</f>
        <v>0</v>
      </c>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row>
    <row r="561" spans="1:42" x14ac:dyDescent="0.2">
      <c r="A561" s="18" t="str">
        <f>Inputs!B127</f>
        <v>Utility ($/W)</v>
      </c>
      <c r="C561" s="161">
        <f>MIN(cbi_uti_amount*system_capacity*1000,cbi_uti_maxvalue)</f>
        <v>0</v>
      </c>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row>
    <row r="562" spans="1:42" x14ac:dyDescent="0.2">
      <c r="A562" s="18" t="str">
        <f>Inputs!B128</f>
        <v>Other ($/W)</v>
      </c>
      <c r="C562" s="161">
        <f>MIN(cbi_oth_amount*system_capacity*1000,cbi_oth_maxvalue)</f>
        <v>0</v>
      </c>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row>
    <row r="563" spans="1:42" x14ac:dyDescent="0.2">
      <c r="A563" s="18" t="s">
        <v>13</v>
      </c>
      <c r="C563" s="129">
        <f>SUM(C559:C562)</f>
        <v>0</v>
      </c>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row>
    <row r="564" spans="1:42" x14ac:dyDescent="0.2">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5"/>
    </row>
    <row r="565" spans="1:42" x14ac:dyDescent="0.2">
      <c r="A565" s="20" t="s">
        <v>35</v>
      </c>
    </row>
    <row r="566" spans="1:42" x14ac:dyDescent="0.2">
      <c r="A566" s="18" t="str">
        <f>Inputs!B130</f>
        <v>Federal ($/kWh)</v>
      </c>
    </row>
    <row r="567" spans="1:42" x14ac:dyDescent="0.2">
      <c r="A567" s="22" t="s">
        <v>36</v>
      </c>
      <c r="C567" s="112">
        <f>IF(pbi_fed_amount="n/a",Inputs!D176,IF(AND(C$2&lt;=pbi_fed_term,C$2&lt;=analysis_period),pbi_fed_amount*(1+pbi_fed_escal/100)^B$2,0))</f>
        <v>0</v>
      </c>
      <c r="D567" s="112">
        <f>IF(pbi_fed_amount="n/a",Inputs!E176,IF(AND(D$2&lt;=pbi_fed_term,D$2&lt;=analysis_period),pbi_fed_amount*(1+pbi_fed_escal/100)^C$2,0))</f>
        <v>0</v>
      </c>
      <c r="E567" s="112">
        <f>IF(pbi_fed_amount="n/a",Inputs!F176,IF(AND(E$2&lt;=pbi_fed_term,E$2&lt;=analysis_period),pbi_fed_amount*(1+pbi_fed_escal/100)^D$2,0))</f>
        <v>0</v>
      </c>
      <c r="F567" s="112">
        <f>IF(pbi_fed_amount="n/a",Inputs!G176,IF(AND(F$2&lt;=pbi_fed_term,F$2&lt;=analysis_period),pbi_fed_amount*(1+pbi_fed_escal/100)^E$2,0))</f>
        <v>0</v>
      </c>
      <c r="G567" s="112">
        <f>IF(pbi_fed_amount="n/a",Inputs!H176,IF(AND(G$2&lt;=pbi_fed_term,G$2&lt;=analysis_period),pbi_fed_amount*(1+pbi_fed_escal/100)^F$2,0))</f>
        <v>0</v>
      </c>
      <c r="H567" s="112">
        <f>IF(pbi_fed_amount="n/a",Inputs!I176,IF(AND(H$2&lt;=pbi_fed_term,H$2&lt;=analysis_period),pbi_fed_amount*(1+pbi_fed_escal/100)^G$2,0))</f>
        <v>0</v>
      </c>
      <c r="I567" s="112">
        <f>IF(pbi_fed_amount="n/a",Inputs!J176,IF(AND(I$2&lt;=pbi_fed_term,I$2&lt;=analysis_period),pbi_fed_amount*(1+pbi_fed_escal/100)^H$2,0))</f>
        <v>0</v>
      </c>
      <c r="J567" s="112">
        <f>IF(pbi_fed_amount="n/a",Inputs!K176,IF(AND(J$2&lt;=pbi_fed_term,J$2&lt;=analysis_period),pbi_fed_amount*(1+pbi_fed_escal/100)^I$2,0))</f>
        <v>0</v>
      </c>
      <c r="K567" s="112">
        <f>IF(pbi_fed_amount="n/a",Inputs!L176,IF(AND(K$2&lt;=pbi_fed_term,K$2&lt;=analysis_period),pbi_fed_amount*(1+pbi_fed_escal/100)^J$2,0))</f>
        <v>0</v>
      </c>
      <c r="L567" s="112">
        <f>IF(pbi_fed_amount="n/a",Inputs!M176,IF(AND(L$2&lt;=pbi_fed_term,L$2&lt;=analysis_period),pbi_fed_amount*(1+pbi_fed_escal/100)^K$2,0))</f>
        <v>0</v>
      </c>
      <c r="M567" s="112">
        <f>IF(pbi_fed_amount="n/a",Inputs!N176,IF(AND(M$2&lt;=pbi_fed_term,M$2&lt;=analysis_period),pbi_fed_amount*(1+pbi_fed_escal/100)^L$2,0))</f>
        <v>0</v>
      </c>
      <c r="N567" s="112">
        <f>IF(pbi_fed_amount="n/a",Inputs!O176,IF(AND(N$2&lt;=pbi_fed_term,N$2&lt;=analysis_period),pbi_fed_amount*(1+pbi_fed_escal/100)^M$2,0))</f>
        <v>0</v>
      </c>
      <c r="O567" s="112">
        <f>IF(pbi_fed_amount="n/a",Inputs!P176,IF(AND(O$2&lt;=pbi_fed_term,O$2&lt;=analysis_period),pbi_fed_amount*(1+pbi_fed_escal/100)^N$2,0))</f>
        <v>0</v>
      </c>
      <c r="P567" s="112">
        <f>IF(pbi_fed_amount="n/a",Inputs!Q176,IF(AND(P$2&lt;=pbi_fed_term,P$2&lt;=analysis_period),pbi_fed_amount*(1+pbi_fed_escal/100)^O$2,0))</f>
        <v>0</v>
      </c>
      <c r="Q567" s="112">
        <f>IF(pbi_fed_amount="n/a",Inputs!R176,IF(AND(Q$2&lt;=pbi_fed_term,Q$2&lt;=analysis_period),pbi_fed_amount*(1+pbi_fed_escal/100)^P$2,0))</f>
        <v>0</v>
      </c>
      <c r="R567" s="112">
        <f>IF(pbi_fed_amount="n/a",Inputs!S176,IF(AND(R$2&lt;=pbi_fed_term,R$2&lt;=analysis_period),pbi_fed_amount*(1+pbi_fed_escal/100)^Q$2,0))</f>
        <v>0</v>
      </c>
      <c r="S567" s="112">
        <f>IF(pbi_fed_amount="n/a",Inputs!T176,IF(AND(S$2&lt;=pbi_fed_term,S$2&lt;=analysis_period),pbi_fed_amount*(1+pbi_fed_escal/100)^R$2,0))</f>
        <v>0</v>
      </c>
      <c r="T567" s="112">
        <f>IF(pbi_fed_amount="n/a",Inputs!U176,IF(AND(T$2&lt;=pbi_fed_term,T$2&lt;=analysis_period),pbi_fed_amount*(1+pbi_fed_escal/100)^S$2,0))</f>
        <v>0</v>
      </c>
      <c r="U567" s="112">
        <f>IF(pbi_fed_amount="n/a",Inputs!V176,IF(AND(U$2&lt;=pbi_fed_term,U$2&lt;=analysis_period),pbi_fed_amount*(1+pbi_fed_escal/100)^T$2,0))</f>
        <v>0</v>
      </c>
      <c r="V567" s="112">
        <f>IF(pbi_fed_amount="n/a",Inputs!W176,IF(AND(V$2&lt;=pbi_fed_term,V$2&lt;=analysis_period),pbi_fed_amount*(1+pbi_fed_escal/100)^U$2,0))</f>
        <v>0</v>
      </c>
      <c r="W567" s="112">
        <f>IF(pbi_fed_amount="n/a",Inputs!X176,IF(AND(W$2&lt;=pbi_fed_term,W$2&lt;=analysis_period),pbi_fed_amount*(1+pbi_fed_escal/100)^V$2,0))</f>
        <v>0</v>
      </c>
      <c r="X567" s="112">
        <f>IF(pbi_fed_amount="n/a",Inputs!Y176,IF(AND(X$2&lt;=pbi_fed_term,X$2&lt;=analysis_period),pbi_fed_amount*(1+pbi_fed_escal/100)^W$2,0))</f>
        <v>0</v>
      </c>
      <c r="Y567" s="112">
        <f>IF(pbi_fed_amount="n/a",Inputs!Z176,IF(AND(Y$2&lt;=pbi_fed_term,Y$2&lt;=analysis_period),pbi_fed_amount*(1+pbi_fed_escal/100)^X$2,0))</f>
        <v>0</v>
      </c>
      <c r="Z567" s="112">
        <f>IF(pbi_fed_amount="n/a",Inputs!AA176,IF(AND(Z$2&lt;=pbi_fed_term,Z$2&lt;=analysis_period),pbi_fed_amount*(1+pbi_fed_escal/100)^Y$2,0))</f>
        <v>0</v>
      </c>
      <c r="AA567" s="112">
        <f>IF(pbi_fed_amount="n/a",Inputs!AB176,IF(AND(AA$2&lt;=pbi_fed_term,AA$2&lt;=analysis_period),pbi_fed_amount*(1+pbi_fed_escal/100)^Z$2,0))</f>
        <v>0</v>
      </c>
      <c r="AB567" s="112">
        <f>IF(pbi_fed_amount="n/a",Inputs!AC176,IF(AND(AB$2&lt;=pbi_fed_term,AB$2&lt;=analysis_period),pbi_fed_amount*(1+pbi_fed_escal/100)^AA$2,0))</f>
        <v>0</v>
      </c>
      <c r="AC567" s="112">
        <f>IF(pbi_fed_amount="n/a",Inputs!AD176,IF(AND(AC$2&lt;=pbi_fed_term,AC$2&lt;=analysis_period),pbi_fed_amount*(1+pbi_fed_escal/100)^AB$2,0))</f>
        <v>0</v>
      </c>
      <c r="AD567" s="112">
        <f>IF(pbi_fed_amount="n/a",Inputs!AE176,IF(AND(AD$2&lt;=pbi_fed_term,AD$2&lt;=analysis_period),pbi_fed_amount*(1+pbi_fed_escal/100)^AC$2,0))</f>
        <v>0</v>
      </c>
      <c r="AE567" s="112">
        <f>IF(pbi_fed_amount="n/a",Inputs!AF176,IF(AND(AE$2&lt;=pbi_fed_term,AE$2&lt;=analysis_period),pbi_fed_amount*(1+pbi_fed_escal/100)^AD$2,0))</f>
        <v>0</v>
      </c>
      <c r="AF567" s="112">
        <f>IF(pbi_fed_amount="n/a",Inputs!AG176,IF(AND(AF$2&lt;=pbi_fed_term,AF$2&lt;=analysis_period),pbi_fed_amount*(1+pbi_fed_escal/100)^AE$2,0))</f>
        <v>0</v>
      </c>
      <c r="AG567" s="112">
        <f>IF(pbi_fed_amount="n/a",Inputs!AH176,IF(AND(AG$2&lt;=pbi_fed_term,AG$2&lt;=analysis_period),pbi_fed_amount*(1+pbi_fed_escal/100)^AF$2,0))</f>
        <v>0</v>
      </c>
      <c r="AH567" s="112">
        <f>IF(pbi_fed_amount="n/a",Inputs!AI176,IF(AND(AH$2&lt;=pbi_fed_term,AH$2&lt;=analysis_period),pbi_fed_amount*(1+pbi_fed_escal/100)^AG$2,0))</f>
        <v>0</v>
      </c>
      <c r="AI567" s="112">
        <f>IF(pbi_fed_amount="n/a",Inputs!AJ176,IF(AND(AI$2&lt;=pbi_fed_term,AI$2&lt;=analysis_period),pbi_fed_amount*(1+pbi_fed_escal/100)^AH$2,0))</f>
        <v>0</v>
      </c>
      <c r="AJ567" s="112">
        <f>IF(pbi_fed_amount="n/a",Inputs!AK176,IF(AND(AJ$2&lt;=pbi_fed_term,AJ$2&lt;=analysis_period),pbi_fed_amount*(1+pbi_fed_escal/100)^AI$2,0))</f>
        <v>0</v>
      </c>
      <c r="AK567" s="112">
        <f>IF(pbi_fed_amount="n/a",Inputs!AL176,IF(AND(AK$2&lt;=pbi_fed_term,AK$2&lt;=analysis_period),pbi_fed_amount*(1+pbi_fed_escal/100)^AJ$2,0))</f>
        <v>0</v>
      </c>
      <c r="AL567" s="112">
        <f>IF(pbi_fed_amount="n/a",Inputs!AM176,IF(AND(AL$2&lt;=pbi_fed_term,AL$2&lt;=analysis_period),pbi_fed_amount*(1+pbi_fed_escal/100)^AK$2,0))</f>
        <v>0</v>
      </c>
      <c r="AM567" s="112">
        <f>IF(pbi_fed_amount="n/a",Inputs!AN176,IF(AND(AM$2&lt;=pbi_fed_term,AM$2&lt;=analysis_period),pbi_fed_amount*(1+pbi_fed_escal/100)^AL$2,0))</f>
        <v>0</v>
      </c>
      <c r="AN567" s="112">
        <f>IF(pbi_fed_amount="n/a",Inputs!AO176,IF(AND(AN$2&lt;=pbi_fed_term,AN$2&lt;=analysis_period),pbi_fed_amount*(1+pbi_fed_escal/100)^AM$2,0))</f>
        <v>0</v>
      </c>
      <c r="AO567" s="112">
        <f>IF(pbi_fed_amount="n/a",Inputs!AP176,IF(AND(AO$2&lt;=pbi_fed_term,AO$2&lt;=analysis_period),pbi_fed_amount*(1+pbi_fed_escal/100)^AN$2,0))</f>
        <v>0</v>
      </c>
      <c r="AP567" s="112">
        <f>IF(pbi_fed_amount="n/a",Inputs!AQ176,IF(AND(AP$2&lt;=pbi_fed_term,AP$2&lt;=analysis_period),pbi_fed_amount*(1+pbi_fed_escal/100)^AO$2,0))</f>
        <v>0</v>
      </c>
    </row>
    <row r="568" spans="1:42" x14ac:dyDescent="0.2">
      <c r="A568" s="22" t="s">
        <v>372</v>
      </c>
      <c r="C568" s="124">
        <f>C$5</f>
        <v>211907000</v>
      </c>
      <c r="D568" s="124">
        <f t="shared" ref="D568:AP568" si="272">D$5</f>
        <v>210848000</v>
      </c>
      <c r="E568" s="124">
        <f t="shared" si="272"/>
        <v>209794000</v>
      </c>
      <c r="F568" s="124">
        <f t="shared" si="272"/>
        <v>208745000</v>
      </c>
      <c r="G568" s="124">
        <f t="shared" si="272"/>
        <v>207701000</v>
      </c>
      <c r="H568" s="124">
        <f t="shared" si="272"/>
        <v>206662000</v>
      </c>
      <c r="I568" s="124">
        <f t="shared" si="272"/>
        <v>205629000</v>
      </c>
      <c r="J568" s="124">
        <f t="shared" si="272"/>
        <v>204601000</v>
      </c>
      <c r="K568" s="124">
        <f t="shared" si="272"/>
        <v>203578000</v>
      </c>
      <c r="L568" s="124">
        <f t="shared" si="272"/>
        <v>202560000</v>
      </c>
      <c r="M568" s="124">
        <f t="shared" si="272"/>
        <v>201547000</v>
      </c>
      <c r="N568" s="124">
        <f t="shared" si="272"/>
        <v>200540000</v>
      </c>
      <c r="O568" s="124">
        <f t="shared" si="272"/>
        <v>199537000</v>
      </c>
      <c r="P568" s="124">
        <f t="shared" si="272"/>
        <v>198539000</v>
      </c>
      <c r="Q568" s="124">
        <f t="shared" si="272"/>
        <v>197547000</v>
      </c>
      <c r="R568" s="124">
        <f t="shared" si="272"/>
        <v>196559000</v>
      </c>
      <c r="S568" s="124">
        <f t="shared" si="272"/>
        <v>195576000</v>
      </c>
      <c r="T568" s="124">
        <f t="shared" si="272"/>
        <v>194598000</v>
      </c>
      <c r="U568" s="124">
        <f t="shared" si="272"/>
        <v>193625000</v>
      </c>
      <c r="V568" s="124">
        <f t="shared" si="272"/>
        <v>192657000</v>
      </c>
      <c r="W568" s="124">
        <f t="shared" si="272"/>
        <v>191694000</v>
      </c>
      <c r="X568" s="124">
        <f t="shared" si="272"/>
        <v>190735000</v>
      </c>
      <c r="Y568" s="124">
        <f t="shared" si="272"/>
        <v>189782000</v>
      </c>
      <c r="Z568" s="124">
        <f t="shared" si="272"/>
        <v>188833000</v>
      </c>
      <c r="AA568" s="124">
        <f t="shared" si="272"/>
        <v>187888000</v>
      </c>
      <c r="AB568" s="124">
        <f t="shared" si="272"/>
        <v>0</v>
      </c>
      <c r="AC568" s="124">
        <f t="shared" si="272"/>
        <v>0</v>
      </c>
      <c r="AD568" s="124">
        <f t="shared" si="272"/>
        <v>0</v>
      </c>
      <c r="AE568" s="124">
        <f t="shared" si="272"/>
        <v>0</v>
      </c>
      <c r="AF568" s="124">
        <f t="shared" si="272"/>
        <v>0</v>
      </c>
      <c r="AG568" s="124">
        <f t="shared" si="272"/>
        <v>0</v>
      </c>
      <c r="AH568" s="124">
        <f t="shared" si="272"/>
        <v>0</v>
      </c>
      <c r="AI568" s="124">
        <f t="shared" si="272"/>
        <v>0</v>
      </c>
      <c r="AJ568" s="124">
        <f t="shared" si="272"/>
        <v>0</v>
      </c>
      <c r="AK568" s="124">
        <f t="shared" si="272"/>
        <v>0</v>
      </c>
      <c r="AL568" s="124">
        <f t="shared" si="272"/>
        <v>0</v>
      </c>
      <c r="AM568" s="124">
        <f t="shared" si="272"/>
        <v>0</v>
      </c>
      <c r="AN568" s="124">
        <f t="shared" si="272"/>
        <v>0</v>
      </c>
      <c r="AO568" s="124">
        <f t="shared" si="272"/>
        <v>0</v>
      </c>
      <c r="AP568" s="124">
        <f t="shared" si="272"/>
        <v>0</v>
      </c>
    </row>
    <row r="569" spans="1:42" x14ac:dyDescent="0.2">
      <c r="A569" s="22" t="s">
        <v>13</v>
      </c>
      <c r="C569" s="123">
        <f>C567*C568</f>
        <v>0</v>
      </c>
      <c r="D569" s="123">
        <f t="shared" ref="D569:AP569" si="273">D567*D568</f>
        <v>0</v>
      </c>
      <c r="E569" s="123">
        <f t="shared" si="273"/>
        <v>0</v>
      </c>
      <c r="F569" s="123">
        <f t="shared" si="273"/>
        <v>0</v>
      </c>
      <c r="G569" s="123">
        <f t="shared" si="273"/>
        <v>0</v>
      </c>
      <c r="H569" s="123">
        <f t="shared" si="273"/>
        <v>0</v>
      </c>
      <c r="I569" s="123">
        <f t="shared" si="273"/>
        <v>0</v>
      </c>
      <c r="J569" s="123">
        <f t="shared" si="273"/>
        <v>0</v>
      </c>
      <c r="K569" s="123">
        <f t="shared" si="273"/>
        <v>0</v>
      </c>
      <c r="L569" s="123">
        <f t="shared" si="273"/>
        <v>0</v>
      </c>
      <c r="M569" s="123">
        <f t="shared" si="273"/>
        <v>0</v>
      </c>
      <c r="N569" s="123">
        <f t="shared" si="273"/>
        <v>0</v>
      </c>
      <c r="O569" s="123">
        <f t="shared" si="273"/>
        <v>0</v>
      </c>
      <c r="P569" s="123">
        <f t="shared" si="273"/>
        <v>0</v>
      </c>
      <c r="Q569" s="123">
        <f t="shared" si="273"/>
        <v>0</v>
      </c>
      <c r="R569" s="123">
        <f t="shared" si="273"/>
        <v>0</v>
      </c>
      <c r="S569" s="123">
        <f t="shared" si="273"/>
        <v>0</v>
      </c>
      <c r="T569" s="123">
        <f t="shared" si="273"/>
        <v>0</v>
      </c>
      <c r="U569" s="123">
        <f t="shared" si="273"/>
        <v>0</v>
      </c>
      <c r="V569" s="123">
        <f t="shared" si="273"/>
        <v>0</v>
      </c>
      <c r="W569" s="123">
        <f t="shared" si="273"/>
        <v>0</v>
      </c>
      <c r="X569" s="123">
        <f t="shared" si="273"/>
        <v>0</v>
      </c>
      <c r="Y569" s="123">
        <f t="shared" si="273"/>
        <v>0</v>
      </c>
      <c r="Z569" s="123">
        <f t="shared" si="273"/>
        <v>0</v>
      </c>
      <c r="AA569" s="123">
        <f t="shared" si="273"/>
        <v>0</v>
      </c>
      <c r="AB569" s="123">
        <f t="shared" si="273"/>
        <v>0</v>
      </c>
      <c r="AC569" s="123">
        <f t="shared" si="273"/>
        <v>0</v>
      </c>
      <c r="AD569" s="123">
        <f t="shared" si="273"/>
        <v>0</v>
      </c>
      <c r="AE569" s="123">
        <f t="shared" si="273"/>
        <v>0</v>
      </c>
      <c r="AF569" s="123">
        <f t="shared" si="273"/>
        <v>0</v>
      </c>
      <c r="AG569" s="123">
        <f t="shared" si="273"/>
        <v>0</v>
      </c>
      <c r="AH569" s="123">
        <f t="shared" si="273"/>
        <v>0</v>
      </c>
      <c r="AI569" s="123">
        <f t="shared" si="273"/>
        <v>0</v>
      </c>
      <c r="AJ569" s="123">
        <f t="shared" si="273"/>
        <v>0</v>
      </c>
      <c r="AK569" s="123">
        <f t="shared" si="273"/>
        <v>0</v>
      </c>
      <c r="AL569" s="123">
        <f t="shared" si="273"/>
        <v>0</v>
      </c>
      <c r="AM569" s="123">
        <f t="shared" si="273"/>
        <v>0</v>
      </c>
      <c r="AN569" s="123">
        <f t="shared" si="273"/>
        <v>0</v>
      </c>
      <c r="AO569" s="123">
        <f t="shared" si="273"/>
        <v>0</v>
      </c>
      <c r="AP569" s="123">
        <f t="shared" si="273"/>
        <v>0</v>
      </c>
    </row>
    <row r="570" spans="1:42" x14ac:dyDescent="0.2">
      <c r="A570" s="18" t="str">
        <f>Inputs!B131</f>
        <v>State ($/kWh)</v>
      </c>
    </row>
    <row r="571" spans="1:42" x14ac:dyDescent="0.2">
      <c r="A571" s="22" t="s">
        <v>36</v>
      </c>
      <c r="C571" s="101">
        <f>IF(pbi_sta_amount="n/a",Inputs!D177,IF(AND(C$2&lt;=pbi_sta_term,C$2&lt;=analysis_period),pbi_sta_amount*(1+pbi_sta_escal/100)^B$2,0))</f>
        <v>0</v>
      </c>
      <c r="D571" s="101">
        <f>IF(pbi_sta_amount="n/a",Inputs!E177,IF(AND(D$2&lt;=pbi_sta_term,D$2&lt;=analysis_period),pbi_sta_amount*(1+pbi_sta_escal/100)^C$2,0))</f>
        <v>0</v>
      </c>
      <c r="E571" s="101">
        <f>IF(pbi_sta_amount="n/a",Inputs!F177,IF(AND(E$2&lt;=pbi_sta_term,E$2&lt;=analysis_period),pbi_sta_amount*(1+pbi_sta_escal/100)^D$2,0))</f>
        <v>0</v>
      </c>
      <c r="F571" s="101">
        <f>IF(pbi_sta_amount="n/a",Inputs!G177,IF(AND(F$2&lt;=pbi_sta_term,F$2&lt;=analysis_period),pbi_sta_amount*(1+pbi_sta_escal/100)^E$2,0))</f>
        <v>0</v>
      </c>
      <c r="G571" s="101">
        <f>IF(pbi_sta_amount="n/a",Inputs!H177,IF(AND(G$2&lt;=pbi_sta_term,G$2&lt;=analysis_period),pbi_sta_amount*(1+pbi_sta_escal/100)^F$2,0))</f>
        <v>0</v>
      </c>
      <c r="H571" s="101">
        <f>IF(pbi_sta_amount="n/a",Inputs!I177,IF(AND(H$2&lt;=pbi_sta_term,H$2&lt;=analysis_period),pbi_sta_amount*(1+pbi_sta_escal/100)^G$2,0))</f>
        <v>0</v>
      </c>
      <c r="I571" s="101">
        <f>IF(pbi_sta_amount="n/a",Inputs!J177,IF(AND(I$2&lt;=pbi_sta_term,I$2&lt;=analysis_period),pbi_sta_amount*(1+pbi_sta_escal/100)^H$2,0))</f>
        <v>0</v>
      </c>
      <c r="J571" s="101">
        <f>IF(pbi_sta_amount="n/a",Inputs!K177,IF(AND(J$2&lt;=pbi_sta_term,J$2&lt;=analysis_period),pbi_sta_amount*(1+pbi_sta_escal/100)^I$2,0))</f>
        <v>0</v>
      </c>
      <c r="K571" s="101">
        <f>IF(pbi_sta_amount="n/a",Inputs!L177,IF(AND(K$2&lt;=pbi_sta_term,K$2&lt;=analysis_period),pbi_sta_amount*(1+pbi_sta_escal/100)^J$2,0))</f>
        <v>0</v>
      </c>
      <c r="L571" s="101">
        <f>IF(pbi_sta_amount="n/a",Inputs!M177,IF(AND(L$2&lt;=pbi_sta_term,L$2&lt;=analysis_period),pbi_sta_amount*(1+pbi_sta_escal/100)^K$2,0))</f>
        <v>0</v>
      </c>
      <c r="M571" s="101">
        <f>IF(pbi_sta_amount="n/a",Inputs!N177,IF(AND(M$2&lt;=pbi_sta_term,M$2&lt;=analysis_period),pbi_sta_amount*(1+pbi_sta_escal/100)^L$2,0))</f>
        <v>0</v>
      </c>
      <c r="N571" s="101">
        <f>IF(pbi_sta_amount="n/a",Inputs!O177,IF(AND(N$2&lt;=pbi_sta_term,N$2&lt;=analysis_period),pbi_sta_amount*(1+pbi_sta_escal/100)^M$2,0))</f>
        <v>0</v>
      </c>
      <c r="O571" s="101">
        <f>IF(pbi_sta_amount="n/a",Inputs!P177,IF(AND(O$2&lt;=pbi_sta_term,O$2&lt;=analysis_period),pbi_sta_amount*(1+pbi_sta_escal/100)^N$2,0))</f>
        <v>0</v>
      </c>
      <c r="P571" s="101">
        <f>IF(pbi_sta_amount="n/a",Inputs!Q177,IF(AND(P$2&lt;=pbi_sta_term,P$2&lt;=analysis_period),pbi_sta_amount*(1+pbi_sta_escal/100)^O$2,0))</f>
        <v>0</v>
      </c>
      <c r="Q571" s="101">
        <f>IF(pbi_sta_amount="n/a",Inputs!R177,IF(AND(Q$2&lt;=pbi_sta_term,Q$2&lt;=analysis_period),pbi_sta_amount*(1+pbi_sta_escal/100)^P$2,0))</f>
        <v>0</v>
      </c>
      <c r="R571" s="101">
        <f>IF(pbi_sta_amount="n/a",Inputs!S177,IF(AND(R$2&lt;=pbi_sta_term,R$2&lt;=analysis_period),pbi_sta_amount*(1+pbi_sta_escal/100)^Q$2,0))</f>
        <v>0</v>
      </c>
      <c r="S571" s="101">
        <f>IF(pbi_sta_amount="n/a",Inputs!T177,IF(AND(S$2&lt;=pbi_sta_term,S$2&lt;=analysis_period),pbi_sta_amount*(1+pbi_sta_escal/100)^R$2,0))</f>
        <v>0</v>
      </c>
      <c r="T571" s="101">
        <f>IF(pbi_sta_amount="n/a",Inputs!U177,IF(AND(T$2&lt;=pbi_sta_term,T$2&lt;=analysis_period),pbi_sta_amount*(1+pbi_sta_escal/100)^S$2,0))</f>
        <v>0</v>
      </c>
      <c r="U571" s="101">
        <f>IF(pbi_sta_amount="n/a",Inputs!V177,IF(AND(U$2&lt;=pbi_sta_term,U$2&lt;=analysis_period),pbi_sta_amount*(1+pbi_sta_escal/100)^T$2,0))</f>
        <v>0</v>
      </c>
      <c r="V571" s="101">
        <f>IF(pbi_sta_amount="n/a",Inputs!W177,IF(AND(V$2&lt;=pbi_sta_term,V$2&lt;=analysis_period),pbi_sta_amount*(1+pbi_sta_escal/100)^U$2,0))</f>
        <v>0</v>
      </c>
      <c r="W571" s="101">
        <f>IF(pbi_sta_amount="n/a",Inputs!X177,IF(AND(W$2&lt;=pbi_sta_term,W$2&lt;=analysis_period),pbi_sta_amount*(1+pbi_sta_escal/100)^V$2,0))</f>
        <v>0</v>
      </c>
      <c r="X571" s="101">
        <f>IF(pbi_sta_amount="n/a",Inputs!Y177,IF(AND(X$2&lt;=pbi_sta_term,X$2&lt;=analysis_period),pbi_sta_amount*(1+pbi_sta_escal/100)^W$2,0))</f>
        <v>0</v>
      </c>
      <c r="Y571" s="101">
        <f>IF(pbi_sta_amount="n/a",Inputs!Z177,IF(AND(Y$2&lt;=pbi_sta_term,Y$2&lt;=analysis_period),pbi_sta_amount*(1+pbi_sta_escal/100)^X$2,0))</f>
        <v>0</v>
      </c>
      <c r="Z571" s="101">
        <f>IF(pbi_sta_amount="n/a",Inputs!AA177,IF(AND(Z$2&lt;=pbi_sta_term,Z$2&lt;=analysis_period),pbi_sta_amount*(1+pbi_sta_escal/100)^Y$2,0))</f>
        <v>0</v>
      </c>
      <c r="AA571" s="101">
        <f>IF(pbi_sta_amount="n/a",Inputs!AB177,IF(AND(AA$2&lt;=pbi_sta_term,AA$2&lt;=analysis_period),pbi_sta_amount*(1+pbi_sta_escal/100)^Z$2,0))</f>
        <v>0</v>
      </c>
      <c r="AB571" s="101">
        <f>IF(pbi_sta_amount="n/a",Inputs!AC177,IF(AND(AB$2&lt;=pbi_sta_term,AB$2&lt;=analysis_period),pbi_sta_amount*(1+pbi_sta_escal/100)^AA$2,0))</f>
        <v>0</v>
      </c>
      <c r="AC571" s="101">
        <f>IF(pbi_sta_amount="n/a",Inputs!AD177,IF(AND(AC$2&lt;=pbi_sta_term,AC$2&lt;=analysis_period),pbi_sta_amount*(1+pbi_sta_escal/100)^AB$2,0))</f>
        <v>0</v>
      </c>
      <c r="AD571" s="101">
        <f>IF(pbi_sta_amount="n/a",Inputs!AE177,IF(AND(AD$2&lt;=pbi_sta_term,AD$2&lt;=analysis_period),pbi_sta_amount*(1+pbi_sta_escal/100)^AC$2,0))</f>
        <v>0</v>
      </c>
      <c r="AE571" s="101">
        <f>IF(pbi_sta_amount="n/a",Inputs!AF177,IF(AND(AE$2&lt;=pbi_sta_term,AE$2&lt;=analysis_period),pbi_sta_amount*(1+pbi_sta_escal/100)^AD$2,0))</f>
        <v>0</v>
      </c>
      <c r="AF571" s="101">
        <f>IF(pbi_sta_amount="n/a",Inputs!AG177,IF(AND(AF$2&lt;=pbi_sta_term,AF$2&lt;=analysis_period),pbi_sta_amount*(1+pbi_sta_escal/100)^AE$2,0))</f>
        <v>0</v>
      </c>
      <c r="AG571" s="101">
        <f>IF(pbi_sta_amount="n/a",Inputs!AH177,IF(AND(AG$2&lt;=pbi_sta_term,AG$2&lt;=analysis_period),pbi_sta_amount*(1+pbi_sta_escal/100)^AF$2,0))</f>
        <v>0</v>
      </c>
      <c r="AH571" s="101">
        <f>IF(pbi_sta_amount="n/a",Inputs!AI177,IF(AND(AH$2&lt;=pbi_sta_term,AH$2&lt;=analysis_period),pbi_sta_amount*(1+pbi_sta_escal/100)^AG$2,0))</f>
        <v>0</v>
      </c>
      <c r="AI571" s="101">
        <f>IF(pbi_sta_amount="n/a",Inputs!AJ177,IF(AND(AI$2&lt;=pbi_sta_term,AI$2&lt;=analysis_period),pbi_sta_amount*(1+pbi_sta_escal/100)^AH$2,0))</f>
        <v>0</v>
      </c>
      <c r="AJ571" s="101">
        <f>IF(pbi_sta_amount="n/a",Inputs!AK177,IF(AND(AJ$2&lt;=pbi_sta_term,AJ$2&lt;=analysis_period),pbi_sta_amount*(1+pbi_sta_escal/100)^AI$2,0))</f>
        <v>0</v>
      </c>
      <c r="AK571" s="101">
        <f>IF(pbi_sta_amount="n/a",Inputs!AL177,IF(AND(AK$2&lt;=pbi_sta_term,AK$2&lt;=analysis_period),pbi_sta_amount*(1+pbi_sta_escal/100)^AJ$2,0))</f>
        <v>0</v>
      </c>
      <c r="AL571" s="101">
        <f>IF(pbi_sta_amount="n/a",Inputs!AM177,IF(AND(AL$2&lt;=pbi_sta_term,AL$2&lt;=analysis_period),pbi_sta_amount*(1+pbi_sta_escal/100)^AK$2,0))</f>
        <v>0</v>
      </c>
      <c r="AM571" s="101">
        <f>IF(pbi_sta_amount="n/a",Inputs!AN177,IF(AND(AM$2&lt;=pbi_sta_term,AM$2&lt;=analysis_period),pbi_sta_amount*(1+pbi_sta_escal/100)^AL$2,0))</f>
        <v>0</v>
      </c>
      <c r="AN571" s="101">
        <f>IF(pbi_sta_amount="n/a",Inputs!AO177,IF(AND(AN$2&lt;=pbi_sta_term,AN$2&lt;=analysis_period),pbi_sta_amount*(1+pbi_sta_escal/100)^AM$2,0))</f>
        <v>0</v>
      </c>
      <c r="AO571" s="101">
        <f>IF(pbi_sta_amount="n/a",Inputs!AP177,IF(AND(AO$2&lt;=pbi_sta_term,AO$2&lt;=analysis_period),pbi_sta_amount*(1+pbi_sta_escal/100)^AN$2,0))</f>
        <v>0</v>
      </c>
      <c r="AP571" s="101">
        <f>IF(pbi_sta_amount="n/a",Inputs!AQ177,IF(AND(AP$2&lt;=pbi_sta_term,AP$2&lt;=analysis_period),pbi_sta_amount*(1+pbi_sta_escal/100)^AO$2,0))</f>
        <v>0</v>
      </c>
    </row>
    <row r="572" spans="1:42" x14ac:dyDescent="0.2">
      <c r="A572" s="22" t="s">
        <v>372</v>
      </c>
      <c r="C572" s="124">
        <f>C$5</f>
        <v>211907000</v>
      </c>
      <c r="D572" s="124">
        <f t="shared" ref="D572:AP572" si="274">D$5</f>
        <v>210848000</v>
      </c>
      <c r="E572" s="124">
        <f t="shared" si="274"/>
        <v>209794000</v>
      </c>
      <c r="F572" s="124">
        <f t="shared" si="274"/>
        <v>208745000</v>
      </c>
      <c r="G572" s="124">
        <f t="shared" si="274"/>
        <v>207701000</v>
      </c>
      <c r="H572" s="124">
        <f t="shared" si="274"/>
        <v>206662000</v>
      </c>
      <c r="I572" s="124">
        <f t="shared" si="274"/>
        <v>205629000</v>
      </c>
      <c r="J572" s="124">
        <f t="shared" si="274"/>
        <v>204601000</v>
      </c>
      <c r="K572" s="124">
        <f t="shared" si="274"/>
        <v>203578000</v>
      </c>
      <c r="L572" s="124">
        <f t="shared" si="274"/>
        <v>202560000</v>
      </c>
      <c r="M572" s="124">
        <f t="shared" si="274"/>
        <v>201547000</v>
      </c>
      <c r="N572" s="124">
        <f t="shared" si="274"/>
        <v>200540000</v>
      </c>
      <c r="O572" s="124">
        <f t="shared" si="274"/>
        <v>199537000</v>
      </c>
      <c r="P572" s="124">
        <f t="shared" si="274"/>
        <v>198539000</v>
      </c>
      <c r="Q572" s="124">
        <f t="shared" si="274"/>
        <v>197547000</v>
      </c>
      <c r="R572" s="124">
        <f t="shared" si="274"/>
        <v>196559000</v>
      </c>
      <c r="S572" s="124">
        <f t="shared" si="274"/>
        <v>195576000</v>
      </c>
      <c r="T572" s="124">
        <f t="shared" si="274"/>
        <v>194598000</v>
      </c>
      <c r="U572" s="124">
        <f t="shared" si="274"/>
        <v>193625000</v>
      </c>
      <c r="V572" s="124">
        <f t="shared" si="274"/>
        <v>192657000</v>
      </c>
      <c r="W572" s="124">
        <f t="shared" si="274"/>
        <v>191694000</v>
      </c>
      <c r="X572" s="124">
        <f t="shared" si="274"/>
        <v>190735000</v>
      </c>
      <c r="Y572" s="124">
        <f t="shared" si="274"/>
        <v>189782000</v>
      </c>
      <c r="Z572" s="124">
        <f t="shared" si="274"/>
        <v>188833000</v>
      </c>
      <c r="AA572" s="124">
        <f t="shared" si="274"/>
        <v>187888000</v>
      </c>
      <c r="AB572" s="124">
        <f t="shared" si="274"/>
        <v>0</v>
      </c>
      <c r="AC572" s="124">
        <f t="shared" si="274"/>
        <v>0</v>
      </c>
      <c r="AD572" s="124">
        <f t="shared" si="274"/>
        <v>0</v>
      </c>
      <c r="AE572" s="124">
        <f t="shared" si="274"/>
        <v>0</v>
      </c>
      <c r="AF572" s="124">
        <f t="shared" si="274"/>
        <v>0</v>
      </c>
      <c r="AG572" s="124">
        <f t="shared" si="274"/>
        <v>0</v>
      </c>
      <c r="AH572" s="124">
        <f t="shared" si="274"/>
        <v>0</v>
      </c>
      <c r="AI572" s="124">
        <f t="shared" si="274"/>
        <v>0</v>
      </c>
      <c r="AJ572" s="124">
        <f t="shared" si="274"/>
        <v>0</v>
      </c>
      <c r="AK572" s="124">
        <f t="shared" si="274"/>
        <v>0</v>
      </c>
      <c r="AL572" s="124">
        <f t="shared" si="274"/>
        <v>0</v>
      </c>
      <c r="AM572" s="124">
        <f t="shared" si="274"/>
        <v>0</v>
      </c>
      <c r="AN572" s="124">
        <f t="shared" si="274"/>
        <v>0</v>
      </c>
      <c r="AO572" s="124">
        <f t="shared" si="274"/>
        <v>0</v>
      </c>
      <c r="AP572" s="124">
        <f t="shared" si="274"/>
        <v>0</v>
      </c>
    </row>
    <row r="573" spans="1:42" x14ac:dyDescent="0.2">
      <c r="A573" s="22" t="s">
        <v>13</v>
      </c>
      <c r="C573" s="123">
        <f>C571*C572</f>
        <v>0</v>
      </c>
      <c r="D573" s="123">
        <f t="shared" ref="D573:AP573" si="275">D571*D572</f>
        <v>0</v>
      </c>
      <c r="E573" s="123">
        <f t="shared" si="275"/>
        <v>0</v>
      </c>
      <c r="F573" s="123">
        <f t="shared" si="275"/>
        <v>0</v>
      </c>
      <c r="G573" s="123">
        <f t="shared" si="275"/>
        <v>0</v>
      </c>
      <c r="H573" s="123">
        <f t="shared" si="275"/>
        <v>0</v>
      </c>
      <c r="I573" s="123">
        <f t="shared" si="275"/>
        <v>0</v>
      </c>
      <c r="J573" s="123">
        <f t="shared" si="275"/>
        <v>0</v>
      </c>
      <c r="K573" s="123">
        <f t="shared" si="275"/>
        <v>0</v>
      </c>
      <c r="L573" s="123">
        <f t="shared" si="275"/>
        <v>0</v>
      </c>
      <c r="M573" s="123">
        <f t="shared" si="275"/>
        <v>0</v>
      </c>
      <c r="N573" s="123">
        <f t="shared" si="275"/>
        <v>0</v>
      </c>
      <c r="O573" s="123">
        <f t="shared" si="275"/>
        <v>0</v>
      </c>
      <c r="P573" s="123">
        <f t="shared" si="275"/>
        <v>0</v>
      </c>
      <c r="Q573" s="123">
        <f t="shared" si="275"/>
        <v>0</v>
      </c>
      <c r="R573" s="123">
        <f t="shared" si="275"/>
        <v>0</v>
      </c>
      <c r="S573" s="123">
        <f t="shared" si="275"/>
        <v>0</v>
      </c>
      <c r="T573" s="123">
        <f t="shared" si="275"/>
        <v>0</v>
      </c>
      <c r="U573" s="123">
        <f t="shared" si="275"/>
        <v>0</v>
      </c>
      <c r="V573" s="123">
        <f t="shared" si="275"/>
        <v>0</v>
      </c>
      <c r="W573" s="123">
        <f t="shared" si="275"/>
        <v>0</v>
      </c>
      <c r="X573" s="123">
        <f t="shared" si="275"/>
        <v>0</v>
      </c>
      <c r="Y573" s="123">
        <f t="shared" si="275"/>
        <v>0</v>
      </c>
      <c r="Z573" s="123">
        <f t="shared" si="275"/>
        <v>0</v>
      </c>
      <c r="AA573" s="123">
        <f t="shared" si="275"/>
        <v>0</v>
      </c>
      <c r="AB573" s="123">
        <f t="shared" si="275"/>
        <v>0</v>
      </c>
      <c r="AC573" s="123">
        <f t="shared" si="275"/>
        <v>0</v>
      </c>
      <c r="AD573" s="123">
        <f t="shared" si="275"/>
        <v>0</v>
      </c>
      <c r="AE573" s="123">
        <f t="shared" si="275"/>
        <v>0</v>
      </c>
      <c r="AF573" s="123">
        <f t="shared" si="275"/>
        <v>0</v>
      </c>
      <c r="AG573" s="123">
        <f t="shared" si="275"/>
        <v>0</v>
      </c>
      <c r="AH573" s="123">
        <f t="shared" si="275"/>
        <v>0</v>
      </c>
      <c r="AI573" s="123">
        <f t="shared" si="275"/>
        <v>0</v>
      </c>
      <c r="AJ573" s="123">
        <f t="shared" si="275"/>
        <v>0</v>
      </c>
      <c r="AK573" s="123">
        <f t="shared" si="275"/>
        <v>0</v>
      </c>
      <c r="AL573" s="123">
        <f t="shared" si="275"/>
        <v>0</v>
      </c>
      <c r="AM573" s="123">
        <f t="shared" si="275"/>
        <v>0</v>
      </c>
      <c r="AN573" s="123">
        <f t="shared" si="275"/>
        <v>0</v>
      </c>
      <c r="AO573" s="123">
        <f t="shared" si="275"/>
        <v>0</v>
      </c>
      <c r="AP573" s="123">
        <f t="shared" si="275"/>
        <v>0</v>
      </c>
    </row>
    <row r="574" spans="1:42" x14ac:dyDescent="0.2">
      <c r="A574" s="18" t="str">
        <f>Inputs!B132</f>
        <v>Utility ($/kWh)</v>
      </c>
    </row>
    <row r="575" spans="1:42" x14ac:dyDescent="0.2">
      <c r="A575" s="22" t="s">
        <v>36</v>
      </c>
      <c r="C575" s="101">
        <f>IF(pbi_uti_amount="n/a",Inputs!D178,IF(AND(C$2&lt;=pbi_uti_term,C$2&lt;=analysis_period),pbi_uti_amount*(1+pbi_uti_escal/100)^B$2,0))</f>
        <v>0</v>
      </c>
      <c r="D575" s="101">
        <f>IF(pbi_uti_amount="n/a",Inputs!E178,IF(AND(D$2&lt;=pbi_uti_term,D$2&lt;=analysis_period),pbi_uti_amount*(1+pbi_uti_escal/100)^C$2,0))</f>
        <v>0</v>
      </c>
      <c r="E575" s="101">
        <f>IF(pbi_uti_amount="n/a",Inputs!F178,IF(AND(E$2&lt;=pbi_uti_term,E$2&lt;=analysis_period),pbi_uti_amount*(1+pbi_uti_escal/100)^D$2,0))</f>
        <v>0</v>
      </c>
      <c r="F575" s="101">
        <f>IF(pbi_uti_amount="n/a",Inputs!G178,IF(AND(F$2&lt;=pbi_uti_term,F$2&lt;=analysis_period),pbi_uti_amount*(1+pbi_uti_escal/100)^E$2,0))</f>
        <v>0</v>
      </c>
      <c r="G575" s="101">
        <f>IF(pbi_uti_amount="n/a",Inputs!H178,IF(AND(G$2&lt;=pbi_uti_term,G$2&lt;=analysis_period),pbi_uti_amount*(1+pbi_uti_escal/100)^F$2,0))</f>
        <v>0</v>
      </c>
      <c r="H575" s="101">
        <f>IF(pbi_uti_amount="n/a",Inputs!I178,IF(AND(H$2&lt;=pbi_uti_term,H$2&lt;=analysis_period),pbi_uti_amount*(1+pbi_uti_escal/100)^G$2,0))</f>
        <v>0</v>
      </c>
      <c r="I575" s="101">
        <f>IF(pbi_uti_amount="n/a",Inputs!J178,IF(AND(I$2&lt;=pbi_uti_term,I$2&lt;=analysis_period),pbi_uti_amount*(1+pbi_uti_escal/100)^H$2,0))</f>
        <v>0</v>
      </c>
      <c r="J575" s="101">
        <f>IF(pbi_uti_amount="n/a",Inputs!K178,IF(AND(J$2&lt;=pbi_uti_term,J$2&lt;=analysis_period),pbi_uti_amount*(1+pbi_uti_escal/100)^I$2,0))</f>
        <v>0</v>
      </c>
      <c r="K575" s="101">
        <f>IF(pbi_uti_amount="n/a",Inputs!L178,IF(AND(K$2&lt;=pbi_uti_term,K$2&lt;=analysis_period),pbi_uti_amount*(1+pbi_uti_escal/100)^J$2,0))</f>
        <v>0</v>
      </c>
      <c r="L575" s="101">
        <f>IF(pbi_uti_amount="n/a",Inputs!M178,IF(AND(L$2&lt;=pbi_uti_term,L$2&lt;=analysis_period),pbi_uti_amount*(1+pbi_uti_escal/100)^K$2,0))</f>
        <v>0</v>
      </c>
      <c r="M575" s="101">
        <f>IF(pbi_uti_amount="n/a",Inputs!N178,IF(AND(M$2&lt;=pbi_uti_term,M$2&lt;=analysis_period),pbi_uti_amount*(1+pbi_uti_escal/100)^L$2,0))</f>
        <v>0</v>
      </c>
      <c r="N575" s="101">
        <f>IF(pbi_uti_amount="n/a",Inputs!O178,IF(AND(N$2&lt;=pbi_uti_term,N$2&lt;=analysis_period),pbi_uti_amount*(1+pbi_uti_escal/100)^M$2,0))</f>
        <v>0</v>
      </c>
      <c r="O575" s="101">
        <f>IF(pbi_uti_amount="n/a",Inputs!P178,IF(AND(O$2&lt;=pbi_uti_term,O$2&lt;=analysis_period),pbi_uti_amount*(1+pbi_uti_escal/100)^N$2,0))</f>
        <v>0</v>
      </c>
      <c r="P575" s="101">
        <f>IF(pbi_uti_amount="n/a",Inputs!Q178,IF(AND(P$2&lt;=pbi_uti_term,P$2&lt;=analysis_period),pbi_uti_amount*(1+pbi_uti_escal/100)^O$2,0))</f>
        <v>0</v>
      </c>
      <c r="Q575" s="101">
        <f>IF(pbi_uti_amount="n/a",Inputs!R178,IF(AND(Q$2&lt;=pbi_uti_term,Q$2&lt;=analysis_period),pbi_uti_amount*(1+pbi_uti_escal/100)^P$2,0))</f>
        <v>0</v>
      </c>
      <c r="R575" s="101">
        <f>IF(pbi_uti_amount="n/a",Inputs!S178,IF(AND(R$2&lt;=pbi_uti_term,R$2&lt;=analysis_period),pbi_uti_amount*(1+pbi_uti_escal/100)^Q$2,0))</f>
        <v>0</v>
      </c>
      <c r="S575" s="101">
        <f>IF(pbi_uti_amount="n/a",Inputs!T178,IF(AND(S$2&lt;=pbi_uti_term,S$2&lt;=analysis_period),pbi_uti_amount*(1+pbi_uti_escal/100)^R$2,0))</f>
        <v>0</v>
      </c>
      <c r="T575" s="101">
        <f>IF(pbi_uti_amount="n/a",Inputs!U178,IF(AND(T$2&lt;=pbi_uti_term,T$2&lt;=analysis_period),pbi_uti_amount*(1+pbi_uti_escal/100)^S$2,0))</f>
        <v>0</v>
      </c>
      <c r="U575" s="101">
        <f>IF(pbi_uti_amount="n/a",Inputs!V178,IF(AND(U$2&lt;=pbi_uti_term,U$2&lt;=analysis_period),pbi_uti_amount*(1+pbi_uti_escal/100)^T$2,0))</f>
        <v>0</v>
      </c>
      <c r="V575" s="101">
        <f>IF(pbi_uti_amount="n/a",Inputs!W178,IF(AND(V$2&lt;=pbi_uti_term,V$2&lt;=analysis_period),pbi_uti_amount*(1+pbi_uti_escal/100)^U$2,0))</f>
        <v>0</v>
      </c>
      <c r="W575" s="101">
        <f>IF(pbi_uti_amount="n/a",Inputs!X178,IF(AND(W$2&lt;=pbi_uti_term,W$2&lt;=analysis_period),pbi_uti_amount*(1+pbi_uti_escal/100)^V$2,0))</f>
        <v>0</v>
      </c>
      <c r="X575" s="101">
        <f>IF(pbi_uti_amount="n/a",Inputs!Y178,IF(AND(X$2&lt;=pbi_uti_term,X$2&lt;=analysis_period),pbi_uti_amount*(1+pbi_uti_escal/100)^W$2,0))</f>
        <v>0</v>
      </c>
      <c r="Y575" s="101">
        <f>IF(pbi_uti_amount="n/a",Inputs!Z178,IF(AND(Y$2&lt;=pbi_uti_term,Y$2&lt;=analysis_period),pbi_uti_amount*(1+pbi_uti_escal/100)^X$2,0))</f>
        <v>0</v>
      </c>
      <c r="Z575" s="101">
        <f>IF(pbi_uti_amount="n/a",Inputs!AA178,IF(AND(Z$2&lt;=pbi_uti_term,Z$2&lt;=analysis_period),pbi_uti_amount*(1+pbi_uti_escal/100)^Y$2,0))</f>
        <v>0</v>
      </c>
      <c r="AA575" s="101">
        <f>IF(pbi_uti_amount="n/a",Inputs!AB178,IF(AND(AA$2&lt;=pbi_uti_term,AA$2&lt;=analysis_period),pbi_uti_amount*(1+pbi_uti_escal/100)^Z$2,0))</f>
        <v>0</v>
      </c>
      <c r="AB575" s="101">
        <f>IF(pbi_uti_amount="n/a",Inputs!AC178,IF(AND(AB$2&lt;=pbi_uti_term,AB$2&lt;=analysis_period),pbi_uti_amount*(1+pbi_uti_escal/100)^AA$2,0))</f>
        <v>0</v>
      </c>
      <c r="AC575" s="101">
        <f>IF(pbi_uti_amount="n/a",Inputs!AD178,IF(AND(AC$2&lt;=pbi_uti_term,AC$2&lt;=analysis_period),pbi_uti_amount*(1+pbi_uti_escal/100)^AB$2,0))</f>
        <v>0</v>
      </c>
      <c r="AD575" s="101">
        <f>IF(pbi_uti_amount="n/a",Inputs!AE178,IF(AND(AD$2&lt;=pbi_uti_term,AD$2&lt;=analysis_period),pbi_uti_amount*(1+pbi_uti_escal/100)^AC$2,0))</f>
        <v>0</v>
      </c>
      <c r="AE575" s="101">
        <f>IF(pbi_uti_amount="n/a",Inputs!AF178,IF(AND(AE$2&lt;=pbi_uti_term,AE$2&lt;=analysis_period),pbi_uti_amount*(1+pbi_uti_escal/100)^AD$2,0))</f>
        <v>0</v>
      </c>
      <c r="AF575" s="101">
        <f>IF(pbi_uti_amount="n/a",Inputs!AG178,IF(AND(AF$2&lt;=pbi_uti_term,AF$2&lt;=analysis_period),pbi_uti_amount*(1+pbi_uti_escal/100)^AE$2,0))</f>
        <v>0</v>
      </c>
      <c r="AG575" s="101">
        <f>IF(pbi_uti_amount="n/a",Inputs!AH178,IF(AND(AG$2&lt;=pbi_uti_term,AG$2&lt;=analysis_period),pbi_uti_amount*(1+pbi_uti_escal/100)^AF$2,0))</f>
        <v>0</v>
      </c>
      <c r="AH575" s="101">
        <f>IF(pbi_uti_amount="n/a",Inputs!AI178,IF(AND(AH$2&lt;=pbi_uti_term,AH$2&lt;=analysis_period),pbi_uti_amount*(1+pbi_uti_escal/100)^AG$2,0))</f>
        <v>0</v>
      </c>
      <c r="AI575" s="101">
        <f>IF(pbi_uti_amount="n/a",Inputs!AJ178,IF(AND(AI$2&lt;=pbi_uti_term,AI$2&lt;=analysis_period),pbi_uti_amount*(1+pbi_uti_escal/100)^AH$2,0))</f>
        <v>0</v>
      </c>
      <c r="AJ575" s="101">
        <f>IF(pbi_uti_amount="n/a",Inputs!AK178,IF(AND(AJ$2&lt;=pbi_uti_term,AJ$2&lt;=analysis_period),pbi_uti_amount*(1+pbi_uti_escal/100)^AI$2,0))</f>
        <v>0</v>
      </c>
      <c r="AK575" s="101">
        <f>IF(pbi_uti_amount="n/a",Inputs!AL178,IF(AND(AK$2&lt;=pbi_uti_term,AK$2&lt;=analysis_period),pbi_uti_amount*(1+pbi_uti_escal/100)^AJ$2,0))</f>
        <v>0</v>
      </c>
      <c r="AL575" s="101">
        <f>IF(pbi_uti_amount="n/a",Inputs!AM178,IF(AND(AL$2&lt;=pbi_uti_term,AL$2&lt;=analysis_period),pbi_uti_amount*(1+pbi_uti_escal/100)^AK$2,0))</f>
        <v>0</v>
      </c>
      <c r="AM575" s="101">
        <f>IF(pbi_uti_amount="n/a",Inputs!AN178,IF(AND(AM$2&lt;=pbi_uti_term,AM$2&lt;=analysis_period),pbi_uti_amount*(1+pbi_uti_escal/100)^AL$2,0))</f>
        <v>0</v>
      </c>
      <c r="AN575" s="101">
        <f>IF(pbi_uti_amount="n/a",Inputs!AO178,IF(AND(AN$2&lt;=pbi_uti_term,AN$2&lt;=analysis_period),pbi_uti_amount*(1+pbi_uti_escal/100)^AM$2,0))</f>
        <v>0</v>
      </c>
      <c r="AO575" s="101">
        <f>IF(pbi_uti_amount="n/a",Inputs!AP178,IF(AND(AO$2&lt;=pbi_uti_term,AO$2&lt;=analysis_period),pbi_uti_amount*(1+pbi_uti_escal/100)^AN$2,0))</f>
        <v>0</v>
      </c>
      <c r="AP575" s="101">
        <f>IF(pbi_uti_amount="n/a",Inputs!AQ178,IF(AND(AP$2&lt;=pbi_uti_term,AP$2&lt;=analysis_period),pbi_uti_amount*(1+pbi_uti_escal/100)^AO$2,0))</f>
        <v>0</v>
      </c>
    </row>
    <row r="576" spans="1:42" x14ac:dyDescent="0.2">
      <c r="A576" s="22" t="s">
        <v>372</v>
      </c>
      <c r="C576" s="124">
        <f>C$5</f>
        <v>211907000</v>
      </c>
      <c r="D576" s="124">
        <f t="shared" ref="D576:AP576" si="276">D$5</f>
        <v>210848000</v>
      </c>
      <c r="E576" s="124">
        <f t="shared" si="276"/>
        <v>209794000</v>
      </c>
      <c r="F576" s="124">
        <f t="shared" si="276"/>
        <v>208745000</v>
      </c>
      <c r="G576" s="124">
        <f t="shared" si="276"/>
        <v>207701000</v>
      </c>
      <c r="H576" s="124">
        <f t="shared" si="276"/>
        <v>206662000</v>
      </c>
      <c r="I576" s="124">
        <f t="shared" si="276"/>
        <v>205629000</v>
      </c>
      <c r="J576" s="124">
        <f t="shared" si="276"/>
        <v>204601000</v>
      </c>
      <c r="K576" s="124">
        <f t="shared" si="276"/>
        <v>203578000</v>
      </c>
      <c r="L576" s="124">
        <f t="shared" si="276"/>
        <v>202560000</v>
      </c>
      <c r="M576" s="124">
        <f t="shared" si="276"/>
        <v>201547000</v>
      </c>
      <c r="N576" s="124">
        <f t="shared" si="276"/>
        <v>200540000</v>
      </c>
      <c r="O576" s="124">
        <f t="shared" si="276"/>
        <v>199537000</v>
      </c>
      <c r="P576" s="124">
        <f t="shared" si="276"/>
        <v>198539000</v>
      </c>
      <c r="Q576" s="124">
        <f t="shared" si="276"/>
        <v>197547000</v>
      </c>
      <c r="R576" s="124">
        <f t="shared" si="276"/>
        <v>196559000</v>
      </c>
      <c r="S576" s="124">
        <f t="shared" si="276"/>
        <v>195576000</v>
      </c>
      <c r="T576" s="124">
        <f t="shared" si="276"/>
        <v>194598000</v>
      </c>
      <c r="U576" s="124">
        <f t="shared" si="276"/>
        <v>193625000</v>
      </c>
      <c r="V576" s="124">
        <f t="shared" si="276"/>
        <v>192657000</v>
      </c>
      <c r="W576" s="124">
        <f t="shared" si="276"/>
        <v>191694000</v>
      </c>
      <c r="X576" s="124">
        <f t="shared" si="276"/>
        <v>190735000</v>
      </c>
      <c r="Y576" s="124">
        <f t="shared" si="276"/>
        <v>189782000</v>
      </c>
      <c r="Z576" s="124">
        <f t="shared" si="276"/>
        <v>188833000</v>
      </c>
      <c r="AA576" s="124">
        <f t="shared" si="276"/>
        <v>187888000</v>
      </c>
      <c r="AB576" s="124">
        <f t="shared" si="276"/>
        <v>0</v>
      </c>
      <c r="AC576" s="124">
        <f t="shared" si="276"/>
        <v>0</v>
      </c>
      <c r="AD576" s="124">
        <f t="shared" si="276"/>
        <v>0</v>
      </c>
      <c r="AE576" s="124">
        <f t="shared" si="276"/>
        <v>0</v>
      </c>
      <c r="AF576" s="124">
        <f t="shared" si="276"/>
        <v>0</v>
      </c>
      <c r="AG576" s="124">
        <f t="shared" si="276"/>
        <v>0</v>
      </c>
      <c r="AH576" s="124">
        <f t="shared" si="276"/>
        <v>0</v>
      </c>
      <c r="AI576" s="124">
        <f t="shared" si="276"/>
        <v>0</v>
      </c>
      <c r="AJ576" s="124">
        <f t="shared" si="276"/>
        <v>0</v>
      </c>
      <c r="AK576" s="124">
        <f t="shared" si="276"/>
        <v>0</v>
      </c>
      <c r="AL576" s="124">
        <f t="shared" si="276"/>
        <v>0</v>
      </c>
      <c r="AM576" s="124">
        <f t="shared" si="276"/>
        <v>0</v>
      </c>
      <c r="AN576" s="124">
        <f t="shared" si="276"/>
        <v>0</v>
      </c>
      <c r="AO576" s="124">
        <f t="shared" si="276"/>
        <v>0</v>
      </c>
      <c r="AP576" s="124">
        <f t="shared" si="276"/>
        <v>0</v>
      </c>
    </row>
    <row r="577" spans="1:42" x14ac:dyDescent="0.2">
      <c r="A577" s="22" t="s">
        <v>13</v>
      </c>
      <c r="C577" s="123">
        <f>C575*C576</f>
        <v>0</v>
      </c>
      <c r="D577" s="123">
        <f t="shared" ref="D577:AP577" si="277">D575*D576</f>
        <v>0</v>
      </c>
      <c r="E577" s="123">
        <f t="shared" si="277"/>
        <v>0</v>
      </c>
      <c r="F577" s="123">
        <f t="shared" si="277"/>
        <v>0</v>
      </c>
      <c r="G577" s="123">
        <f t="shared" si="277"/>
        <v>0</v>
      </c>
      <c r="H577" s="123">
        <f t="shared" si="277"/>
        <v>0</v>
      </c>
      <c r="I577" s="123">
        <f t="shared" si="277"/>
        <v>0</v>
      </c>
      <c r="J577" s="123">
        <f t="shared" si="277"/>
        <v>0</v>
      </c>
      <c r="K577" s="123">
        <f t="shared" si="277"/>
        <v>0</v>
      </c>
      <c r="L577" s="123">
        <f t="shared" si="277"/>
        <v>0</v>
      </c>
      <c r="M577" s="123">
        <f t="shared" si="277"/>
        <v>0</v>
      </c>
      <c r="N577" s="123">
        <f t="shared" si="277"/>
        <v>0</v>
      </c>
      <c r="O577" s="123">
        <f t="shared" si="277"/>
        <v>0</v>
      </c>
      <c r="P577" s="123">
        <f t="shared" si="277"/>
        <v>0</v>
      </c>
      <c r="Q577" s="123">
        <f t="shared" si="277"/>
        <v>0</v>
      </c>
      <c r="R577" s="123">
        <f t="shared" si="277"/>
        <v>0</v>
      </c>
      <c r="S577" s="123">
        <f t="shared" si="277"/>
        <v>0</v>
      </c>
      <c r="T577" s="123">
        <f t="shared" si="277"/>
        <v>0</v>
      </c>
      <c r="U577" s="123">
        <f t="shared" si="277"/>
        <v>0</v>
      </c>
      <c r="V577" s="123">
        <f t="shared" si="277"/>
        <v>0</v>
      </c>
      <c r="W577" s="123">
        <f t="shared" si="277"/>
        <v>0</v>
      </c>
      <c r="X577" s="123">
        <f t="shared" si="277"/>
        <v>0</v>
      </c>
      <c r="Y577" s="123">
        <f t="shared" si="277"/>
        <v>0</v>
      </c>
      <c r="Z577" s="123">
        <f t="shared" si="277"/>
        <v>0</v>
      </c>
      <c r="AA577" s="123">
        <f t="shared" si="277"/>
        <v>0</v>
      </c>
      <c r="AB577" s="123">
        <f t="shared" si="277"/>
        <v>0</v>
      </c>
      <c r="AC577" s="123">
        <f t="shared" si="277"/>
        <v>0</v>
      </c>
      <c r="AD577" s="123">
        <f t="shared" si="277"/>
        <v>0</v>
      </c>
      <c r="AE577" s="123">
        <f t="shared" si="277"/>
        <v>0</v>
      </c>
      <c r="AF577" s="123">
        <f t="shared" si="277"/>
        <v>0</v>
      </c>
      <c r="AG577" s="123">
        <f t="shared" si="277"/>
        <v>0</v>
      </c>
      <c r="AH577" s="123">
        <f t="shared" si="277"/>
        <v>0</v>
      </c>
      <c r="AI577" s="123">
        <f t="shared" si="277"/>
        <v>0</v>
      </c>
      <c r="AJ577" s="123">
        <f t="shared" si="277"/>
        <v>0</v>
      </c>
      <c r="AK577" s="123">
        <f t="shared" si="277"/>
        <v>0</v>
      </c>
      <c r="AL577" s="123">
        <f t="shared" si="277"/>
        <v>0</v>
      </c>
      <c r="AM577" s="123">
        <f t="shared" si="277"/>
        <v>0</v>
      </c>
      <c r="AN577" s="123">
        <f t="shared" si="277"/>
        <v>0</v>
      </c>
      <c r="AO577" s="123">
        <f t="shared" si="277"/>
        <v>0</v>
      </c>
      <c r="AP577" s="123">
        <f t="shared" si="277"/>
        <v>0</v>
      </c>
    </row>
    <row r="578" spans="1:42" x14ac:dyDescent="0.2">
      <c r="A578" s="18" t="str">
        <f>Inputs!B133</f>
        <v>Other ($/kWh)</v>
      </c>
    </row>
    <row r="579" spans="1:42" x14ac:dyDescent="0.2">
      <c r="A579" s="22" t="s">
        <v>36</v>
      </c>
      <c r="C579" s="101">
        <f>IF(pbi_oth_amount="n/a",Inputs!D179,IF(AND(C$2&lt;=pbi_oth_term,C$2&lt;=analysis_period),pbi_oth_amount*(1+pbi_oth_escal/100)^B$2,0))</f>
        <v>0</v>
      </c>
      <c r="D579" s="101">
        <f>IF(pbi_oth_amount="n/a",Inputs!E179,IF(AND(D$2&lt;=pbi_oth_term,D$2&lt;=analysis_period),pbi_oth_amount*(1+pbi_oth_escal/100)^C$2,0))</f>
        <v>0</v>
      </c>
      <c r="E579" s="101">
        <f>IF(pbi_oth_amount="n/a",Inputs!F179,IF(AND(E$2&lt;=pbi_oth_term,E$2&lt;=analysis_period),pbi_oth_amount*(1+pbi_oth_escal/100)^D$2,0))</f>
        <v>0</v>
      </c>
      <c r="F579" s="101">
        <f>IF(pbi_oth_amount="n/a",Inputs!G179,IF(AND(F$2&lt;=pbi_oth_term,F$2&lt;=analysis_period),pbi_oth_amount*(1+pbi_oth_escal/100)^E$2,0))</f>
        <v>0</v>
      </c>
      <c r="G579" s="101">
        <f>IF(pbi_oth_amount="n/a",Inputs!H179,IF(AND(G$2&lt;=pbi_oth_term,G$2&lt;=analysis_period),pbi_oth_amount*(1+pbi_oth_escal/100)^F$2,0))</f>
        <v>0</v>
      </c>
      <c r="H579" s="101">
        <f>IF(pbi_oth_amount="n/a",Inputs!I179,IF(AND(H$2&lt;=pbi_oth_term,H$2&lt;=analysis_period),pbi_oth_amount*(1+pbi_oth_escal/100)^G$2,0))</f>
        <v>0</v>
      </c>
      <c r="I579" s="101">
        <f>IF(pbi_oth_amount="n/a",Inputs!J179,IF(AND(I$2&lt;=pbi_oth_term,I$2&lt;=analysis_period),pbi_oth_amount*(1+pbi_oth_escal/100)^H$2,0))</f>
        <v>0</v>
      </c>
      <c r="J579" s="101">
        <f>IF(pbi_oth_amount="n/a",Inputs!K179,IF(AND(J$2&lt;=pbi_oth_term,J$2&lt;=analysis_period),pbi_oth_amount*(1+pbi_oth_escal/100)^I$2,0))</f>
        <v>0</v>
      </c>
      <c r="K579" s="101">
        <f>IF(pbi_oth_amount="n/a",Inputs!L179,IF(AND(K$2&lt;=pbi_oth_term,K$2&lt;=analysis_period),pbi_oth_amount*(1+pbi_oth_escal/100)^J$2,0))</f>
        <v>0</v>
      </c>
      <c r="L579" s="101">
        <f>IF(pbi_oth_amount="n/a",Inputs!M179,IF(AND(L$2&lt;=pbi_oth_term,L$2&lt;=analysis_period),pbi_oth_amount*(1+pbi_oth_escal/100)^K$2,0))</f>
        <v>0</v>
      </c>
      <c r="M579" s="101">
        <f>IF(pbi_oth_amount="n/a",Inputs!N179,IF(AND(M$2&lt;=pbi_oth_term,M$2&lt;=analysis_period),pbi_oth_amount*(1+pbi_oth_escal/100)^L$2,0))</f>
        <v>0</v>
      </c>
      <c r="N579" s="101">
        <f>IF(pbi_oth_amount="n/a",Inputs!O179,IF(AND(N$2&lt;=pbi_oth_term,N$2&lt;=analysis_period),pbi_oth_amount*(1+pbi_oth_escal/100)^M$2,0))</f>
        <v>0</v>
      </c>
      <c r="O579" s="101">
        <f>IF(pbi_oth_amount="n/a",Inputs!P179,IF(AND(O$2&lt;=pbi_oth_term,O$2&lt;=analysis_period),pbi_oth_amount*(1+pbi_oth_escal/100)^N$2,0))</f>
        <v>0</v>
      </c>
      <c r="P579" s="101">
        <f>IF(pbi_oth_amount="n/a",Inputs!Q179,IF(AND(P$2&lt;=pbi_oth_term,P$2&lt;=analysis_period),pbi_oth_amount*(1+pbi_oth_escal/100)^O$2,0))</f>
        <v>0</v>
      </c>
      <c r="Q579" s="101">
        <f>IF(pbi_oth_amount="n/a",Inputs!R179,IF(AND(Q$2&lt;=pbi_oth_term,Q$2&lt;=analysis_period),pbi_oth_amount*(1+pbi_oth_escal/100)^P$2,0))</f>
        <v>0</v>
      </c>
      <c r="R579" s="101">
        <f>IF(pbi_oth_amount="n/a",Inputs!S179,IF(AND(R$2&lt;=pbi_oth_term,R$2&lt;=analysis_period),pbi_oth_amount*(1+pbi_oth_escal/100)^Q$2,0))</f>
        <v>0</v>
      </c>
      <c r="S579" s="101">
        <f>IF(pbi_oth_amount="n/a",Inputs!T179,IF(AND(S$2&lt;=pbi_oth_term,S$2&lt;=analysis_period),pbi_oth_amount*(1+pbi_oth_escal/100)^R$2,0))</f>
        <v>0</v>
      </c>
      <c r="T579" s="101">
        <f>IF(pbi_oth_amount="n/a",Inputs!U179,IF(AND(T$2&lt;=pbi_oth_term,T$2&lt;=analysis_period),pbi_oth_amount*(1+pbi_oth_escal/100)^S$2,0))</f>
        <v>0</v>
      </c>
      <c r="U579" s="101">
        <f>IF(pbi_oth_amount="n/a",Inputs!V179,IF(AND(U$2&lt;=pbi_oth_term,U$2&lt;=analysis_period),pbi_oth_amount*(1+pbi_oth_escal/100)^T$2,0))</f>
        <v>0</v>
      </c>
      <c r="V579" s="101">
        <f>IF(pbi_oth_amount="n/a",Inputs!W179,IF(AND(V$2&lt;=pbi_oth_term,V$2&lt;=analysis_period),pbi_oth_amount*(1+pbi_oth_escal/100)^U$2,0))</f>
        <v>0</v>
      </c>
      <c r="W579" s="101">
        <f>IF(pbi_oth_amount="n/a",Inputs!X179,IF(AND(W$2&lt;=pbi_oth_term,W$2&lt;=analysis_period),pbi_oth_amount*(1+pbi_oth_escal/100)^V$2,0))</f>
        <v>0</v>
      </c>
      <c r="X579" s="101">
        <f>IF(pbi_oth_amount="n/a",Inputs!Y179,IF(AND(X$2&lt;=pbi_oth_term,X$2&lt;=analysis_period),pbi_oth_amount*(1+pbi_oth_escal/100)^W$2,0))</f>
        <v>0</v>
      </c>
      <c r="Y579" s="101">
        <f>IF(pbi_oth_amount="n/a",Inputs!Z179,IF(AND(Y$2&lt;=pbi_oth_term,Y$2&lt;=analysis_period),pbi_oth_amount*(1+pbi_oth_escal/100)^X$2,0))</f>
        <v>0</v>
      </c>
      <c r="Z579" s="101">
        <f>IF(pbi_oth_amount="n/a",Inputs!AA179,IF(AND(Z$2&lt;=pbi_oth_term,Z$2&lt;=analysis_period),pbi_oth_amount*(1+pbi_oth_escal/100)^Y$2,0))</f>
        <v>0</v>
      </c>
      <c r="AA579" s="101">
        <f>IF(pbi_oth_amount="n/a",Inputs!AB179,IF(AND(AA$2&lt;=pbi_oth_term,AA$2&lt;=analysis_period),pbi_oth_amount*(1+pbi_oth_escal/100)^Z$2,0))</f>
        <v>0</v>
      </c>
      <c r="AB579" s="101">
        <f>IF(pbi_oth_amount="n/a",Inputs!AC179,IF(AND(AB$2&lt;=pbi_oth_term,AB$2&lt;=analysis_period),pbi_oth_amount*(1+pbi_oth_escal/100)^AA$2,0))</f>
        <v>0</v>
      </c>
      <c r="AC579" s="101">
        <f>IF(pbi_oth_amount="n/a",Inputs!AD179,IF(AND(AC$2&lt;=pbi_oth_term,AC$2&lt;=analysis_period),pbi_oth_amount*(1+pbi_oth_escal/100)^AB$2,0))</f>
        <v>0</v>
      </c>
      <c r="AD579" s="101">
        <f>IF(pbi_oth_amount="n/a",Inputs!AE179,IF(AND(AD$2&lt;=pbi_oth_term,AD$2&lt;=analysis_period),pbi_oth_amount*(1+pbi_oth_escal/100)^AC$2,0))</f>
        <v>0</v>
      </c>
      <c r="AE579" s="101">
        <f>IF(pbi_oth_amount="n/a",Inputs!AF179,IF(AND(AE$2&lt;=pbi_oth_term,AE$2&lt;=analysis_period),pbi_oth_amount*(1+pbi_oth_escal/100)^AD$2,0))</f>
        <v>0</v>
      </c>
      <c r="AF579" s="101">
        <f>IF(pbi_oth_amount="n/a",Inputs!AG179,IF(AND(AF$2&lt;=pbi_oth_term,AF$2&lt;=analysis_period),pbi_oth_amount*(1+pbi_oth_escal/100)^AE$2,0))</f>
        <v>0</v>
      </c>
      <c r="AG579" s="101">
        <f>IF(pbi_oth_amount="n/a",Inputs!AH179,IF(AND(AG$2&lt;=pbi_oth_term,AG$2&lt;=analysis_period),pbi_oth_amount*(1+pbi_oth_escal/100)^AF$2,0))</f>
        <v>0</v>
      </c>
      <c r="AH579" s="101">
        <f>IF(pbi_oth_amount="n/a",Inputs!AI179,IF(AND(AH$2&lt;=pbi_oth_term,AH$2&lt;=analysis_period),pbi_oth_amount*(1+pbi_oth_escal/100)^AG$2,0))</f>
        <v>0</v>
      </c>
      <c r="AI579" s="101">
        <f>IF(pbi_oth_amount="n/a",Inputs!AJ179,IF(AND(AI$2&lt;=pbi_oth_term,AI$2&lt;=analysis_period),pbi_oth_amount*(1+pbi_oth_escal/100)^AH$2,0))</f>
        <v>0</v>
      </c>
      <c r="AJ579" s="101">
        <f>IF(pbi_oth_amount="n/a",Inputs!AK179,IF(AND(AJ$2&lt;=pbi_oth_term,AJ$2&lt;=analysis_period),pbi_oth_amount*(1+pbi_oth_escal/100)^AI$2,0))</f>
        <v>0</v>
      </c>
      <c r="AK579" s="101">
        <f>IF(pbi_oth_amount="n/a",Inputs!AL179,IF(AND(AK$2&lt;=pbi_oth_term,AK$2&lt;=analysis_period),pbi_oth_amount*(1+pbi_oth_escal/100)^AJ$2,0))</f>
        <v>0</v>
      </c>
      <c r="AL579" s="101">
        <f>IF(pbi_oth_amount="n/a",Inputs!AM179,IF(AND(AL$2&lt;=pbi_oth_term,AL$2&lt;=analysis_period),pbi_oth_amount*(1+pbi_oth_escal/100)^AK$2,0))</f>
        <v>0</v>
      </c>
      <c r="AM579" s="101">
        <f>IF(pbi_oth_amount="n/a",Inputs!AN179,IF(AND(AM$2&lt;=pbi_oth_term,AM$2&lt;=analysis_period),pbi_oth_amount*(1+pbi_oth_escal/100)^AL$2,0))</f>
        <v>0</v>
      </c>
      <c r="AN579" s="101">
        <f>IF(pbi_oth_amount="n/a",Inputs!AO179,IF(AND(AN$2&lt;=pbi_oth_term,AN$2&lt;=analysis_period),pbi_oth_amount*(1+pbi_oth_escal/100)^AM$2,0))</f>
        <v>0</v>
      </c>
      <c r="AO579" s="101">
        <f>IF(pbi_oth_amount="n/a",Inputs!AP179,IF(AND(AO$2&lt;=pbi_oth_term,AO$2&lt;=analysis_period),pbi_oth_amount*(1+pbi_oth_escal/100)^AN$2,0))</f>
        <v>0</v>
      </c>
      <c r="AP579" s="101">
        <f>IF(pbi_oth_amount="n/a",Inputs!AQ179,IF(AND(AP$2&lt;=pbi_oth_term,AP$2&lt;=analysis_period),pbi_oth_amount*(1+pbi_oth_escal/100)^AO$2,0))</f>
        <v>0</v>
      </c>
    </row>
    <row r="580" spans="1:42" x14ac:dyDescent="0.2">
      <c r="A580" s="22" t="s">
        <v>372</v>
      </c>
      <c r="C580" s="124">
        <f>C$5</f>
        <v>211907000</v>
      </c>
      <c r="D580" s="124">
        <f t="shared" ref="D580:AP580" si="278">D$5</f>
        <v>210848000</v>
      </c>
      <c r="E580" s="124">
        <f t="shared" si="278"/>
        <v>209794000</v>
      </c>
      <c r="F580" s="124">
        <f t="shared" si="278"/>
        <v>208745000</v>
      </c>
      <c r="G580" s="124">
        <f t="shared" si="278"/>
        <v>207701000</v>
      </c>
      <c r="H580" s="124">
        <f t="shared" si="278"/>
        <v>206662000</v>
      </c>
      <c r="I580" s="124">
        <f t="shared" si="278"/>
        <v>205629000</v>
      </c>
      <c r="J580" s="124">
        <f t="shared" si="278"/>
        <v>204601000</v>
      </c>
      <c r="K580" s="124">
        <f t="shared" si="278"/>
        <v>203578000</v>
      </c>
      <c r="L580" s="124">
        <f t="shared" si="278"/>
        <v>202560000</v>
      </c>
      <c r="M580" s="124">
        <f t="shared" si="278"/>
        <v>201547000</v>
      </c>
      <c r="N580" s="124">
        <f t="shared" si="278"/>
        <v>200540000</v>
      </c>
      <c r="O580" s="124">
        <f t="shared" si="278"/>
        <v>199537000</v>
      </c>
      <c r="P580" s="124">
        <f t="shared" si="278"/>
        <v>198539000</v>
      </c>
      <c r="Q580" s="124">
        <f t="shared" si="278"/>
        <v>197547000</v>
      </c>
      <c r="R580" s="124">
        <f t="shared" si="278"/>
        <v>196559000</v>
      </c>
      <c r="S580" s="124">
        <f t="shared" si="278"/>
        <v>195576000</v>
      </c>
      <c r="T580" s="124">
        <f t="shared" si="278"/>
        <v>194598000</v>
      </c>
      <c r="U580" s="124">
        <f t="shared" si="278"/>
        <v>193625000</v>
      </c>
      <c r="V580" s="124">
        <f t="shared" si="278"/>
        <v>192657000</v>
      </c>
      <c r="W580" s="124">
        <f t="shared" si="278"/>
        <v>191694000</v>
      </c>
      <c r="X580" s="124">
        <f t="shared" si="278"/>
        <v>190735000</v>
      </c>
      <c r="Y580" s="124">
        <f t="shared" si="278"/>
        <v>189782000</v>
      </c>
      <c r="Z580" s="124">
        <f t="shared" si="278"/>
        <v>188833000</v>
      </c>
      <c r="AA580" s="124">
        <f t="shared" si="278"/>
        <v>187888000</v>
      </c>
      <c r="AB580" s="124">
        <f t="shared" si="278"/>
        <v>0</v>
      </c>
      <c r="AC580" s="124">
        <f t="shared" si="278"/>
        <v>0</v>
      </c>
      <c r="AD580" s="124">
        <f t="shared" si="278"/>
        <v>0</v>
      </c>
      <c r="AE580" s="124">
        <f t="shared" si="278"/>
        <v>0</v>
      </c>
      <c r="AF580" s="124">
        <f t="shared" si="278"/>
        <v>0</v>
      </c>
      <c r="AG580" s="124">
        <f t="shared" si="278"/>
        <v>0</v>
      </c>
      <c r="AH580" s="124">
        <f t="shared" si="278"/>
        <v>0</v>
      </c>
      <c r="AI580" s="124">
        <f t="shared" si="278"/>
        <v>0</v>
      </c>
      <c r="AJ580" s="124">
        <f t="shared" si="278"/>
        <v>0</v>
      </c>
      <c r="AK580" s="124">
        <f t="shared" si="278"/>
        <v>0</v>
      </c>
      <c r="AL580" s="124">
        <f t="shared" si="278"/>
        <v>0</v>
      </c>
      <c r="AM580" s="124">
        <f t="shared" si="278"/>
        <v>0</v>
      </c>
      <c r="AN580" s="124">
        <f t="shared" si="278"/>
        <v>0</v>
      </c>
      <c r="AO580" s="124">
        <f t="shared" si="278"/>
        <v>0</v>
      </c>
      <c r="AP580" s="124">
        <f t="shared" si="278"/>
        <v>0</v>
      </c>
    </row>
    <row r="581" spans="1:42" x14ac:dyDescent="0.2">
      <c r="A581" s="22" t="s">
        <v>13</v>
      </c>
      <c r="C581" s="123">
        <f>C579*C580</f>
        <v>0</v>
      </c>
      <c r="D581" s="123">
        <f t="shared" ref="D581:AP581" si="279">D579*D580</f>
        <v>0</v>
      </c>
      <c r="E581" s="123">
        <f t="shared" si="279"/>
        <v>0</v>
      </c>
      <c r="F581" s="123">
        <f t="shared" si="279"/>
        <v>0</v>
      </c>
      <c r="G581" s="123">
        <f t="shared" si="279"/>
        <v>0</v>
      </c>
      <c r="H581" s="123">
        <f t="shared" si="279"/>
        <v>0</v>
      </c>
      <c r="I581" s="123">
        <f t="shared" si="279"/>
        <v>0</v>
      </c>
      <c r="J581" s="123">
        <f t="shared" si="279"/>
        <v>0</v>
      </c>
      <c r="K581" s="123">
        <f t="shared" si="279"/>
        <v>0</v>
      </c>
      <c r="L581" s="123">
        <f t="shared" si="279"/>
        <v>0</v>
      </c>
      <c r="M581" s="123">
        <f t="shared" si="279"/>
        <v>0</v>
      </c>
      <c r="N581" s="123">
        <f t="shared" si="279"/>
        <v>0</v>
      </c>
      <c r="O581" s="123">
        <f t="shared" si="279"/>
        <v>0</v>
      </c>
      <c r="P581" s="123">
        <f t="shared" si="279"/>
        <v>0</v>
      </c>
      <c r="Q581" s="123">
        <f t="shared" si="279"/>
        <v>0</v>
      </c>
      <c r="R581" s="123">
        <f t="shared" si="279"/>
        <v>0</v>
      </c>
      <c r="S581" s="123">
        <f t="shared" si="279"/>
        <v>0</v>
      </c>
      <c r="T581" s="123">
        <f t="shared" si="279"/>
        <v>0</v>
      </c>
      <c r="U581" s="123">
        <f t="shared" si="279"/>
        <v>0</v>
      </c>
      <c r="V581" s="123">
        <f t="shared" si="279"/>
        <v>0</v>
      </c>
      <c r="W581" s="123">
        <f t="shared" si="279"/>
        <v>0</v>
      </c>
      <c r="X581" s="123">
        <f t="shared" si="279"/>
        <v>0</v>
      </c>
      <c r="Y581" s="123">
        <f t="shared" si="279"/>
        <v>0</v>
      </c>
      <c r="Z581" s="123">
        <f t="shared" si="279"/>
        <v>0</v>
      </c>
      <c r="AA581" s="123">
        <f t="shared" si="279"/>
        <v>0</v>
      </c>
      <c r="AB581" s="123">
        <f t="shared" si="279"/>
        <v>0</v>
      </c>
      <c r="AC581" s="123">
        <f t="shared" si="279"/>
        <v>0</v>
      </c>
      <c r="AD581" s="123">
        <f t="shared" si="279"/>
        <v>0</v>
      </c>
      <c r="AE581" s="123">
        <f t="shared" si="279"/>
        <v>0</v>
      </c>
      <c r="AF581" s="123">
        <f t="shared" si="279"/>
        <v>0</v>
      </c>
      <c r="AG581" s="123">
        <f t="shared" si="279"/>
        <v>0</v>
      </c>
      <c r="AH581" s="123">
        <f t="shared" si="279"/>
        <v>0</v>
      </c>
      <c r="AI581" s="123">
        <f t="shared" si="279"/>
        <v>0</v>
      </c>
      <c r="AJ581" s="123">
        <f t="shared" si="279"/>
        <v>0</v>
      </c>
      <c r="AK581" s="123">
        <f t="shared" si="279"/>
        <v>0</v>
      </c>
      <c r="AL581" s="123">
        <f t="shared" si="279"/>
        <v>0</v>
      </c>
      <c r="AM581" s="123">
        <f t="shared" si="279"/>
        <v>0</v>
      </c>
      <c r="AN581" s="123">
        <f t="shared" si="279"/>
        <v>0</v>
      </c>
      <c r="AO581" s="123">
        <f t="shared" si="279"/>
        <v>0</v>
      </c>
      <c r="AP581" s="123">
        <f t="shared" si="279"/>
        <v>0</v>
      </c>
    </row>
    <row r="582" spans="1:42" x14ac:dyDescent="0.2">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5"/>
    </row>
    <row r="583" spans="1:42" x14ac:dyDescent="0.2">
      <c r="A583" s="4" t="s">
        <v>13</v>
      </c>
      <c r="C583" s="152">
        <f>C569+C573+C577+C581</f>
        <v>0</v>
      </c>
      <c r="D583" s="152">
        <f t="shared" ref="D583:AP583" si="280">D569+D573+D577+D581</f>
        <v>0</v>
      </c>
      <c r="E583" s="152">
        <f t="shared" si="280"/>
        <v>0</v>
      </c>
      <c r="F583" s="152">
        <f t="shared" si="280"/>
        <v>0</v>
      </c>
      <c r="G583" s="152">
        <f t="shared" si="280"/>
        <v>0</v>
      </c>
      <c r="H583" s="152">
        <f t="shared" si="280"/>
        <v>0</v>
      </c>
      <c r="I583" s="152">
        <f t="shared" si="280"/>
        <v>0</v>
      </c>
      <c r="J583" s="152">
        <f t="shared" si="280"/>
        <v>0</v>
      </c>
      <c r="K583" s="152">
        <f t="shared" si="280"/>
        <v>0</v>
      </c>
      <c r="L583" s="152">
        <f t="shared" si="280"/>
        <v>0</v>
      </c>
      <c r="M583" s="152">
        <f t="shared" si="280"/>
        <v>0</v>
      </c>
      <c r="N583" s="152">
        <f t="shared" si="280"/>
        <v>0</v>
      </c>
      <c r="O583" s="152">
        <f t="shared" si="280"/>
        <v>0</v>
      </c>
      <c r="P583" s="152">
        <f t="shared" si="280"/>
        <v>0</v>
      </c>
      <c r="Q583" s="152">
        <f t="shared" si="280"/>
        <v>0</v>
      </c>
      <c r="R583" s="152">
        <f t="shared" si="280"/>
        <v>0</v>
      </c>
      <c r="S583" s="152">
        <f t="shared" si="280"/>
        <v>0</v>
      </c>
      <c r="T583" s="152">
        <f t="shared" si="280"/>
        <v>0</v>
      </c>
      <c r="U583" s="152">
        <f t="shared" si="280"/>
        <v>0</v>
      </c>
      <c r="V583" s="152">
        <f t="shared" si="280"/>
        <v>0</v>
      </c>
      <c r="W583" s="152">
        <f t="shared" si="280"/>
        <v>0</v>
      </c>
      <c r="X583" s="152">
        <f t="shared" si="280"/>
        <v>0</v>
      </c>
      <c r="Y583" s="152">
        <f t="shared" si="280"/>
        <v>0</v>
      </c>
      <c r="Z583" s="152">
        <f t="shared" si="280"/>
        <v>0</v>
      </c>
      <c r="AA583" s="152">
        <f t="shared" si="280"/>
        <v>0</v>
      </c>
      <c r="AB583" s="152">
        <f t="shared" si="280"/>
        <v>0</v>
      </c>
      <c r="AC583" s="152">
        <f t="shared" si="280"/>
        <v>0</v>
      </c>
      <c r="AD583" s="152">
        <f t="shared" si="280"/>
        <v>0</v>
      </c>
      <c r="AE583" s="152">
        <f t="shared" si="280"/>
        <v>0</v>
      </c>
      <c r="AF583" s="152">
        <f t="shared" si="280"/>
        <v>0</v>
      </c>
      <c r="AG583" s="152">
        <f t="shared" si="280"/>
        <v>0</v>
      </c>
      <c r="AH583" s="152">
        <f t="shared" si="280"/>
        <v>0</v>
      </c>
      <c r="AI583" s="152">
        <f t="shared" si="280"/>
        <v>0</v>
      </c>
      <c r="AJ583" s="152">
        <f t="shared" si="280"/>
        <v>0</v>
      </c>
      <c r="AK583" s="152">
        <f t="shared" si="280"/>
        <v>0</v>
      </c>
      <c r="AL583" s="152">
        <f t="shared" si="280"/>
        <v>0</v>
      </c>
      <c r="AM583" s="152">
        <f t="shared" si="280"/>
        <v>0</v>
      </c>
      <c r="AN583" s="152">
        <f t="shared" si="280"/>
        <v>0</v>
      </c>
      <c r="AO583" s="152">
        <f t="shared" si="280"/>
        <v>0</v>
      </c>
      <c r="AP583" s="152">
        <f t="shared" si="280"/>
        <v>0</v>
      </c>
    </row>
    <row r="585" spans="1:42" x14ac:dyDescent="0.2">
      <c r="A585" s="84" t="s">
        <v>23</v>
      </c>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row>
    <row r="586" spans="1:42" x14ac:dyDescent="0.2">
      <c r="A586" s="18" t="s">
        <v>25</v>
      </c>
    </row>
    <row r="587" spans="1:42" x14ac:dyDescent="0.2">
      <c r="A587" s="22" t="s">
        <v>28</v>
      </c>
      <c r="B587" s="127"/>
      <c r="C587" s="123">
        <f>IF(C$605="N/A",IF(C$606="N/A",C$607+C$588,C$606),C$605)</f>
        <v>4641782.6559108887</v>
      </c>
      <c r="D587" s="123">
        <f t="shared" ref="D587:AP587" si="281">IF(D$605="N/A",IF(D$606="N/A",D$607+D$588,D$606),D$605)</f>
        <v>4645213.4251416577</v>
      </c>
      <c r="E587" s="123">
        <f t="shared" si="281"/>
        <v>4648076.8866801197</v>
      </c>
      <c r="F587" s="123">
        <f t="shared" si="281"/>
        <v>4650370.3962955046</v>
      </c>
      <c r="G587" s="123">
        <f t="shared" si="281"/>
        <v>4652060.0898051197</v>
      </c>
      <c r="H587" s="123">
        <f t="shared" si="281"/>
        <v>4653134.7179601686</v>
      </c>
      <c r="I587" s="123">
        <f t="shared" si="281"/>
        <v>4653582.5579729378</v>
      </c>
      <c r="J587" s="123">
        <f t="shared" si="281"/>
        <v>4653376.0170629509</v>
      </c>
      <c r="K587" s="123">
        <f t="shared" si="281"/>
        <v>4652494.6972455997</v>
      </c>
      <c r="L587" s="123">
        <f t="shared" si="281"/>
        <v>4650925.3828943521</v>
      </c>
      <c r="M587" s="123">
        <f t="shared" si="281"/>
        <v>4648646.6433766307</v>
      </c>
      <c r="N587" s="123">
        <f t="shared" si="281"/>
        <v>4645628.8199863508</v>
      </c>
      <c r="O587" s="123">
        <f t="shared" si="281"/>
        <v>4641857.0894728536</v>
      </c>
      <c r="P587" s="123">
        <f t="shared" si="281"/>
        <v>4637308.3733888259</v>
      </c>
      <c r="Q587" s="123">
        <f t="shared" si="281"/>
        <v>4631951.3240180817</v>
      </c>
      <c r="R587" s="123">
        <f t="shared" si="281"/>
        <v>5350386.7309637181</v>
      </c>
      <c r="S587" s="123">
        <f t="shared" si="281"/>
        <v>5343362.7453916576</v>
      </c>
      <c r="T587" s="123">
        <f t="shared" si="281"/>
        <v>5335471.2371033728</v>
      </c>
      <c r="U587" s="123">
        <f t="shared" si="281"/>
        <v>0</v>
      </c>
      <c r="V587" s="123">
        <f t="shared" si="281"/>
        <v>0</v>
      </c>
      <c r="W587" s="123">
        <f t="shared" si="281"/>
        <v>0</v>
      </c>
      <c r="X587" s="123">
        <f t="shared" si="281"/>
        <v>0</v>
      </c>
      <c r="Y587" s="123">
        <f t="shared" si="281"/>
        <v>0</v>
      </c>
      <c r="Z587" s="123">
        <f t="shared" si="281"/>
        <v>0</v>
      </c>
      <c r="AA587" s="123">
        <f t="shared" si="281"/>
        <v>0</v>
      </c>
      <c r="AB587" s="123">
        <f t="shared" si="281"/>
        <v>0</v>
      </c>
      <c r="AC587" s="123">
        <f t="shared" si="281"/>
        <v>0</v>
      </c>
      <c r="AD587" s="123">
        <f t="shared" si="281"/>
        <v>0</v>
      </c>
      <c r="AE587" s="123">
        <f t="shared" si="281"/>
        <v>0</v>
      </c>
      <c r="AF587" s="123">
        <f t="shared" si="281"/>
        <v>0</v>
      </c>
      <c r="AG587" s="123">
        <f t="shared" si="281"/>
        <v>0</v>
      </c>
      <c r="AH587" s="123">
        <f t="shared" si="281"/>
        <v>0</v>
      </c>
      <c r="AI587" s="123">
        <f t="shared" si="281"/>
        <v>0</v>
      </c>
      <c r="AJ587" s="123">
        <f t="shared" si="281"/>
        <v>0</v>
      </c>
      <c r="AK587" s="123">
        <f t="shared" si="281"/>
        <v>0</v>
      </c>
      <c r="AL587" s="123">
        <f t="shared" si="281"/>
        <v>0</v>
      </c>
      <c r="AM587" s="123">
        <f t="shared" si="281"/>
        <v>0</v>
      </c>
      <c r="AN587" s="123">
        <f t="shared" si="281"/>
        <v>0</v>
      </c>
      <c r="AO587" s="123">
        <f t="shared" si="281"/>
        <v>0</v>
      </c>
      <c r="AP587" s="123">
        <f t="shared" si="281"/>
        <v>0</v>
      </c>
    </row>
    <row r="588" spans="1:42" x14ac:dyDescent="0.2">
      <c r="A588" s="22" t="s">
        <v>193</v>
      </c>
      <c r="B588" s="123"/>
      <c r="C588" s="123">
        <f t="shared" ref="C588:AP588" si="282">IF(AND(C$2&lt;=term_tenor,C$2&lt;=analysis_period),B$590*term_int_rate/100,0)</f>
        <v>2396246.491939404</v>
      </c>
      <c r="D588" s="123">
        <f t="shared" si="282"/>
        <v>2306425.0453805448</v>
      </c>
      <c r="E588" s="123">
        <f t="shared" si="282"/>
        <v>2212873.5101900999</v>
      </c>
      <c r="F588" s="123">
        <f t="shared" si="282"/>
        <v>2115465.3751304992</v>
      </c>
      <c r="G588" s="123">
        <f t="shared" si="282"/>
        <v>2014069.1742838991</v>
      </c>
      <c r="H588" s="123">
        <f t="shared" si="282"/>
        <v>1908549.5376630502</v>
      </c>
      <c r="I588" s="123">
        <f t="shared" si="282"/>
        <v>1798766.1304511654</v>
      </c>
      <c r="J588" s="123">
        <f t="shared" si="282"/>
        <v>1684573.4733502946</v>
      </c>
      <c r="K588" s="123">
        <f t="shared" si="282"/>
        <v>1565821.3716017883</v>
      </c>
      <c r="L588" s="123">
        <f t="shared" si="282"/>
        <v>1442354.4385760361</v>
      </c>
      <c r="M588" s="123">
        <f t="shared" si="282"/>
        <v>1314011.6008033035</v>
      </c>
      <c r="N588" s="123">
        <f t="shared" si="282"/>
        <v>1180626.1991003705</v>
      </c>
      <c r="O588" s="123">
        <f t="shared" si="282"/>
        <v>1042026.0942649313</v>
      </c>
      <c r="P588" s="123">
        <f t="shared" si="282"/>
        <v>898032.85445661424</v>
      </c>
      <c r="Q588" s="123">
        <f t="shared" si="282"/>
        <v>748461.8336993258</v>
      </c>
      <c r="R588" s="123">
        <f t="shared" si="282"/>
        <v>593122.25408657547</v>
      </c>
      <c r="S588" s="123">
        <f t="shared" si="282"/>
        <v>402831.67501148983</v>
      </c>
      <c r="T588" s="123">
        <f t="shared" si="282"/>
        <v>205210.43219628313</v>
      </c>
      <c r="U588" s="123">
        <f t="shared" si="282"/>
        <v>0</v>
      </c>
      <c r="V588" s="123">
        <f t="shared" si="282"/>
        <v>0</v>
      </c>
      <c r="W588" s="123">
        <f t="shared" si="282"/>
        <v>0</v>
      </c>
      <c r="X588" s="123">
        <f t="shared" si="282"/>
        <v>0</v>
      </c>
      <c r="Y588" s="123">
        <f t="shared" si="282"/>
        <v>0</v>
      </c>
      <c r="Z588" s="123">
        <f t="shared" si="282"/>
        <v>0</v>
      </c>
      <c r="AA588" s="123">
        <f t="shared" si="282"/>
        <v>0</v>
      </c>
      <c r="AB588" s="123">
        <f t="shared" si="282"/>
        <v>0</v>
      </c>
      <c r="AC588" s="123">
        <f t="shared" si="282"/>
        <v>0</v>
      </c>
      <c r="AD588" s="123">
        <f t="shared" si="282"/>
        <v>0</v>
      </c>
      <c r="AE588" s="123">
        <f t="shared" si="282"/>
        <v>0</v>
      </c>
      <c r="AF588" s="123">
        <f t="shared" si="282"/>
        <v>0</v>
      </c>
      <c r="AG588" s="123">
        <f t="shared" si="282"/>
        <v>0</v>
      </c>
      <c r="AH588" s="123">
        <f t="shared" si="282"/>
        <v>0</v>
      </c>
      <c r="AI588" s="123">
        <f t="shared" si="282"/>
        <v>0</v>
      </c>
      <c r="AJ588" s="123">
        <f t="shared" si="282"/>
        <v>0</v>
      </c>
      <c r="AK588" s="123">
        <f t="shared" si="282"/>
        <v>0</v>
      </c>
      <c r="AL588" s="123">
        <f t="shared" si="282"/>
        <v>0</v>
      </c>
      <c r="AM588" s="123">
        <f t="shared" si="282"/>
        <v>0</v>
      </c>
      <c r="AN588" s="123">
        <f t="shared" si="282"/>
        <v>0</v>
      </c>
      <c r="AO588" s="123">
        <f t="shared" si="282"/>
        <v>0</v>
      </c>
      <c r="AP588" s="123">
        <f t="shared" si="282"/>
        <v>0</v>
      </c>
    </row>
    <row r="589" spans="1:42" x14ac:dyDescent="0.2">
      <c r="A589" s="22" t="s">
        <v>192</v>
      </c>
      <c r="B589" s="127"/>
      <c r="C589" s="123">
        <f t="shared" ref="C589:AP589" si="283">IF(C$607="N/A",IF(C$2&gt;loan_moratorium,C$587-C$588,0),C$607)</f>
        <v>2245536.1639714846</v>
      </c>
      <c r="D589" s="123">
        <f t="shared" si="283"/>
        <v>2338788.3797611129</v>
      </c>
      <c r="E589" s="123">
        <f t="shared" si="283"/>
        <v>2435203.3764900197</v>
      </c>
      <c r="F589" s="123">
        <f t="shared" si="283"/>
        <v>2534905.0211650054</v>
      </c>
      <c r="G589" s="123">
        <f t="shared" si="283"/>
        <v>2637990.9155212203</v>
      </c>
      <c r="H589" s="123">
        <f t="shared" si="283"/>
        <v>2744585.1802971186</v>
      </c>
      <c r="I589" s="123">
        <f t="shared" si="283"/>
        <v>2854816.4275217727</v>
      </c>
      <c r="J589" s="123">
        <f t="shared" si="283"/>
        <v>2968802.543712656</v>
      </c>
      <c r="K589" s="123">
        <f t="shared" si="283"/>
        <v>3086673.3256438114</v>
      </c>
      <c r="L589" s="123">
        <f t="shared" si="283"/>
        <v>3208570.9443183159</v>
      </c>
      <c r="M589" s="123">
        <f t="shared" si="283"/>
        <v>3334635.0425733272</v>
      </c>
      <c r="N589" s="123">
        <f t="shared" si="283"/>
        <v>3465002.6208859803</v>
      </c>
      <c r="O589" s="123">
        <f t="shared" si="283"/>
        <v>3599830.9952079225</v>
      </c>
      <c r="P589" s="123">
        <f t="shared" si="283"/>
        <v>3739275.5189322117</v>
      </c>
      <c r="Q589" s="123">
        <f t="shared" si="283"/>
        <v>3883489.4903187556</v>
      </c>
      <c r="R589" s="123">
        <f t="shared" si="283"/>
        <v>4757264.4768771427</v>
      </c>
      <c r="S589" s="123">
        <f t="shared" si="283"/>
        <v>4940531.070380168</v>
      </c>
      <c r="T589" s="123">
        <f t="shared" si="283"/>
        <v>5130260.80490709</v>
      </c>
      <c r="U589" s="123">
        <f t="shared" si="283"/>
        <v>0</v>
      </c>
      <c r="V589" s="123">
        <f t="shared" si="283"/>
        <v>0</v>
      </c>
      <c r="W589" s="123">
        <f t="shared" si="283"/>
        <v>0</v>
      </c>
      <c r="X589" s="123">
        <f t="shared" si="283"/>
        <v>0</v>
      </c>
      <c r="Y589" s="123">
        <f t="shared" si="283"/>
        <v>0</v>
      </c>
      <c r="Z589" s="123">
        <f t="shared" si="283"/>
        <v>0</v>
      </c>
      <c r="AA589" s="123">
        <f t="shared" si="283"/>
        <v>0</v>
      </c>
      <c r="AB589" s="123">
        <f t="shared" si="283"/>
        <v>0</v>
      </c>
      <c r="AC589" s="123">
        <f t="shared" si="283"/>
        <v>0</v>
      </c>
      <c r="AD589" s="123">
        <f t="shared" si="283"/>
        <v>0</v>
      </c>
      <c r="AE589" s="123">
        <f t="shared" si="283"/>
        <v>0</v>
      </c>
      <c r="AF589" s="123">
        <f t="shared" si="283"/>
        <v>0</v>
      </c>
      <c r="AG589" s="123">
        <f t="shared" si="283"/>
        <v>0</v>
      </c>
      <c r="AH589" s="123">
        <f t="shared" si="283"/>
        <v>0</v>
      </c>
      <c r="AI589" s="123">
        <f t="shared" si="283"/>
        <v>0</v>
      </c>
      <c r="AJ589" s="123">
        <f t="shared" si="283"/>
        <v>0</v>
      </c>
      <c r="AK589" s="123">
        <f t="shared" si="283"/>
        <v>0</v>
      </c>
      <c r="AL589" s="123">
        <f t="shared" si="283"/>
        <v>0</v>
      </c>
      <c r="AM589" s="123">
        <f t="shared" si="283"/>
        <v>0</v>
      </c>
      <c r="AN589" s="123">
        <f t="shared" si="283"/>
        <v>0</v>
      </c>
      <c r="AO589" s="123">
        <f t="shared" si="283"/>
        <v>0</v>
      </c>
      <c r="AP589" s="123">
        <f t="shared" si="283"/>
        <v>0</v>
      </c>
    </row>
    <row r="590" spans="1:42" x14ac:dyDescent="0.2">
      <c r="A590" s="22" t="s">
        <v>262</v>
      </c>
      <c r="B590" s="123">
        <f>$B$602</f>
        <v>59906162.2984851</v>
      </c>
      <c r="C590" s="123">
        <f>B$590-C$589</f>
        <v>57660626.134513617</v>
      </c>
      <c r="D590" s="123">
        <f t="shared" ref="D590:AP590" si="284">C$590-D$589</f>
        <v>55321837.754752502</v>
      </c>
      <c r="E590" s="123">
        <f t="shared" si="284"/>
        <v>52886634.378262483</v>
      </c>
      <c r="F590" s="123">
        <f t="shared" si="284"/>
        <v>50351729.357097477</v>
      </c>
      <c r="G590" s="123">
        <f t="shared" si="284"/>
        <v>47713738.441576257</v>
      </c>
      <c r="H590" s="123">
        <f t="shared" si="284"/>
        <v>44969153.261279136</v>
      </c>
      <c r="I590" s="123">
        <f t="shared" si="284"/>
        <v>42114336.833757363</v>
      </c>
      <c r="J590" s="123">
        <f t="shared" si="284"/>
        <v>39145534.29004471</v>
      </c>
      <c r="K590" s="123">
        <f t="shared" si="284"/>
        <v>36058860.964400902</v>
      </c>
      <c r="L590" s="123">
        <f t="shared" si="284"/>
        <v>32850290.020082586</v>
      </c>
      <c r="M590" s="123">
        <f t="shared" si="284"/>
        <v>29515654.97750926</v>
      </c>
      <c r="N590" s="123">
        <f t="shared" si="284"/>
        <v>26050652.356623281</v>
      </c>
      <c r="O590" s="123">
        <f t="shared" si="284"/>
        <v>22450821.361415356</v>
      </c>
      <c r="P590" s="123">
        <f t="shared" si="284"/>
        <v>18711545.842483144</v>
      </c>
      <c r="Q590" s="123">
        <f t="shared" si="284"/>
        <v>14828056.352164388</v>
      </c>
      <c r="R590" s="123">
        <f t="shared" si="284"/>
        <v>10070791.875287246</v>
      </c>
      <c r="S590" s="123">
        <f t="shared" si="284"/>
        <v>5130260.8049070779</v>
      </c>
      <c r="T590" s="123">
        <f t="shared" si="284"/>
        <v>-1.2107193470001221E-8</v>
      </c>
      <c r="U590" s="123">
        <f t="shared" si="284"/>
        <v>-1.2107193470001221E-8</v>
      </c>
      <c r="V590" s="123">
        <f t="shared" si="284"/>
        <v>-1.2107193470001221E-8</v>
      </c>
      <c r="W590" s="123">
        <f t="shared" si="284"/>
        <v>-1.2107193470001221E-8</v>
      </c>
      <c r="X590" s="123">
        <f t="shared" si="284"/>
        <v>-1.2107193470001221E-8</v>
      </c>
      <c r="Y590" s="123">
        <f t="shared" si="284"/>
        <v>-1.2107193470001221E-8</v>
      </c>
      <c r="Z590" s="123">
        <f t="shared" si="284"/>
        <v>-1.2107193470001221E-8</v>
      </c>
      <c r="AA590" s="123">
        <f t="shared" si="284"/>
        <v>-1.2107193470001221E-8</v>
      </c>
      <c r="AB590" s="123">
        <f t="shared" si="284"/>
        <v>-1.2107193470001221E-8</v>
      </c>
      <c r="AC590" s="123">
        <f t="shared" si="284"/>
        <v>-1.2107193470001221E-8</v>
      </c>
      <c r="AD590" s="123">
        <f t="shared" si="284"/>
        <v>-1.2107193470001221E-8</v>
      </c>
      <c r="AE590" s="123">
        <f t="shared" si="284"/>
        <v>-1.2107193470001221E-8</v>
      </c>
      <c r="AF590" s="123">
        <f t="shared" si="284"/>
        <v>-1.2107193470001221E-8</v>
      </c>
      <c r="AG590" s="123">
        <f t="shared" si="284"/>
        <v>-1.2107193470001221E-8</v>
      </c>
      <c r="AH590" s="123">
        <f t="shared" si="284"/>
        <v>-1.2107193470001221E-8</v>
      </c>
      <c r="AI590" s="123">
        <f t="shared" si="284"/>
        <v>-1.2107193470001221E-8</v>
      </c>
      <c r="AJ590" s="123">
        <f t="shared" si="284"/>
        <v>-1.2107193470001221E-8</v>
      </c>
      <c r="AK590" s="123">
        <f t="shared" si="284"/>
        <v>-1.2107193470001221E-8</v>
      </c>
      <c r="AL590" s="123">
        <f t="shared" si="284"/>
        <v>-1.2107193470001221E-8</v>
      </c>
      <c r="AM590" s="123">
        <f t="shared" si="284"/>
        <v>-1.2107193470001221E-8</v>
      </c>
      <c r="AN590" s="123">
        <f t="shared" si="284"/>
        <v>-1.2107193470001221E-8</v>
      </c>
      <c r="AO590" s="123">
        <f t="shared" si="284"/>
        <v>-1.2107193470001221E-8</v>
      </c>
      <c r="AP590" s="123">
        <f t="shared" si="284"/>
        <v>-1.2107193470001221E-8</v>
      </c>
    </row>
    <row r="591" spans="1:42" x14ac:dyDescent="0.2">
      <c r="B591" s="123"/>
      <c r="C591" s="123"/>
    </row>
    <row r="592" spans="1:42" x14ac:dyDescent="0.2">
      <c r="A592" s="18" t="s">
        <v>268</v>
      </c>
    </row>
    <row r="593" spans="1:42" x14ac:dyDescent="0.2">
      <c r="A593" s="22" t="s">
        <v>30</v>
      </c>
      <c r="B593" s="127"/>
      <c r="C593" s="123">
        <f t="shared" ref="C593:AP593" si="285">IF(AND(C$2&lt;=term_tenor,C$2&lt;=analysis_period),C64,0)</f>
        <v>6976300</v>
      </c>
      <c r="D593" s="123">
        <f t="shared" si="285"/>
        <v>6980760</v>
      </c>
      <c r="E593" s="123">
        <f t="shared" si="285"/>
        <v>6984482.5</v>
      </c>
      <c r="F593" s="123">
        <f t="shared" si="285"/>
        <v>6987464.0625</v>
      </c>
      <c r="G593" s="123">
        <f t="shared" si="285"/>
        <v>6989660.6640625</v>
      </c>
      <c r="H593" s="123">
        <f t="shared" si="285"/>
        <v>6991057.6806640634</v>
      </c>
      <c r="I593" s="123">
        <f t="shared" si="285"/>
        <v>6991639.8726806641</v>
      </c>
      <c r="J593" s="123">
        <f t="shared" si="285"/>
        <v>6991371.369497681</v>
      </c>
      <c r="K593" s="123">
        <f t="shared" si="285"/>
        <v>6990225.6537351236</v>
      </c>
      <c r="L593" s="123">
        <f t="shared" si="285"/>
        <v>6988185.545078502</v>
      </c>
      <c r="M593" s="123">
        <f t="shared" si="285"/>
        <v>6985223.183705464</v>
      </c>
      <c r="N593" s="123">
        <f t="shared" si="285"/>
        <v>6981300.0132981008</v>
      </c>
      <c r="O593" s="123">
        <f t="shared" si="285"/>
        <v>6976396.7636305541</v>
      </c>
      <c r="P593" s="123">
        <f t="shared" si="285"/>
        <v>6970483.4327213177</v>
      </c>
      <c r="Q593" s="123">
        <f t="shared" si="285"/>
        <v>6963519.2685393505</v>
      </c>
      <c r="R593" s="123">
        <f t="shared" si="285"/>
        <v>6955502.7502528336</v>
      </c>
      <c r="S593" s="123">
        <f t="shared" si="285"/>
        <v>6946371.569009155</v>
      </c>
      <c r="T593" s="123">
        <f t="shared" si="285"/>
        <v>6936112.608234385</v>
      </c>
      <c r="U593" s="123">
        <f t="shared" si="285"/>
        <v>0</v>
      </c>
      <c r="V593" s="123">
        <f t="shared" si="285"/>
        <v>0</v>
      </c>
      <c r="W593" s="123">
        <f t="shared" si="285"/>
        <v>0</v>
      </c>
      <c r="X593" s="123">
        <f t="shared" si="285"/>
        <v>0</v>
      </c>
      <c r="Y593" s="123">
        <f t="shared" si="285"/>
        <v>0</v>
      </c>
      <c r="Z593" s="123">
        <f t="shared" si="285"/>
        <v>0</v>
      </c>
      <c r="AA593" s="123">
        <f t="shared" si="285"/>
        <v>0</v>
      </c>
      <c r="AB593" s="123">
        <f t="shared" si="285"/>
        <v>0</v>
      </c>
      <c r="AC593" s="123">
        <f t="shared" si="285"/>
        <v>0</v>
      </c>
      <c r="AD593" s="123">
        <f t="shared" si="285"/>
        <v>0</v>
      </c>
      <c r="AE593" s="123">
        <f t="shared" si="285"/>
        <v>0</v>
      </c>
      <c r="AF593" s="123">
        <f t="shared" si="285"/>
        <v>0</v>
      </c>
      <c r="AG593" s="123">
        <f t="shared" si="285"/>
        <v>0</v>
      </c>
      <c r="AH593" s="123">
        <f t="shared" si="285"/>
        <v>0</v>
      </c>
      <c r="AI593" s="123">
        <f t="shared" si="285"/>
        <v>0</v>
      </c>
      <c r="AJ593" s="123">
        <f t="shared" si="285"/>
        <v>0</v>
      </c>
      <c r="AK593" s="123">
        <f t="shared" si="285"/>
        <v>0</v>
      </c>
      <c r="AL593" s="123">
        <f t="shared" si="285"/>
        <v>0</v>
      </c>
      <c r="AM593" s="123">
        <f t="shared" si="285"/>
        <v>0</v>
      </c>
      <c r="AN593" s="123">
        <f t="shared" si="285"/>
        <v>0</v>
      </c>
      <c r="AO593" s="123">
        <f t="shared" si="285"/>
        <v>0</v>
      </c>
      <c r="AP593" s="123">
        <f t="shared" si="285"/>
        <v>0</v>
      </c>
    </row>
    <row r="594" spans="1:42" x14ac:dyDescent="0.2">
      <c r="A594" s="22" t="s">
        <v>316</v>
      </c>
      <c r="B594" s="123">
        <f t="shared" ref="B594:AP594" si="286">IF(AND(B$2&lt;=term_tenor,B$2&lt;=analysis_period),-B627-B633-B665-B697,0)</f>
        <v>0</v>
      </c>
      <c r="C594" s="123">
        <f t="shared" si="286"/>
        <v>-941982.54731584399</v>
      </c>
      <c r="D594" s="123">
        <f t="shared" si="286"/>
        <v>-941982.54731584399</v>
      </c>
      <c r="E594" s="123">
        <f t="shared" si="286"/>
        <v>-941982.54731584399</v>
      </c>
      <c r="F594" s="123">
        <f t="shared" si="286"/>
        <v>-941982.54731584399</v>
      </c>
      <c r="G594" s="123">
        <f t="shared" si="286"/>
        <v>-941982.54731584399</v>
      </c>
      <c r="H594" s="123">
        <f t="shared" si="286"/>
        <v>-941982.54731584399</v>
      </c>
      <c r="I594" s="123">
        <f t="shared" si="286"/>
        <v>-941982.54731584399</v>
      </c>
      <c r="J594" s="123">
        <f t="shared" si="286"/>
        <v>-941982.54731584399</v>
      </c>
      <c r="K594" s="123">
        <f t="shared" si="286"/>
        <v>-941982.54731584399</v>
      </c>
      <c r="L594" s="123">
        <f t="shared" si="286"/>
        <v>-941982.54731584399</v>
      </c>
      <c r="M594" s="123">
        <f t="shared" si="286"/>
        <v>-941982.54731584399</v>
      </c>
      <c r="N594" s="123">
        <f t="shared" si="286"/>
        <v>-941982.54731584399</v>
      </c>
      <c r="O594" s="123">
        <f t="shared" si="286"/>
        <v>-941982.54731584399</v>
      </c>
      <c r="P594" s="123">
        <f t="shared" si="286"/>
        <v>-941982.54731584399</v>
      </c>
      <c r="Q594" s="123">
        <f t="shared" si="286"/>
        <v>-941982.54731584399</v>
      </c>
      <c r="R594" s="123">
        <f t="shared" si="286"/>
        <v>0</v>
      </c>
      <c r="S594" s="123">
        <f t="shared" si="286"/>
        <v>0</v>
      </c>
      <c r="T594" s="123">
        <f t="shared" si="286"/>
        <v>0</v>
      </c>
      <c r="U594" s="123">
        <f t="shared" si="286"/>
        <v>0</v>
      </c>
      <c r="V594" s="123">
        <f t="shared" si="286"/>
        <v>0</v>
      </c>
      <c r="W594" s="123">
        <f t="shared" si="286"/>
        <v>0</v>
      </c>
      <c r="X594" s="123">
        <f t="shared" si="286"/>
        <v>0</v>
      </c>
      <c r="Y594" s="123">
        <f t="shared" si="286"/>
        <v>0</v>
      </c>
      <c r="Z594" s="123">
        <f t="shared" si="286"/>
        <v>0</v>
      </c>
      <c r="AA594" s="123">
        <f t="shared" si="286"/>
        <v>0</v>
      </c>
      <c r="AB594" s="123">
        <f t="shared" si="286"/>
        <v>0</v>
      </c>
      <c r="AC594" s="123">
        <f t="shared" si="286"/>
        <v>0</v>
      </c>
      <c r="AD594" s="123">
        <f t="shared" si="286"/>
        <v>0</v>
      </c>
      <c r="AE594" s="123">
        <f t="shared" si="286"/>
        <v>0</v>
      </c>
      <c r="AF594" s="123">
        <f t="shared" si="286"/>
        <v>0</v>
      </c>
      <c r="AG594" s="123">
        <f t="shared" si="286"/>
        <v>0</v>
      </c>
      <c r="AH594" s="123">
        <f t="shared" si="286"/>
        <v>0</v>
      </c>
      <c r="AI594" s="123">
        <f t="shared" si="286"/>
        <v>0</v>
      </c>
      <c r="AJ594" s="123">
        <f t="shared" si="286"/>
        <v>0</v>
      </c>
      <c r="AK594" s="123">
        <f t="shared" si="286"/>
        <v>0</v>
      </c>
      <c r="AL594" s="123">
        <f t="shared" si="286"/>
        <v>0</v>
      </c>
      <c r="AM594" s="123">
        <f t="shared" si="286"/>
        <v>0</v>
      </c>
      <c r="AN594" s="123">
        <f t="shared" si="286"/>
        <v>0</v>
      </c>
      <c r="AO594" s="123">
        <f t="shared" si="286"/>
        <v>0</v>
      </c>
      <c r="AP594" s="123">
        <f t="shared" si="286"/>
        <v>0</v>
      </c>
    </row>
    <row r="595" spans="1:42" x14ac:dyDescent="0.2">
      <c r="A595" s="22" t="s">
        <v>270</v>
      </c>
      <c r="B595" s="123">
        <f>SUM(B593:B594)</f>
        <v>0</v>
      </c>
      <c r="C595" s="123">
        <f>SUM(C593:C594)</f>
        <v>6034317.4526841557</v>
      </c>
      <c r="D595" s="123">
        <f t="shared" ref="D595:AP595" si="287">SUM(D593:D594)</f>
        <v>6038777.4526841557</v>
      </c>
      <c r="E595" s="123">
        <f t="shared" si="287"/>
        <v>6042499.9526841557</v>
      </c>
      <c r="F595" s="123">
        <f t="shared" si="287"/>
        <v>6045481.5151841557</v>
      </c>
      <c r="G595" s="123">
        <f t="shared" si="287"/>
        <v>6047678.1167466557</v>
      </c>
      <c r="H595" s="123">
        <f t="shared" si="287"/>
        <v>6049075.1333482191</v>
      </c>
      <c r="I595" s="123">
        <f t="shared" si="287"/>
        <v>6049657.3253648197</v>
      </c>
      <c r="J595" s="123">
        <f t="shared" si="287"/>
        <v>6049388.8221818367</v>
      </c>
      <c r="K595" s="123">
        <f t="shared" si="287"/>
        <v>6048243.1064192792</v>
      </c>
      <c r="L595" s="123">
        <f t="shared" si="287"/>
        <v>6046202.9977626577</v>
      </c>
      <c r="M595" s="123">
        <f t="shared" si="287"/>
        <v>6043240.6363896197</v>
      </c>
      <c r="N595" s="123">
        <f t="shared" si="287"/>
        <v>6039317.4659822565</v>
      </c>
      <c r="O595" s="123">
        <f t="shared" si="287"/>
        <v>6034414.2163147097</v>
      </c>
      <c r="P595" s="123">
        <f t="shared" si="287"/>
        <v>6028500.8854054734</v>
      </c>
      <c r="Q595" s="123">
        <f t="shared" si="287"/>
        <v>6021536.7212235061</v>
      </c>
      <c r="R595" s="123">
        <f t="shared" si="287"/>
        <v>6955502.7502528336</v>
      </c>
      <c r="S595" s="123">
        <f t="shared" si="287"/>
        <v>6946371.569009155</v>
      </c>
      <c r="T595" s="123">
        <f t="shared" si="287"/>
        <v>6936112.608234385</v>
      </c>
      <c r="U595" s="123">
        <f t="shared" si="287"/>
        <v>0</v>
      </c>
      <c r="V595" s="123">
        <f t="shared" si="287"/>
        <v>0</v>
      </c>
      <c r="W595" s="123">
        <f t="shared" si="287"/>
        <v>0</v>
      </c>
      <c r="X595" s="123">
        <f t="shared" si="287"/>
        <v>0</v>
      </c>
      <c r="Y595" s="123">
        <f t="shared" si="287"/>
        <v>0</v>
      </c>
      <c r="Z595" s="123">
        <f t="shared" si="287"/>
        <v>0</v>
      </c>
      <c r="AA595" s="123">
        <f t="shared" si="287"/>
        <v>0</v>
      </c>
      <c r="AB595" s="123">
        <f t="shared" si="287"/>
        <v>0</v>
      </c>
      <c r="AC595" s="123">
        <f t="shared" si="287"/>
        <v>0</v>
      </c>
      <c r="AD595" s="123">
        <f t="shared" si="287"/>
        <v>0</v>
      </c>
      <c r="AE595" s="123">
        <f t="shared" si="287"/>
        <v>0</v>
      </c>
      <c r="AF595" s="123">
        <f t="shared" si="287"/>
        <v>0</v>
      </c>
      <c r="AG595" s="123">
        <f t="shared" si="287"/>
        <v>0</v>
      </c>
      <c r="AH595" s="123">
        <f t="shared" si="287"/>
        <v>0</v>
      </c>
      <c r="AI595" s="123">
        <f t="shared" si="287"/>
        <v>0</v>
      </c>
      <c r="AJ595" s="123">
        <f t="shared" si="287"/>
        <v>0</v>
      </c>
      <c r="AK595" s="123">
        <f t="shared" si="287"/>
        <v>0</v>
      </c>
      <c r="AL595" s="123">
        <f t="shared" si="287"/>
        <v>0</v>
      </c>
      <c r="AM595" s="123">
        <f t="shared" si="287"/>
        <v>0</v>
      </c>
      <c r="AN595" s="123">
        <f t="shared" si="287"/>
        <v>0</v>
      </c>
      <c r="AO595" s="123">
        <f t="shared" si="287"/>
        <v>0</v>
      </c>
      <c r="AP595" s="123">
        <f t="shared" si="287"/>
        <v>0</v>
      </c>
    </row>
    <row r="596" spans="1:42" x14ac:dyDescent="0.2">
      <c r="A596" s="22" t="s">
        <v>271</v>
      </c>
      <c r="B596" s="205">
        <f>IF(AND(B$2&lt;=term_tenor,B$2&lt;=analysis_period),1/(1+term_int_rate/100),0)</f>
        <v>0.96153846153846145</v>
      </c>
      <c r="C596" s="205">
        <f>IF(AND(C$2&lt;=term_tenor,C$2&lt;=analysis_period),1/(1+term_int_rate/100),0)</f>
        <v>0.96153846153846145</v>
      </c>
      <c r="D596" s="205">
        <f t="shared" ref="D596:AP596" si="288">IF(AND(C$2&lt;=term_tenor,C$2&lt;=analysis_period),C596/(1+term_int_rate/100),0)</f>
        <v>0.92455621301775137</v>
      </c>
      <c r="E596" s="205">
        <f t="shared" si="288"/>
        <v>0.88899635867091475</v>
      </c>
      <c r="F596" s="205">
        <f t="shared" si="288"/>
        <v>0.85480419102972571</v>
      </c>
      <c r="G596" s="205">
        <f t="shared" si="288"/>
        <v>0.82192710675935166</v>
      </c>
      <c r="H596" s="205">
        <f t="shared" si="288"/>
        <v>0.79031452573014582</v>
      </c>
      <c r="I596" s="205">
        <f t="shared" si="288"/>
        <v>0.75991781320206331</v>
      </c>
      <c r="J596" s="205">
        <f t="shared" si="288"/>
        <v>0.73069020500198389</v>
      </c>
      <c r="K596" s="205">
        <f t="shared" si="288"/>
        <v>0.70258673557883067</v>
      </c>
      <c r="L596" s="205">
        <f t="shared" si="288"/>
        <v>0.67556416882579873</v>
      </c>
      <c r="M596" s="205">
        <f t="shared" si="288"/>
        <v>0.64958093156326802</v>
      </c>
      <c r="N596" s="205">
        <f t="shared" si="288"/>
        <v>0.62459704958006534</v>
      </c>
      <c r="O596" s="205">
        <f t="shared" si="288"/>
        <v>0.60057408613467822</v>
      </c>
      <c r="P596" s="205">
        <f t="shared" si="288"/>
        <v>0.57747508282180593</v>
      </c>
      <c r="Q596" s="205">
        <f t="shared" si="288"/>
        <v>0.55526450271327488</v>
      </c>
      <c r="R596" s="205">
        <f t="shared" si="288"/>
        <v>0.53390817568584126</v>
      </c>
      <c r="S596" s="205">
        <f t="shared" si="288"/>
        <v>0.51337324585177047</v>
      </c>
      <c r="T596" s="205">
        <f t="shared" si="288"/>
        <v>0.49362812101131776</v>
      </c>
      <c r="U596" s="205">
        <f t="shared" si="288"/>
        <v>0.47464242404934398</v>
      </c>
      <c r="V596" s="205">
        <f t="shared" si="288"/>
        <v>0</v>
      </c>
      <c r="W596" s="205">
        <f t="shared" si="288"/>
        <v>0</v>
      </c>
      <c r="X596" s="205">
        <f t="shared" si="288"/>
        <v>0</v>
      </c>
      <c r="Y596" s="205">
        <f t="shared" si="288"/>
        <v>0</v>
      </c>
      <c r="Z596" s="205">
        <f t="shared" si="288"/>
        <v>0</v>
      </c>
      <c r="AA596" s="205">
        <f t="shared" si="288"/>
        <v>0</v>
      </c>
      <c r="AB596" s="205">
        <f t="shared" si="288"/>
        <v>0</v>
      </c>
      <c r="AC596" s="205">
        <f t="shared" si="288"/>
        <v>0</v>
      </c>
      <c r="AD596" s="205">
        <f t="shared" si="288"/>
        <v>0</v>
      </c>
      <c r="AE596" s="205">
        <f t="shared" si="288"/>
        <v>0</v>
      </c>
      <c r="AF596" s="205">
        <f t="shared" si="288"/>
        <v>0</v>
      </c>
      <c r="AG596" s="205">
        <f t="shared" si="288"/>
        <v>0</v>
      </c>
      <c r="AH596" s="205">
        <f t="shared" si="288"/>
        <v>0</v>
      </c>
      <c r="AI596" s="205">
        <f t="shared" si="288"/>
        <v>0</v>
      </c>
      <c r="AJ596" s="205">
        <f t="shared" si="288"/>
        <v>0</v>
      </c>
      <c r="AK596" s="205">
        <f t="shared" si="288"/>
        <v>0</v>
      </c>
      <c r="AL596" s="205">
        <f t="shared" si="288"/>
        <v>0</v>
      </c>
      <c r="AM596" s="205">
        <f t="shared" si="288"/>
        <v>0</v>
      </c>
      <c r="AN596" s="205">
        <f t="shared" si="288"/>
        <v>0</v>
      </c>
      <c r="AO596" s="205">
        <f t="shared" si="288"/>
        <v>0</v>
      </c>
      <c r="AP596" s="205">
        <f t="shared" si="288"/>
        <v>0</v>
      </c>
    </row>
    <row r="597" spans="1:42" x14ac:dyDescent="0.2">
      <c r="A597" s="22" t="s">
        <v>269</v>
      </c>
      <c r="B597" s="123">
        <f>B595*B596</f>
        <v>0</v>
      </c>
      <c r="C597" s="123">
        <f>C595*C596</f>
        <v>5802228.3198886104</v>
      </c>
      <c r="D597" s="123">
        <f t="shared" ref="D597:AP597" si="289">D595*D596</f>
        <v>5583189.2129106466</v>
      </c>
      <c r="E597" s="123">
        <f t="shared" si="289"/>
        <v>5371760.4552053893</v>
      </c>
      <c r="F597" s="123">
        <f t="shared" si="289"/>
        <v>5167702.9359721523</v>
      </c>
      <c r="G597" s="123">
        <f t="shared" si="289"/>
        <v>4970750.5771094235</v>
      </c>
      <c r="H597" s="123">
        <f t="shared" si="289"/>
        <v>4780671.9451181162</v>
      </c>
      <c r="I597" s="123">
        <f t="shared" si="289"/>
        <v>4597242.3653130773</v>
      </c>
      <c r="J597" s="123">
        <f t="shared" si="289"/>
        <v>4420229.1586167561</v>
      </c>
      <c r="K597" s="123">
        <f t="shared" si="289"/>
        <v>4249415.3801262872</v>
      </c>
      <c r="L597" s="123">
        <f t="shared" si="289"/>
        <v>4084598.1027355823</v>
      </c>
      <c r="M597" s="123">
        <f t="shared" si="289"/>
        <v>3925573.882246966</v>
      </c>
      <c r="N597" s="123">
        <f t="shared" si="289"/>
        <v>3772139.8707298739</v>
      </c>
      <c r="O597" s="123">
        <f t="shared" si="289"/>
        <v>3624112.8033213173</v>
      </c>
      <c r="P597" s="123">
        <f t="shared" si="289"/>
        <v>3481309.0480908561</v>
      </c>
      <c r="Q597" s="123">
        <f t="shared" si="289"/>
        <v>3343545.5930798938</v>
      </c>
      <c r="R597" s="123">
        <f t="shared" si="289"/>
        <v>3713599.784365342</v>
      </c>
      <c r="S597" s="123">
        <f t="shared" si="289"/>
        <v>3566081.3192746853</v>
      </c>
      <c r="T597" s="123">
        <f t="shared" si="289"/>
        <v>3423860.2339256499</v>
      </c>
      <c r="U597" s="123">
        <f t="shared" si="289"/>
        <v>0</v>
      </c>
      <c r="V597" s="123">
        <f t="shared" si="289"/>
        <v>0</v>
      </c>
      <c r="W597" s="123">
        <f t="shared" si="289"/>
        <v>0</v>
      </c>
      <c r="X597" s="123">
        <f t="shared" si="289"/>
        <v>0</v>
      </c>
      <c r="Y597" s="123">
        <f t="shared" si="289"/>
        <v>0</v>
      </c>
      <c r="Z597" s="123">
        <f t="shared" si="289"/>
        <v>0</v>
      </c>
      <c r="AA597" s="123">
        <f t="shared" si="289"/>
        <v>0</v>
      </c>
      <c r="AB597" s="123">
        <f t="shared" si="289"/>
        <v>0</v>
      </c>
      <c r="AC597" s="123">
        <f t="shared" si="289"/>
        <v>0</v>
      </c>
      <c r="AD597" s="123">
        <f t="shared" si="289"/>
        <v>0</v>
      </c>
      <c r="AE597" s="123">
        <f t="shared" si="289"/>
        <v>0</v>
      </c>
      <c r="AF597" s="123">
        <f t="shared" si="289"/>
        <v>0</v>
      </c>
      <c r="AG597" s="123">
        <f t="shared" si="289"/>
        <v>0</v>
      </c>
      <c r="AH597" s="123">
        <f t="shared" si="289"/>
        <v>0</v>
      </c>
      <c r="AI597" s="123">
        <f t="shared" si="289"/>
        <v>0</v>
      </c>
      <c r="AJ597" s="123">
        <f t="shared" si="289"/>
        <v>0</v>
      </c>
      <c r="AK597" s="123">
        <f t="shared" si="289"/>
        <v>0</v>
      </c>
      <c r="AL597" s="123">
        <f t="shared" si="289"/>
        <v>0</v>
      </c>
      <c r="AM597" s="123">
        <f t="shared" si="289"/>
        <v>0</v>
      </c>
      <c r="AN597" s="123">
        <f t="shared" si="289"/>
        <v>0</v>
      </c>
      <c r="AO597" s="123">
        <f t="shared" si="289"/>
        <v>0</v>
      </c>
      <c r="AP597" s="123">
        <f t="shared" si="289"/>
        <v>0</v>
      </c>
    </row>
    <row r="598" spans="1:42" x14ac:dyDescent="0.2">
      <c r="A598" s="22"/>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3"/>
      <c r="AL598" s="123"/>
      <c r="AM598" s="123"/>
      <c r="AN598" s="123"/>
      <c r="AO598" s="123"/>
      <c r="AP598" s="123"/>
    </row>
    <row r="599" spans="1:42" x14ac:dyDescent="0.2">
      <c r="A599" s="18" t="s">
        <v>263</v>
      </c>
      <c r="B599" s="123"/>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2"/>
      <c r="AL599" s="112"/>
      <c r="AM599" s="112"/>
      <c r="AN599" s="112"/>
      <c r="AO599" s="112"/>
      <c r="AP599" s="112"/>
    </row>
    <row r="600" spans="1:42" x14ac:dyDescent="0.2">
      <c r="A600" s="22" t="s">
        <v>292</v>
      </c>
      <c r="B600" s="123">
        <f t="shared" ref="B600:AP600" si="290">IF(DebtServiceCoverageRatio="Calculated","N/A",IF(AND(B$2&lt;=term_tenor,B$2&lt;=analysis_period),IF(B$609=0,0,B$597/B$609),0))</f>
        <v>0</v>
      </c>
      <c r="C600" s="123">
        <f t="shared" si="290"/>
        <v>4463252.553760469</v>
      </c>
      <c r="D600" s="123">
        <f t="shared" si="290"/>
        <v>4294760.9330081893</v>
      </c>
      <c r="E600" s="123">
        <f t="shared" si="290"/>
        <v>4132123.4270810685</v>
      </c>
      <c r="F600" s="123">
        <f t="shared" si="290"/>
        <v>3975156.1045939634</v>
      </c>
      <c r="G600" s="123">
        <f t="shared" si="290"/>
        <v>3823654.2900841716</v>
      </c>
      <c r="H600" s="123">
        <f t="shared" si="290"/>
        <v>3677439.9577831663</v>
      </c>
      <c r="I600" s="123">
        <f t="shared" si="290"/>
        <v>3536340.2810100592</v>
      </c>
      <c r="J600" s="123">
        <f t="shared" si="290"/>
        <v>3400176.275859043</v>
      </c>
      <c r="K600" s="123">
        <f t="shared" si="290"/>
        <v>3268781.0616356055</v>
      </c>
      <c r="L600" s="123">
        <f t="shared" si="290"/>
        <v>3141998.5405658325</v>
      </c>
      <c r="M600" s="123">
        <f t="shared" si="290"/>
        <v>3019672.2171130506</v>
      </c>
      <c r="N600" s="123">
        <f t="shared" si="290"/>
        <v>2901646.0544075952</v>
      </c>
      <c r="O600" s="123">
        <f t="shared" si="290"/>
        <v>2787779.0794779365</v>
      </c>
      <c r="P600" s="123">
        <f t="shared" si="290"/>
        <v>2677930.0369929662</v>
      </c>
      <c r="Q600" s="123">
        <f t="shared" si="290"/>
        <v>2571958.1485229954</v>
      </c>
      <c r="R600" s="123">
        <f t="shared" si="290"/>
        <v>2856615.2187425708</v>
      </c>
      <c r="S600" s="123">
        <f t="shared" si="290"/>
        <v>2743139.4763651425</v>
      </c>
      <c r="T600" s="123">
        <f t="shared" si="290"/>
        <v>2633738.6414812692</v>
      </c>
      <c r="U600" s="123">
        <f t="shared" si="290"/>
        <v>0</v>
      </c>
      <c r="V600" s="123">
        <f t="shared" si="290"/>
        <v>0</v>
      </c>
      <c r="W600" s="123">
        <f t="shared" si="290"/>
        <v>0</v>
      </c>
      <c r="X600" s="123">
        <f t="shared" si="290"/>
        <v>0</v>
      </c>
      <c r="Y600" s="123">
        <f t="shared" si="290"/>
        <v>0</v>
      </c>
      <c r="Z600" s="123">
        <f t="shared" si="290"/>
        <v>0</v>
      </c>
      <c r="AA600" s="123">
        <f t="shared" si="290"/>
        <v>0</v>
      </c>
      <c r="AB600" s="123">
        <f t="shared" si="290"/>
        <v>0</v>
      </c>
      <c r="AC600" s="123">
        <f t="shared" si="290"/>
        <v>0</v>
      </c>
      <c r="AD600" s="123">
        <f t="shared" si="290"/>
        <v>0</v>
      </c>
      <c r="AE600" s="123">
        <f t="shared" si="290"/>
        <v>0</v>
      </c>
      <c r="AF600" s="123">
        <f t="shared" si="290"/>
        <v>0</v>
      </c>
      <c r="AG600" s="123">
        <f t="shared" si="290"/>
        <v>0</v>
      </c>
      <c r="AH600" s="123">
        <f t="shared" si="290"/>
        <v>0</v>
      </c>
      <c r="AI600" s="123">
        <f t="shared" si="290"/>
        <v>0</v>
      </c>
      <c r="AJ600" s="123">
        <f t="shared" si="290"/>
        <v>0</v>
      </c>
      <c r="AK600" s="123">
        <f t="shared" si="290"/>
        <v>0</v>
      </c>
      <c r="AL600" s="123">
        <f t="shared" si="290"/>
        <v>0</v>
      </c>
      <c r="AM600" s="123">
        <f t="shared" si="290"/>
        <v>0</v>
      </c>
      <c r="AN600" s="123">
        <f t="shared" si="290"/>
        <v>0</v>
      </c>
      <c r="AO600" s="123">
        <f t="shared" si="290"/>
        <v>0</v>
      </c>
      <c r="AP600" s="123">
        <f t="shared" si="290"/>
        <v>0</v>
      </c>
    </row>
    <row r="601" spans="1:42" x14ac:dyDescent="0.2">
      <c r="A601" s="91" t="s">
        <v>396</v>
      </c>
      <c r="B601" s="123">
        <f>IF(dscr_limit_debt_fraction="Yes",B$597/$B$610,B$600)</f>
        <v>0</v>
      </c>
      <c r="C601" s="123">
        <f t="shared" ref="C601:AP601" si="291">IF(dscr_limit_debt_fraction="Yes",C$597/$B$610,C$600)</f>
        <v>4463252.553760469</v>
      </c>
      <c r="D601" s="123">
        <f t="shared" si="291"/>
        <v>4294760.9330081893</v>
      </c>
      <c r="E601" s="123">
        <f t="shared" si="291"/>
        <v>4132123.4270810685</v>
      </c>
      <c r="F601" s="123">
        <f t="shared" si="291"/>
        <v>3975156.1045939634</v>
      </c>
      <c r="G601" s="123">
        <f t="shared" si="291"/>
        <v>3823654.2900841716</v>
      </c>
      <c r="H601" s="123">
        <f t="shared" si="291"/>
        <v>3677439.9577831663</v>
      </c>
      <c r="I601" s="123">
        <f t="shared" si="291"/>
        <v>3536340.2810100592</v>
      </c>
      <c r="J601" s="123">
        <f t="shared" si="291"/>
        <v>3400176.275859043</v>
      </c>
      <c r="K601" s="123">
        <f t="shared" si="291"/>
        <v>3268781.0616356055</v>
      </c>
      <c r="L601" s="123">
        <f t="shared" si="291"/>
        <v>3141998.5405658325</v>
      </c>
      <c r="M601" s="123">
        <f t="shared" si="291"/>
        <v>3019672.2171130506</v>
      </c>
      <c r="N601" s="123">
        <f t="shared" si="291"/>
        <v>2901646.0544075952</v>
      </c>
      <c r="O601" s="123">
        <f t="shared" si="291"/>
        <v>2787779.0794779365</v>
      </c>
      <c r="P601" s="123">
        <f t="shared" si="291"/>
        <v>2677930.0369929662</v>
      </c>
      <c r="Q601" s="123">
        <f t="shared" si="291"/>
        <v>2571958.1485229954</v>
      </c>
      <c r="R601" s="123">
        <f t="shared" si="291"/>
        <v>2856615.2187425708</v>
      </c>
      <c r="S601" s="123">
        <f t="shared" si="291"/>
        <v>2743139.4763651425</v>
      </c>
      <c r="T601" s="123">
        <f t="shared" si="291"/>
        <v>2633738.6414812692</v>
      </c>
      <c r="U601" s="123">
        <f t="shared" si="291"/>
        <v>0</v>
      </c>
      <c r="V601" s="123">
        <f t="shared" si="291"/>
        <v>0</v>
      </c>
      <c r="W601" s="123">
        <f t="shared" si="291"/>
        <v>0</v>
      </c>
      <c r="X601" s="123">
        <f t="shared" si="291"/>
        <v>0</v>
      </c>
      <c r="Y601" s="123">
        <f t="shared" si="291"/>
        <v>0</v>
      </c>
      <c r="Z601" s="123">
        <f t="shared" si="291"/>
        <v>0</v>
      </c>
      <c r="AA601" s="123">
        <f t="shared" si="291"/>
        <v>0</v>
      </c>
      <c r="AB601" s="123">
        <f t="shared" si="291"/>
        <v>0</v>
      </c>
      <c r="AC601" s="123">
        <f t="shared" si="291"/>
        <v>0</v>
      </c>
      <c r="AD601" s="123">
        <f t="shared" si="291"/>
        <v>0</v>
      </c>
      <c r="AE601" s="123">
        <f t="shared" si="291"/>
        <v>0</v>
      </c>
      <c r="AF601" s="123">
        <f t="shared" si="291"/>
        <v>0</v>
      </c>
      <c r="AG601" s="123">
        <f t="shared" si="291"/>
        <v>0</v>
      </c>
      <c r="AH601" s="123">
        <f t="shared" si="291"/>
        <v>0</v>
      </c>
      <c r="AI601" s="123">
        <f t="shared" si="291"/>
        <v>0</v>
      </c>
      <c r="AJ601" s="123">
        <f t="shared" si="291"/>
        <v>0</v>
      </c>
      <c r="AK601" s="123">
        <f t="shared" si="291"/>
        <v>0</v>
      </c>
      <c r="AL601" s="123">
        <f t="shared" si="291"/>
        <v>0</v>
      </c>
      <c r="AM601" s="123">
        <f t="shared" si="291"/>
        <v>0</v>
      </c>
      <c r="AN601" s="123">
        <f t="shared" si="291"/>
        <v>0</v>
      </c>
      <c r="AO601" s="123">
        <f t="shared" si="291"/>
        <v>0</v>
      </c>
      <c r="AP601" s="123">
        <f t="shared" si="291"/>
        <v>0</v>
      </c>
    </row>
    <row r="602" spans="1:42" x14ac:dyDescent="0.2">
      <c r="A602" s="22" t="s">
        <v>226</v>
      </c>
      <c r="B602" s="182">
        <f>IF(MortgageSizeOfDebt="N/A",IF(dscr_limit_debt_fraction="Yes",SUM(B601:AP601),SUM(B600:AP600)),MortgageSizeOfDebt)</f>
        <v>59906162.2984851</v>
      </c>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c r="AA602" s="123"/>
      <c r="AB602" s="123"/>
      <c r="AC602" s="123"/>
      <c r="AD602" s="123"/>
      <c r="AE602" s="123"/>
      <c r="AF602" s="123"/>
      <c r="AG602" s="123"/>
      <c r="AH602" s="123"/>
      <c r="AI602" s="123"/>
      <c r="AJ602" s="123"/>
      <c r="AK602" s="123"/>
      <c r="AL602" s="123"/>
      <c r="AM602" s="123"/>
      <c r="AN602" s="123"/>
      <c r="AO602" s="123"/>
      <c r="AP602" s="123"/>
    </row>
    <row r="603" spans="1:42" x14ac:dyDescent="0.2">
      <c r="A603" s="18"/>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c r="AA603" s="123"/>
      <c r="AB603" s="123"/>
      <c r="AC603" s="123"/>
      <c r="AD603" s="123"/>
      <c r="AE603" s="123"/>
      <c r="AF603" s="123"/>
      <c r="AG603" s="123"/>
      <c r="AH603" s="123"/>
      <c r="AI603" s="123"/>
      <c r="AJ603" s="123"/>
      <c r="AK603" s="123"/>
      <c r="AL603" s="123"/>
      <c r="AM603" s="123"/>
      <c r="AN603" s="123"/>
      <c r="AO603" s="123"/>
      <c r="AP603" s="123"/>
    </row>
    <row r="604" spans="1:42" x14ac:dyDescent="0.2">
      <c r="A604" s="18" t="s">
        <v>293</v>
      </c>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3"/>
      <c r="AL604" s="123"/>
      <c r="AM604" s="123"/>
      <c r="AN604" s="123"/>
      <c r="AO604" s="123"/>
      <c r="AP604" s="123"/>
    </row>
    <row r="605" spans="1:42" x14ac:dyDescent="0.2">
      <c r="A605" s="22" t="s">
        <v>294</v>
      </c>
      <c r="B605" s="123"/>
      <c r="C605" s="123">
        <f t="shared" ref="C605:AP605" si="292">IF(C$2&gt;term_tenor,0,IF(DebtPercent="Calculated",IF(C$610=0,0,C$595/C$610),"N/A"))</f>
        <v>4641782.6559108887</v>
      </c>
      <c r="D605" s="123">
        <f t="shared" si="292"/>
        <v>4645213.4251416577</v>
      </c>
      <c r="E605" s="123">
        <f t="shared" si="292"/>
        <v>4648076.8866801197</v>
      </c>
      <c r="F605" s="123">
        <f t="shared" si="292"/>
        <v>4650370.3962955046</v>
      </c>
      <c r="G605" s="123">
        <f t="shared" si="292"/>
        <v>4652060.0898051197</v>
      </c>
      <c r="H605" s="123">
        <f t="shared" si="292"/>
        <v>4653134.7179601686</v>
      </c>
      <c r="I605" s="123">
        <f t="shared" si="292"/>
        <v>4653582.5579729378</v>
      </c>
      <c r="J605" s="123">
        <f t="shared" si="292"/>
        <v>4653376.0170629509</v>
      </c>
      <c r="K605" s="123">
        <f t="shared" si="292"/>
        <v>4652494.6972455997</v>
      </c>
      <c r="L605" s="123">
        <f t="shared" si="292"/>
        <v>4650925.3828943521</v>
      </c>
      <c r="M605" s="123">
        <f t="shared" si="292"/>
        <v>4648646.6433766307</v>
      </c>
      <c r="N605" s="123">
        <f t="shared" si="292"/>
        <v>4645628.8199863508</v>
      </c>
      <c r="O605" s="123">
        <f t="shared" si="292"/>
        <v>4641857.0894728536</v>
      </c>
      <c r="P605" s="123">
        <f t="shared" si="292"/>
        <v>4637308.3733888259</v>
      </c>
      <c r="Q605" s="123">
        <f t="shared" si="292"/>
        <v>4631951.3240180817</v>
      </c>
      <c r="R605" s="123">
        <f t="shared" si="292"/>
        <v>5350386.7309637181</v>
      </c>
      <c r="S605" s="123">
        <f t="shared" si="292"/>
        <v>5343362.7453916576</v>
      </c>
      <c r="T605" s="123">
        <f t="shared" si="292"/>
        <v>5335471.2371033728</v>
      </c>
      <c r="U605" s="123">
        <f t="shared" si="292"/>
        <v>0</v>
      </c>
      <c r="V605" s="123">
        <f t="shared" si="292"/>
        <v>0</v>
      </c>
      <c r="W605" s="123">
        <f t="shared" si="292"/>
        <v>0</v>
      </c>
      <c r="X605" s="123">
        <f t="shared" si="292"/>
        <v>0</v>
      </c>
      <c r="Y605" s="123">
        <f t="shared" si="292"/>
        <v>0</v>
      </c>
      <c r="Z605" s="123">
        <f t="shared" si="292"/>
        <v>0</v>
      </c>
      <c r="AA605" s="123">
        <f t="shared" si="292"/>
        <v>0</v>
      </c>
      <c r="AB605" s="123">
        <f t="shared" si="292"/>
        <v>0</v>
      </c>
      <c r="AC605" s="123">
        <f t="shared" si="292"/>
        <v>0</v>
      </c>
      <c r="AD605" s="123">
        <f t="shared" si="292"/>
        <v>0</v>
      </c>
      <c r="AE605" s="123">
        <f t="shared" si="292"/>
        <v>0</v>
      </c>
      <c r="AF605" s="123">
        <f t="shared" si="292"/>
        <v>0</v>
      </c>
      <c r="AG605" s="123">
        <f t="shared" si="292"/>
        <v>0</v>
      </c>
      <c r="AH605" s="123">
        <f t="shared" si="292"/>
        <v>0</v>
      </c>
      <c r="AI605" s="123">
        <f t="shared" si="292"/>
        <v>0</v>
      </c>
      <c r="AJ605" s="123">
        <f t="shared" si="292"/>
        <v>0</v>
      </c>
      <c r="AK605" s="123">
        <f t="shared" si="292"/>
        <v>0</v>
      </c>
      <c r="AL605" s="123">
        <f t="shared" si="292"/>
        <v>0</v>
      </c>
      <c r="AM605" s="123">
        <f t="shared" si="292"/>
        <v>0</v>
      </c>
      <c r="AN605" s="123">
        <f t="shared" si="292"/>
        <v>0</v>
      </c>
      <c r="AO605" s="123">
        <f t="shared" si="292"/>
        <v>0</v>
      </c>
      <c r="AP605" s="123">
        <f t="shared" si="292"/>
        <v>0</v>
      </c>
    </row>
    <row r="606" spans="1:42" x14ac:dyDescent="0.2">
      <c r="A606" s="22" t="s">
        <v>295</v>
      </c>
      <c r="B606" s="123"/>
      <c r="C606" s="123" t="str">
        <f t="shared" ref="C606:AP606" si="293">IF(C$2&gt;term_tenor,0,IF(DebtPayment="Fixed principal","N/A",IF(DebtPercent="Calculated","N/A",IF(C$2&lt;loan_moratorium,C$588,IF(AND(C$2&lt;=term_tenor,C$2&lt;=analysis_period),-PMT(term_int_rate/100,term_tenor-loan_moratorium,$B$602),0)))))</f>
        <v>N/A</v>
      </c>
      <c r="D606" s="123" t="str">
        <f t="shared" si="293"/>
        <v>N/A</v>
      </c>
      <c r="E606" s="123" t="str">
        <f t="shared" si="293"/>
        <v>N/A</v>
      </c>
      <c r="F606" s="123" t="str">
        <f t="shared" si="293"/>
        <v>N/A</v>
      </c>
      <c r="G606" s="123" t="str">
        <f t="shared" si="293"/>
        <v>N/A</v>
      </c>
      <c r="H606" s="123" t="str">
        <f t="shared" si="293"/>
        <v>N/A</v>
      </c>
      <c r="I606" s="123" t="str">
        <f t="shared" si="293"/>
        <v>N/A</v>
      </c>
      <c r="J606" s="123" t="str">
        <f t="shared" si="293"/>
        <v>N/A</v>
      </c>
      <c r="K606" s="123" t="str">
        <f t="shared" si="293"/>
        <v>N/A</v>
      </c>
      <c r="L606" s="123" t="str">
        <f t="shared" si="293"/>
        <v>N/A</v>
      </c>
      <c r="M606" s="123" t="str">
        <f t="shared" si="293"/>
        <v>N/A</v>
      </c>
      <c r="N606" s="123" t="str">
        <f t="shared" si="293"/>
        <v>N/A</v>
      </c>
      <c r="O606" s="123" t="str">
        <f t="shared" si="293"/>
        <v>N/A</v>
      </c>
      <c r="P606" s="123" t="str">
        <f t="shared" si="293"/>
        <v>N/A</v>
      </c>
      <c r="Q606" s="123" t="str">
        <f t="shared" si="293"/>
        <v>N/A</v>
      </c>
      <c r="R606" s="123" t="str">
        <f t="shared" si="293"/>
        <v>N/A</v>
      </c>
      <c r="S606" s="123" t="str">
        <f t="shared" si="293"/>
        <v>N/A</v>
      </c>
      <c r="T606" s="123" t="str">
        <f t="shared" si="293"/>
        <v>N/A</v>
      </c>
      <c r="U606" s="123">
        <f t="shared" si="293"/>
        <v>0</v>
      </c>
      <c r="V606" s="123">
        <f t="shared" si="293"/>
        <v>0</v>
      </c>
      <c r="W606" s="123">
        <f t="shared" si="293"/>
        <v>0</v>
      </c>
      <c r="X606" s="123">
        <f t="shared" si="293"/>
        <v>0</v>
      </c>
      <c r="Y606" s="123">
        <f t="shared" si="293"/>
        <v>0</v>
      </c>
      <c r="Z606" s="123">
        <f t="shared" si="293"/>
        <v>0</v>
      </c>
      <c r="AA606" s="123">
        <f t="shared" si="293"/>
        <v>0</v>
      </c>
      <c r="AB606" s="123">
        <f t="shared" si="293"/>
        <v>0</v>
      </c>
      <c r="AC606" s="123">
        <f t="shared" si="293"/>
        <v>0</v>
      </c>
      <c r="AD606" s="123">
        <f t="shared" si="293"/>
        <v>0</v>
      </c>
      <c r="AE606" s="123">
        <f t="shared" si="293"/>
        <v>0</v>
      </c>
      <c r="AF606" s="123">
        <f t="shared" si="293"/>
        <v>0</v>
      </c>
      <c r="AG606" s="123">
        <f t="shared" si="293"/>
        <v>0</v>
      </c>
      <c r="AH606" s="123">
        <f t="shared" si="293"/>
        <v>0</v>
      </c>
      <c r="AI606" s="123">
        <f t="shared" si="293"/>
        <v>0</v>
      </c>
      <c r="AJ606" s="123">
        <f t="shared" si="293"/>
        <v>0</v>
      </c>
      <c r="AK606" s="123">
        <f t="shared" si="293"/>
        <v>0</v>
      </c>
      <c r="AL606" s="123">
        <f t="shared" si="293"/>
        <v>0</v>
      </c>
      <c r="AM606" s="123">
        <f t="shared" si="293"/>
        <v>0</v>
      </c>
      <c r="AN606" s="123">
        <f t="shared" si="293"/>
        <v>0</v>
      </c>
      <c r="AO606" s="123">
        <f t="shared" si="293"/>
        <v>0</v>
      </c>
      <c r="AP606" s="123">
        <f t="shared" si="293"/>
        <v>0</v>
      </c>
    </row>
    <row r="607" spans="1:42" x14ac:dyDescent="0.2">
      <c r="A607" s="22" t="s">
        <v>296</v>
      </c>
      <c r="B607" s="123"/>
      <c r="C607" s="123" t="str">
        <f t="shared" ref="C607:AP607" si="294">IF(C$2&gt;term_tenor,0,IF(DebtPayment="Equal Payments","N/A",IF(DebtPercent="Calculated","N/A",IF(C$2&lt;=loan_moratorium,0,$B$602/(term_tenor-loan_moratorium)))))</f>
        <v>N/A</v>
      </c>
      <c r="D607" s="123" t="str">
        <f t="shared" si="294"/>
        <v>N/A</v>
      </c>
      <c r="E607" s="123" t="str">
        <f t="shared" si="294"/>
        <v>N/A</v>
      </c>
      <c r="F607" s="123" t="str">
        <f t="shared" si="294"/>
        <v>N/A</v>
      </c>
      <c r="G607" s="123" t="str">
        <f t="shared" si="294"/>
        <v>N/A</v>
      </c>
      <c r="H607" s="123" t="str">
        <f t="shared" si="294"/>
        <v>N/A</v>
      </c>
      <c r="I607" s="123" t="str">
        <f t="shared" si="294"/>
        <v>N/A</v>
      </c>
      <c r="J607" s="123" t="str">
        <f t="shared" si="294"/>
        <v>N/A</v>
      </c>
      <c r="K607" s="123" t="str">
        <f t="shared" si="294"/>
        <v>N/A</v>
      </c>
      <c r="L607" s="123" t="str">
        <f t="shared" si="294"/>
        <v>N/A</v>
      </c>
      <c r="M607" s="123" t="str">
        <f t="shared" si="294"/>
        <v>N/A</v>
      </c>
      <c r="N607" s="123" t="str">
        <f t="shared" si="294"/>
        <v>N/A</v>
      </c>
      <c r="O607" s="123" t="str">
        <f t="shared" si="294"/>
        <v>N/A</v>
      </c>
      <c r="P607" s="123" t="str">
        <f t="shared" si="294"/>
        <v>N/A</v>
      </c>
      <c r="Q607" s="123" t="str">
        <f t="shared" si="294"/>
        <v>N/A</v>
      </c>
      <c r="R607" s="123" t="str">
        <f t="shared" si="294"/>
        <v>N/A</v>
      </c>
      <c r="S607" s="123" t="str">
        <f t="shared" si="294"/>
        <v>N/A</v>
      </c>
      <c r="T607" s="123" t="str">
        <f t="shared" si="294"/>
        <v>N/A</v>
      </c>
      <c r="U607" s="123">
        <f t="shared" si="294"/>
        <v>0</v>
      </c>
      <c r="V607" s="123">
        <f t="shared" si="294"/>
        <v>0</v>
      </c>
      <c r="W607" s="123">
        <f t="shared" si="294"/>
        <v>0</v>
      </c>
      <c r="X607" s="123">
        <f t="shared" si="294"/>
        <v>0</v>
      </c>
      <c r="Y607" s="123">
        <f t="shared" si="294"/>
        <v>0</v>
      </c>
      <c r="Z607" s="123">
        <f t="shared" si="294"/>
        <v>0</v>
      </c>
      <c r="AA607" s="123">
        <f t="shared" si="294"/>
        <v>0</v>
      </c>
      <c r="AB607" s="123">
        <f t="shared" si="294"/>
        <v>0</v>
      </c>
      <c r="AC607" s="123">
        <f t="shared" si="294"/>
        <v>0</v>
      </c>
      <c r="AD607" s="123">
        <f t="shared" si="294"/>
        <v>0</v>
      </c>
      <c r="AE607" s="123">
        <f t="shared" si="294"/>
        <v>0</v>
      </c>
      <c r="AF607" s="123">
        <f t="shared" si="294"/>
        <v>0</v>
      </c>
      <c r="AG607" s="123">
        <f t="shared" si="294"/>
        <v>0</v>
      </c>
      <c r="AH607" s="123">
        <f t="shared" si="294"/>
        <v>0</v>
      </c>
      <c r="AI607" s="123">
        <f t="shared" si="294"/>
        <v>0</v>
      </c>
      <c r="AJ607" s="123">
        <f t="shared" si="294"/>
        <v>0</v>
      </c>
      <c r="AK607" s="123">
        <f t="shared" si="294"/>
        <v>0</v>
      </c>
      <c r="AL607" s="123">
        <f t="shared" si="294"/>
        <v>0</v>
      </c>
      <c r="AM607" s="123">
        <f t="shared" si="294"/>
        <v>0</v>
      </c>
      <c r="AN607" s="123">
        <f t="shared" si="294"/>
        <v>0</v>
      </c>
      <c r="AO607" s="123">
        <f t="shared" si="294"/>
        <v>0</v>
      </c>
      <c r="AP607" s="123">
        <f t="shared" si="294"/>
        <v>0</v>
      </c>
    </row>
    <row r="608" spans="1:42" x14ac:dyDescent="0.2">
      <c r="A608" s="22"/>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c r="AA608" s="123"/>
      <c r="AB608" s="123"/>
      <c r="AC608" s="123"/>
      <c r="AD608" s="123"/>
      <c r="AE608" s="123"/>
      <c r="AF608" s="123"/>
      <c r="AG608" s="123"/>
      <c r="AH608" s="123"/>
      <c r="AI608" s="123"/>
      <c r="AJ608" s="123"/>
      <c r="AK608" s="123"/>
      <c r="AL608" s="123"/>
      <c r="AM608" s="123"/>
      <c r="AN608" s="123"/>
      <c r="AO608" s="123"/>
      <c r="AP608" s="123"/>
    </row>
    <row r="609" spans="1:42" x14ac:dyDescent="0.2">
      <c r="A609" s="18" t="s">
        <v>261</v>
      </c>
      <c r="B609" s="110">
        <f>MIN(C609:AP609)</f>
        <v>1.3</v>
      </c>
      <c r="C609" s="112">
        <f t="shared" ref="C609:AP609" si="295">IF(DebtServiceCoverageRatio="Calculated",IF(AND(C$2&lt;=term_tenor,C$2&lt;=analysis_period),C$595/C$587,"N/A"),IF(AND(C$2&lt;=term_tenor,C$2&lt;=analysis_period),DebtServiceCoverageRatio,"N/A"))</f>
        <v>1.3</v>
      </c>
      <c r="D609" s="112">
        <f t="shared" si="295"/>
        <v>1.3</v>
      </c>
      <c r="E609" s="112">
        <f t="shared" si="295"/>
        <v>1.3</v>
      </c>
      <c r="F609" s="112">
        <f t="shared" si="295"/>
        <v>1.3</v>
      </c>
      <c r="G609" s="112">
        <f t="shared" si="295"/>
        <v>1.3</v>
      </c>
      <c r="H609" s="112">
        <f t="shared" si="295"/>
        <v>1.3</v>
      </c>
      <c r="I609" s="112">
        <f t="shared" si="295"/>
        <v>1.3</v>
      </c>
      <c r="J609" s="112">
        <f t="shared" si="295"/>
        <v>1.3</v>
      </c>
      <c r="K609" s="112">
        <f t="shared" si="295"/>
        <v>1.3</v>
      </c>
      <c r="L609" s="112">
        <f t="shared" si="295"/>
        <v>1.3</v>
      </c>
      <c r="M609" s="112">
        <f t="shared" si="295"/>
        <v>1.3</v>
      </c>
      <c r="N609" s="112">
        <f t="shared" si="295"/>
        <v>1.3</v>
      </c>
      <c r="O609" s="112">
        <f t="shared" si="295"/>
        <v>1.3</v>
      </c>
      <c r="P609" s="112">
        <f t="shared" si="295"/>
        <v>1.3</v>
      </c>
      <c r="Q609" s="112">
        <f t="shared" si="295"/>
        <v>1.3</v>
      </c>
      <c r="R609" s="112">
        <f t="shared" si="295"/>
        <v>1.3</v>
      </c>
      <c r="S609" s="112">
        <f t="shared" si="295"/>
        <v>1.3</v>
      </c>
      <c r="T609" s="112">
        <f t="shared" si="295"/>
        <v>1.3</v>
      </c>
      <c r="U609" s="112" t="str">
        <f t="shared" si="295"/>
        <v>N/A</v>
      </c>
      <c r="V609" s="112" t="str">
        <f t="shared" si="295"/>
        <v>N/A</v>
      </c>
      <c r="W609" s="112" t="str">
        <f t="shared" si="295"/>
        <v>N/A</v>
      </c>
      <c r="X609" s="112" t="str">
        <f t="shared" si="295"/>
        <v>N/A</v>
      </c>
      <c r="Y609" s="112" t="str">
        <f t="shared" si="295"/>
        <v>N/A</v>
      </c>
      <c r="Z609" s="112" t="str">
        <f t="shared" si="295"/>
        <v>N/A</v>
      </c>
      <c r="AA609" s="112" t="str">
        <f t="shared" si="295"/>
        <v>N/A</v>
      </c>
      <c r="AB609" s="112" t="str">
        <f t="shared" si="295"/>
        <v>N/A</v>
      </c>
      <c r="AC609" s="112" t="str">
        <f t="shared" si="295"/>
        <v>N/A</v>
      </c>
      <c r="AD609" s="112" t="str">
        <f t="shared" si="295"/>
        <v>N/A</v>
      </c>
      <c r="AE609" s="112" t="str">
        <f t="shared" si="295"/>
        <v>N/A</v>
      </c>
      <c r="AF609" s="112" t="str">
        <f t="shared" si="295"/>
        <v>N/A</v>
      </c>
      <c r="AG609" s="112" t="str">
        <f t="shared" si="295"/>
        <v>N/A</v>
      </c>
      <c r="AH609" s="112" t="str">
        <f t="shared" si="295"/>
        <v>N/A</v>
      </c>
      <c r="AI609" s="112" t="str">
        <f t="shared" si="295"/>
        <v>N/A</v>
      </c>
      <c r="AJ609" s="112" t="str">
        <f t="shared" si="295"/>
        <v>N/A</v>
      </c>
      <c r="AK609" s="112" t="str">
        <f t="shared" si="295"/>
        <v>N/A</v>
      </c>
      <c r="AL609" s="112" t="str">
        <f t="shared" si="295"/>
        <v>N/A</v>
      </c>
      <c r="AM609" s="112" t="str">
        <f t="shared" si="295"/>
        <v>N/A</v>
      </c>
      <c r="AN609" s="112" t="str">
        <f t="shared" si="295"/>
        <v>N/A</v>
      </c>
      <c r="AO609" s="112" t="str">
        <f t="shared" si="295"/>
        <v>N/A</v>
      </c>
      <c r="AP609" s="112" t="str">
        <f t="shared" si="295"/>
        <v>N/A</v>
      </c>
    </row>
    <row r="610" spans="1:42" x14ac:dyDescent="0.2">
      <c r="A610" s="90" t="s">
        <v>396</v>
      </c>
      <c r="B610" s="110">
        <f>IF(dscr_limit_debt_fraction="Yes",SUM(B600:AP600)/(-$B$102*dscr_maximum_debt_fraction/100)*DebtServiceCoverageRatio,B609)</f>
        <v>1.3</v>
      </c>
      <c r="C610" s="112">
        <f>IF(dscr_limit_debt_fraction="Yes",$B$610,C$609)</f>
        <v>1.3</v>
      </c>
      <c r="D610" s="112">
        <f t="shared" ref="D610:AP610" si="296">IF(dscr_limit_debt_fraction="Yes",$B$610,D$609)</f>
        <v>1.3</v>
      </c>
      <c r="E610" s="112">
        <f t="shared" si="296"/>
        <v>1.3</v>
      </c>
      <c r="F610" s="112">
        <f t="shared" si="296"/>
        <v>1.3</v>
      </c>
      <c r="G610" s="112">
        <f t="shared" si="296"/>
        <v>1.3</v>
      </c>
      <c r="H610" s="112">
        <f t="shared" si="296"/>
        <v>1.3</v>
      </c>
      <c r="I610" s="112">
        <f t="shared" si="296"/>
        <v>1.3</v>
      </c>
      <c r="J610" s="112">
        <f t="shared" si="296"/>
        <v>1.3</v>
      </c>
      <c r="K610" s="112">
        <f t="shared" si="296"/>
        <v>1.3</v>
      </c>
      <c r="L610" s="112">
        <f t="shared" si="296"/>
        <v>1.3</v>
      </c>
      <c r="M610" s="112">
        <f t="shared" si="296"/>
        <v>1.3</v>
      </c>
      <c r="N610" s="112">
        <f t="shared" si="296"/>
        <v>1.3</v>
      </c>
      <c r="O610" s="112">
        <f t="shared" si="296"/>
        <v>1.3</v>
      </c>
      <c r="P610" s="112">
        <f t="shared" si="296"/>
        <v>1.3</v>
      </c>
      <c r="Q610" s="112">
        <f t="shared" si="296"/>
        <v>1.3</v>
      </c>
      <c r="R610" s="112">
        <f t="shared" si="296"/>
        <v>1.3</v>
      </c>
      <c r="S610" s="112">
        <f t="shared" si="296"/>
        <v>1.3</v>
      </c>
      <c r="T610" s="112">
        <f t="shared" si="296"/>
        <v>1.3</v>
      </c>
      <c r="U610" s="112" t="str">
        <f t="shared" si="296"/>
        <v>N/A</v>
      </c>
      <c r="V610" s="112" t="str">
        <f t="shared" si="296"/>
        <v>N/A</v>
      </c>
      <c r="W610" s="112" t="str">
        <f t="shared" si="296"/>
        <v>N/A</v>
      </c>
      <c r="X610" s="112" t="str">
        <f t="shared" si="296"/>
        <v>N/A</v>
      </c>
      <c r="Y610" s="112" t="str">
        <f t="shared" si="296"/>
        <v>N/A</v>
      </c>
      <c r="Z610" s="112" t="str">
        <f t="shared" si="296"/>
        <v>N/A</v>
      </c>
      <c r="AA610" s="112" t="str">
        <f t="shared" si="296"/>
        <v>N/A</v>
      </c>
      <c r="AB610" s="112" t="str">
        <f t="shared" si="296"/>
        <v>N/A</v>
      </c>
      <c r="AC610" s="112" t="str">
        <f t="shared" si="296"/>
        <v>N/A</v>
      </c>
      <c r="AD610" s="112" t="str">
        <f t="shared" si="296"/>
        <v>N/A</v>
      </c>
      <c r="AE610" s="112" t="str">
        <f t="shared" si="296"/>
        <v>N/A</v>
      </c>
      <c r="AF610" s="112" t="str">
        <f t="shared" si="296"/>
        <v>N/A</v>
      </c>
      <c r="AG610" s="112" t="str">
        <f t="shared" si="296"/>
        <v>N/A</v>
      </c>
      <c r="AH610" s="112" t="str">
        <f t="shared" si="296"/>
        <v>N/A</v>
      </c>
      <c r="AI610" s="112" t="str">
        <f t="shared" si="296"/>
        <v>N/A</v>
      </c>
      <c r="AJ610" s="112" t="str">
        <f t="shared" si="296"/>
        <v>N/A</v>
      </c>
      <c r="AK610" s="112" t="str">
        <f t="shared" si="296"/>
        <v>N/A</v>
      </c>
      <c r="AL610" s="112" t="str">
        <f t="shared" si="296"/>
        <v>N/A</v>
      </c>
      <c r="AM610" s="112" t="str">
        <f t="shared" si="296"/>
        <v>N/A</v>
      </c>
      <c r="AN610" s="112" t="str">
        <f t="shared" si="296"/>
        <v>N/A</v>
      </c>
      <c r="AO610" s="112" t="str">
        <f t="shared" si="296"/>
        <v>N/A</v>
      </c>
      <c r="AP610" s="112" t="str">
        <f t="shared" si="296"/>
        <v>N/A</v>
      </c>
    </row>
    <row r="611" spans="1:42" x14ac:dyDescent="0.2">
      <c r="A611" s="23"/>
      <c r="B611" s="185"/>
    </row>
    <row r="612" spans="1:42" x14ac:dyDescent="0.2">
      <c r="A612" s="84" t="s">
        <v>72</v>
      </c>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c r="AA612" s="220"/>
      <c r="AB612" s="220"/>
      <c r="AC612" s="220"/>
      <c r="AD612" s="220"/>
      <c r="AE612" s="220"/>
      <c r="AF612" s="220"/>
      <c r="AG612" s="220"/>
      <c r="AH612" s="220"/>
      <c r="AI612" s="220"/>
      <c r="AJ612" s="220"/>
      <c r="AK612" s="220"/>
      <c r="AL612" s="220"/>
      <c r="AM612" s="220"/>
      <c r="AN612" s="220"/>
      <c r="AO612" s="220"/>
      <c r="AP612" s="220"/>
    </row>
    <row r="613" spans="1:42" x14ac:dyDescent="0.2">
      <c r="A613" s="20" t="s">
        <v>298</v>
      </c>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5"/>
    </row>
    <row r="614" spans="1:42" x14ac:dyDescent="0.2">
      <c r="A614" s="4" t="s">
        <v>299</v>
      </c>
      <c r="B614" s="163">
        <v>0</v>
      </c>
      <c r="C614" s="163">
        <f>B617</f>
        <v>2320890</v>
      </c>
      <c r="D614" s="163">
        <f t="shared" ref="D614:AP614" si="297">C617</f>
        <v>2322610</v>
      </c>
      <c r="E614" s="163">
        <f t="shared" si="297"/>
        <v>2324040</v>
      </c>
      <c r="F614" s="163">
        <f t="shared" si="297"/>
        <v>2325180</v>
      </c>
      <c r="G614" s="163">
        <f t="shared" si="297"/>
        <v>2326030</v>
      </c>
      <c r="H614" s="163">
        <f t="shared" si="297"/>
        <v>2326570</v>
      </c>
      <c r="I614" s="163">
        <f t="shared" si="297"/>
        <v>2326790</v>
      </c>
      <c r="J614" s="163">
        <f t="shared" si="297"/>
        <v>2326690</v>
      </c>
      <c r="K614" s="163">
        <f t="shared" si="297"/>
        <v>2326250</v>
      </c>
      <c r="L614" s="163">
        <f t="shared" si="297"/>
        <v>2325460</v>
      </c>
      <c r="M614" s="163">
        <f t="shared" si="297"/>
        <v>2324320</v>
      </c>
      <c r="N614" s="163">
        <f t="shared" si="297"/>
        <v>2322810</v>
      </c>
      <c r="O614" s="163">
        <f t="shared" si="297"/>
        <v>2320930</v>
      </c>
      <c r="P614" s="163">
        <f t="shared" si="297"/>
        <v>2318650</v>
      </c>
      <c r="Q614" s="163">
        <f t="shared" si="297"/>
        <v>2315980</v>
      </c>
      <c r="R614" s="163">
        <f t="shared" si="297"/>
        <v>2675190</v>
      </c>
      <c r="S614" s="163">
        <f t="shared" si="297"/>
        <v>2671680</v>
      </c>
      <c r="T614" s="163">
        <f t="shared" si="297"/>
        <v>2667730</v>
      </c>
      <c r="U614" s="163">
        <f t="shared" si="297"/>
        <v>0</v>
      </c>
      <c r="V614" s="163">
        <f t="shared" si="297"/>
        <v>0</v>
      </c>
      <c r="W614" s="163">
        <f t="shared" si="297"/>
        <v>0</v>
      </c>
      <c r="X614" s="163">
        <f t="shared" si="297"/>
        <v>0</v>
      </c>
      <c r="Y614" s="163">
        <f t="shared" si="297"/>
        <v>0</v>
      </c>
      <c r="Z614" s="163">
        <f t="shared" si="297"/>
        <v>0</v>
      </c>
      <c r="AA614" s="163">
        <f t="shared" si="297"/>
        <v>0</v>
      </c>
      <c r="AB614" s="163">
        <f t="shared" si="297"/>
        <v>0</v>
      </c>
      <c r="AC614" s="163">
        <f t="shared" si="297"/>
        <v>0</v>
      </c>
      <c r="AD614" s="163">
        <f t="shared" si="297"/>
        <v>0</v>
      </c>
      <c r="AE614" s="163">
        <f t="shared" si="297"/>
        <v>0</v>
      </c>
      <c r="AF614" s="163">
        <f t="shared" si="297"/>
        <v>0</v>
      </c>
      <c r="AG614" s="163">
        <f t="shared" si="297"/>
        <v>0</v>
      </c>
      <c r="AH614" s="163">
        <f t="shared" si="297"/>
        <v>0</v>
      </c>
      <c r="AI614" s="163">
        <f t="shared" si="297"/>
        <v>0</v>
      </c>
      <c r="AJ614" s="163">
        <f t="shared" si="297"/>
        <v>0</v>
      </c>
      <c r="AK614" s="163">
        <f t="shared" si="297"/>
        <v>0</v>
      </c>
      <c r="AL614" s="163">
        <f t="shared" si="297"/>
        <v>0</v>
      </c>
      <c r="AM614" s="163">
        <f t="shared" si="297"/>
        <v>0</v>
      </c>
      <c r="AN614" s="163">
        <f t="shared" si="297"/>
        <v>0</v>
      </c>
      <c r="AO614" s="163">
        <f t="shared" si="297"/>
        <v>0</v>
      </c>
      <c r="AP614" s="163">
        <f t="shared" si="297"/>
        <v>0</v>
      </c>
    </row>
    <row r="615" spans="1:42" x14ac:dyDescent="0.2">
      <c r="A615" s="4" t="s">
        <v>24</v>
      </c>
      <c r="B615" s="163">
        <f t="array" ref="B615:AP615">Inputs!C203:AQ203</f>
        <v>2320890</v>
      </c>
      <c r="C615" s="163">
        <v>1714.49</v>
      </c>
      <c r="D615" s="163">
        <v>1433.79</v>
      </c>
      <c r="E615" s="163">
        <v>1144.48</v>
      </c>
      <c r="F615" s="163">
        <v>846.32299999999998</v>
      </c>
      <c r="G615" s="163">
        <v>539.09400000000005</v>
      </c>
      <c r="H615" s="163">
        <v>222.559</v>
      </c>
      <c r="I615" s="163">
        <v>-103.523</v>
      </c>
      <c r="J615" s="163">
        <v>-439.399</v>
      </c>
      <c r="K615" s="163">
        <v>-785.32100000000003</v>
      </c>
      <c r="L615" s="163">
        <v>-1141.55</v>
      </c>
      <c r="M615" s="163">
        <v>-1508.35</v>
      </c>
      <c r="N615" s="163">
        <v>-1885.99</v>
      </c>
      <c r="O615" s="163">
        <v>-2274.7600000000002</v>
      </c>
      <c r="P615" s="163">
        <v>-2674.94</v>
      </c>
      <c r="Q615" s="163">
        <v>359214</v>
      </c>
      <c r="R615" s="163">
        <v>-3510.71</v>
      </c>
      <c r="S615" s="163">
        <v>-3946.91</v>
      </c>
      <c r="T615" s="163">
        <v>0</v>
      </c>
      <c r="U615" s="163">
        <v>0</v>
      </c>
      <c r="V615" s="163">
        <v>0</v>
      </c>
      <c r="W615" s="163">
        <v>0</v>
      </c>
      <c r="X615" s="163">
        <v>0</v>
      </c>
      <c r="Y615" s="163">
        <v>0</v>
      </c>
      <c r="Z615" s="163">
        <v>0</v>
      </c>
      <c r="AA615" s="163">
        <v>0</v>
      </c>
      <c r="AB615" s="163">
        <v>0</v>
      </c>
      <c r="AC615" s="163">
        <v>0</v>
      </c>
      <c r="AD615" s="163">
        <v>0</v>
      </c>
      <c r="AE615" s="163">
        <v>0</v>
      </c>
      <c r="AF615" s="163">
        <v>0</v>
      </c>
      <c r="AG615" s="163">
        <v>0</v>
      </c>
      <c r="AH615" s="163">
        <v>0</v>
      </c>
      <c r="AI615" s="163">
        <v>0</v>
      </c>
      <c r="AJ615" s="163">
        <v>0</v>
      </c>
      <c r="AK615" s="163">
        <v>0</v>
      </c>
      <c r="AL615" s="163">
        <v>0</v>
      </c>
      <c r="AM615" s="163">
        <v>0</v>
      </c>
      <c r="AN615" s="163">
        <v>0</v>
      </c>
      <c r="AO615" s="163">
        <v>0</v>
      </c>
      <c r="AP615" s="163">
        <v>0</v>
      </c>
    </row>
    <row r="616" spans="1:42" x14ac:dyDescent="0.2">
      <c r="A616" s="4" t="s">
        <v>300</v>
      </c>
      <c r="B616" s="164">
        <f t="array" ref="B616:AP616">Inputs!C204:AQ204</f>
        <v>0</v>
      </c>
      <c r="C616" s="164">
        <v>0</v>
      </c>
      <c r="D616" s="164">
        <v>0</v>
      </c>
      <c r="E616" s="164">
        <v>0</v>
      </c>
      <c r="F616" s="164">
        <v>0</v>
      </c>
      <c r="G616" s="164">
        <v>0</v>
      </c>
      <c r="H616" s="164">
        <v>0</v>
      </c>
      <c r="I616" s="164">
        <v>0</v>
      </c>
      <c r="J616" s="164">
        <v>0</v>
      </c>
      <c r="K616" s="164">
        <v>0</v>
      </c>
      <c r="L616" s="164">
        <v>0</v>
      </c>
      <c r="M616" s="164">
        <v>0</v>
      </c>
      <c r="N616" s="164">
        <v>0</v>
      </c>
      <c r="O616" s="164">
        <v>0</v>
      </c>
      <c r="P616" s="164">
        <v>0</v>
      </c>
      <c r="Q616" s="164">
        <v>0</v>
      </c>
      <c r="R616" s="164">
        <v>0</v>
      </c>
      <c r="S616" s="164">
        <v>0</v>
      </c>
      <c r="T616" s="164">
        <v>-2667730</v>
      </c>
      <c r="U616" s="164">
        <v>0</v>
      </c>
      <c r="V616" s="164">
        <v>0</v>
      </c>
      <c r="W616" s="164">
        <v>0</v>
      </c>
      <c r="X616" s="164">
        <v>0</v>
      </c>
      <c r="Y616" s="164">
        <v>0</v>
      </c>
      <c r="Z616" s="164">
        <v>0</v>
      </c>
      <c r="AA616" s="164">
        <v>0</v>
      </c>
      <c r="AB616" s="164">
        <v>0</v>
      </c>
      <c r="AC616" s="164">
        <v>0</v>
      </c>
      <c r="AD616" s="164">
        <v>0</v>
      </c>
      <c r="AE616" s="164">
        <v>0</v>
      </c>
      <c r="AF616" s="164">
        <v>0</v>
      </c>
      <c r="AG616" s="164">
        <v>0</v>
      </c>
      <c r="AH616" s="164">
        <v>0</v>
      </c>
      <c r="AI616" s="164">
        <v>0</v>
      </c>
      <c r="AJ616" s="164">
        <v>0</v>
      </c>
      <c r="AK616" s="164">
        <v>0</v>
      </c>
      <c r="AL616" s="164">
        <v>0</v>
      </c>
      <c r="AM616" s="164">
        <v>0</v>
      </c>
      <c r="AN616" s="164">
        <v>0</v>
      </c>
      <c r="AO616" s="164">
        <v>0</v>
      </c>
      <c r="AP616" s="164">
        <v>0</v>
      </c>
    </row>
    <row r="617" spans="1:42" x14ac:dyDescent="0.2">
      <c r="A617" s="4" t="s">
        <v>262</v>
      </c>
      <c r="B617" s="163">
        <f t="array" ref="B617:AP617">Inputs!C205:AQ205</f>
        <v>2320890</v>
      </c>
      <c r="C617" s="163">
        <v>2322610</v>
      </c>
      <c r="D617" s="163">
        <v>2324040</v>
      </c>
      <c r="E617" s="163">
        <v>2325180</v>
      </c>
      <c r="F617" s="163">
        <v>2326030</v>
      </c>
      <c r="G617" s="163">
        <v>2326570</v>
      </c>
      <c r="H617" s="163">
        <v>2326790</v>
      </c>
      <c r="I617" s="163">
        <v>2326690</v>
      </c>
      <c r="J617" s="163">
        <v>2326250</v>
      </c>
      <c r="K617" s="163">
        <v>2325460</v>
      </c>
      <c r="L617" s="163">
        <v>2324320</v>
      </c>
      <c r="M617" s="163">
        <v>2322810</v>
      </c>
      <c r="N617" s="163">
        <v>2320930</v>
      </c>
      <c r="O617" s="163">
        <v>2318650</v>
      </c>
      <c r="P617" s="163">
        <v>2315980</v>
      </c>
      <c r="Q617" s="163">
        <v>2675190</v>
      </c>
      <c r="R617" s="163">
        <v>2671680</v>
      </c>
      <c r="S617" s="163">
        <v>2667730</v>
      </c>
      <c r="T617" s="163">
        <v>0</v>
      </c>
      <c r="U617" s="163">
        <v>0</v>
      </c>
      <c r="V617" s="163">
        <v>0</v>
      </c>
      <c r="W617" s="163">
        <v>0</v>
      </c>
      <c r="X617" s="163">
        <v>0</v>
      </c>
      <c r="Y617" s="163">
        <v>0</v>
      </c>
      <c r="Z617" s="163">
        <v>0</v>
      </c>
      <c r="AA617" s="163">
        <v>0</v>
      </c>
      <c r="AB617" s="163">
        <v>0</v>
      </c>
      <c r="AC617" s="163">
        <v>0</v>
      </c>
      <c r="AD617" s="163">
        <v>0</v>
      </c>
      <c r="AE617" s="163">
        <v>0</v>
      </c>
      <c r="AF617" s="163">
        <v>0</v>
      </c>
      <c r="AG617" s="163">
        <v>0</v>
      </c>
      <c r="AH617" s="163">
        <v>0</v>
      </c>
      <c r="AI617" s="163">
        <v>0</v>
      </c>
      <c r="AJ617" s="163">
        <v>0</v>
      </c>
      <c r="AK617" s="163">
        <v>0</v>
      </c>
      <c r="AL617" s="163">
        <v>0</v>
      </c>
      <c r="AM617" s="163">
        <v>0</v>
      </c>
      <c r="AN617" s="163">
        <v>0</v>
      </c>
      <c r="AO617" s="163">
        <v>0</v>
      </c>
      <c r="AP617" s="163">
        <v>0</v>
      </c>
    </row>
    <row r="618" spans="1:42" x14ac:dyDescent="0.2">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5"/>
    </row>
    <row r="619" spans="1:42" x14ac:dyDescent="0.2">
      <c r="A619" s="20" t="s">
        <v>297</v>
      </c>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5"/>
    </row>
    <row r="620" spans="1:42" x14ac:dyDescent="0.2">
      <c r="A620" s="4" t="s">
        <v>299</v>
      </c>
      <c r="B620" s="163">
        <v>0</v>
      </c>
      <c r="C620" s="163">
        <f>B623</f>
        <v>750000</v>
      </c>
      <c r="D620" s="163">
        <f t="shared" ref="D620:AP620" si="298">C623</f>
        <v>768749.99999999988</v>
      </c>
      <c r="E620" s="163">
        <f t="shared" si="298"/>
        <v>787968.74999999988</v>
      </c>
      <c r="F620" s="163">
        <f t="shared" si="298"/>
        <v>807667.96874999988</v>
      </c>
      <c r="G620" s="163">
        <f t="shared" si="298"/>
        <v>827859.66796874977</v>
      </c>
      <c r="H620" s="163">
        <f t="shared" si="298"/>
        <v>848556.1596679684</v>
      </c>
      <c r="I620" s="163">
        <f t="shared" si="298"/>
        <v>869770.06365966774</v>
      </c>
      <c r="J620" s="163">
        <f t="shared" si="298"/>
        <v>891514.31525115937</v>
      </c>
      <c r="K620" s="163">
        <f t="shared" si="298"/>
        <v>913802.17313243821</v>
      </c>
      <c r="L620" s="163">
        <f t="shared" si="298"/>
        <v>936647.2274607491</v>
      </c>
      <c r="M620" s="163">
        <f t="shared" si="298"/>
        <v>960063.40814726788</v>
      </c>
      <c r="N620" s="163">
        <f t="shared" si="298"/>
        <v>984064.99335094949</v>
      </c>
      <c r="O620" s="163">
        <f t="shared" si="298"/>
        <v>1008666.6181847232</v>
      </c>
      <c r="P620" s="163">
        <f t="shared" si="298"/>
        <v>1033883.2836393411</v>
      </c>
      <c r="Q620" s="163">
        <f t="shared" si="298"/>
        <v>1059730.3657303248</v>
      </c>
      <c r="R620" s="163">
        <f t="shared" si="298"/>
        <v>1086223.624873583</v>
      </c>
      <c r="S620" s="163">
        <f t="shared" si="298"/>
        <v>1113379.2154954222</v>
      </c>
      <c r="T620" s="163">
        <f t="shared" si="298"/>
        <v>1141213.6958828077</v>
      </c>
      <c r="U620" s="163">
        <f t="shared" si="298"/>
        <v>1169744.038279878</v>
      </c>
      <c r="V620" s="163">
        <f t="shared" si="298"/>
        <v>1198987.6392368749</v>
      </c>
      <c r="W620" s="163">
        <f t="shared" si="298"/>
        <v>1228962.3302177966</v>
      </c>
      <c r="X620" s="163">
        <f t="shared" si="298"/>
        <v>1259686.3884732414</v>
      </c>
      <c r="Y620" s="163">
        <f t="shared" si="298"/>
        <v>1291178.5481850724</v>
      </c>
      <c r="Z620" s="163">
        <f t="shared" si="298"/>
        <v>1323458.0118896994</v>
      </c>
      <c r="AA620" s="163">
        <f t="shared" si="298"/>
        <v>1356544.4621869416</v>
      </c>
      <c r="AB620" s="163">
        <f t="shared" si="298"/>
        <v>0</v>
      </c>
      <c r="AC620" s="163">
        <f t="shared" si="298"/>
        <v>0</v>
      </c>
      <c r="AD620" s="163">
        <f t="shared" si="298"/>
        <v>0</v>
      </c>
      <c r="AE620" s="163">
        <f t="shared" si="298"/>
        <v>0</v>
      </c>
      <c r="AF620" s="163">
        <f t="shared" si="298"/>
        <v>0</v>
      </c>
      <c r="AG620" s="163">
        <f t="shared" si="298"/>
        <v>0</v>
      </c>
      <c r="AH620" s="163">
        <f t="shared" si="298"/>
        <v>0</v>
      </c>
      <c r="AI620" s="163">
        <f t="shared" si="298"/>
        <v>0</v>
      </c>
      <c r="AJ620" s="163">
        <f t="shared" si="298"/>
        <v>0</v>
      </c>
      <c r="AK620" s="163">
        <f t="shared" si="298"/>
        <v>0</v>
      </c>
      <c r="AL620" s="163">
        <f t="shared" si="298"/>
        <v>0</v>
      </c>
      <c r="AM620" s="163">
        <f t="shared" si="298"/>
        <v>0</v>
      </c>
      <c r="AN620" s="163">
        <f t="shared" si="298"/>
        <v>0</v>
      </c>
      <c r="AO620" s="163">
        <f t="shared" si="298"/>
        <v>0</v>
      </c>
      <c r="AP620" s="163">
        <f t="shared" si="298"/>
        <v>0</v>
      </c>
    </row>
    <row r="621" spans="1:42" x14ac:dyDescent="0.2">
      <c r="A621" s="4" t="s">
        <v>24</v>
      </c>
      <c r="B621" s="163">
        <f t="shared" ref="B621:AP621" si="299">IF(B$2&lt;analysis_period,B623-B620,0)</f>
        <v>750000</v>
      </c>
      <c r="C621" s="163">
        <f t="shared" si="299"/>
        <v>18749.999999999884</v>
      </c>
      <c r="D621" s="163">
        <f t="shared" si="299"/>
        <v>19218.75</v>
      </c>
      <c r="E621" s="163">
        <f t="shared" si="299"/>
        <v>19699.21875</v>
      </c>
      <c r="F621" s="163">
        <f t="shared" si="299"/>
        <v>20191.699218749884</v>
      </c>
      <c r="G621" s="163">
        <f t="shared" si="299"/>
        <v>20696.491699218634</v>
      </c>
      <c r="H621" s="163">
        <f t="shared" si="299"/>
        <v>21213.903991699335</v>
      </c>
      <c r="I621" s="163">
        <f t="shared" si="299"/>
        <v>21744.251591491629</v>
      </c>
      <c r="J621" s="163">
        <f t="shared" si="299"/>
        <v>22287.857881278847</v>
      </c>
      <c r="K621" s="163">
        <f t="shared" si="299"/>
        <v>22845.054328310885</v>
      </c>
      <c r="L621" s="163">
        <f t="shared" si="299"/>
        <v>23416.180686518783</v>
      </c>
      <c r="M621" s="163">
        <f t="shared" si="299"/>
        <v>24001.585203681607</v>
      </c>
      <c r="N621" s="163">
        <f t="shared" si="299"/>
        <v>24601.624833773705</v>
      </c>
      <c r="O621" s="163">
        <f t="shared" si="299"/>
        <v>25216.665454617934</v>
      </c>
      <c r="P621" s="163">
        <f t="shared" si="299"/>
        <v>25847.082090983633</v>
      </c>
      <c r="Q621" s="163">
        <f t="shared" si="299"/>
        <v>26493.259143258212</v>
      </c>
      <c r="R621" s="163">
        <f t="shared" si="299"/>
        <v>27155.590621839277</v>
      </c>
      <c r="S621" s="163">
        <f t="shared" si="299"/>
        <v>27834.480387385469</v>
      </c>
      <c r="T621" s="163">
        <f t="shared" si="299"/>
        <v>28530.342397070257</v>
      </c>
      <c r="U621" s="163">
        <f t="shared" si="299"/>
        <v>29243.600956996903</v>
      </c>
      <c r="V621" s="163">
        <f t="shared" si="299"/>
        <v>29974.690980921732</v>
      </c>
      <c r="W621" s="163">
        <f t="shared" si="299"/>
        <v>30724.058255444746</v>
      </c>
      <c r="X621" s="163">
        <f t="shared" si="299"/>
        <v>31492.159711831016</v>
      </c>
      <c r="Y621" s="163">
        <f t="shared" si="299"/>
        <v>32279.463704627007</v>
      </c>
      <c r="Z621" s="163">
        <f t="shared" si="299"/>
        <v>33086.450297242263</v>
      </c>
      <c r="AA621" s="163">
        <f t="shared" si="299"/>
        <v>0</v>
      </c>
      <c r="AB621" s="163">
        <f t="shared" si="299"/>
        <v>0</v>
      </c>
      <c r="AC621" s="163">
        <f t="shared" si="299"/>
        <v>0</v>
      </c>
      <c r="AD621" s="163">
        <f t="shared" si="299"/>
        <v>0</v>
      </c>
      <c r="AE621" s="163">
        <f t="shared" si="299"/>
        <v>0</v>
      </c>
      <c r="AF621" s="163">
        <f t="shared" si="299"/>
        <v>0</v>
      </c>
      <c r="AG621" s="163">
        <f t="shared" si="299"/>
        <v>0</v>
      </c>
      <c r="AH621" s="163">
        <f t="shared" si="299"/>
        <v>0</v>
      </c>
      <c r="AI621" s="163">
        <f t="shared" si="299"/>
        <v>0</v>
      </c>
      <c r="AJ621" s="163">
        <f t="shared" si="299"/>
        <v>0</v>
      </c>
      <c r="AK621" s="163">
        <f t="shared" si="299"/>
        <v>0</v>
      </c>
      <c r="AL621" s="163">
        <f t="shared" si="299"/>
        <v>0</v>
      </c>
      <c r="AM621" s="163">
        <f t="shared" si="299"/>
        <v>0</v>
      </c>
      <c r="AN621" s="163">
        <f t="shared" si="299"/>
        <v>0</v>
      </c>
      <c r="AO621" s="163">
        <f t="shared" si="299"/>
        <v>0</v>
      </c>
      <c r="AP621" s="163">
        <f t="shared" si="299"/>
        <v>0</v>
      </c>
    </row>
    <row r="622" spans="1:42" x14ac:dyDescent="0.2">
      <c r="A622" s="4" t="s">
        <v>300</v>
      </c>
      <c r="B622" s="164">
        <v>0</v>
      </c>
      <c r="C622" s="164">
        <f t="shared" ref="C622:AP622" si="300">IF(C$2=analysis_period,-C620,0)</f>
        <v>0</v>
      </c>
      <c r="D622" s="164">
        <f t="shared" si="300"/>
        <v>0</v>
      </c>
      <c r="E622" s="164">
        <f t="shared" si="300"/>
        <v>0</v>
      </c>
      <c r="F622" s="164">
        <f t="shared" si="300"/>
        <v>0</v>
      </c>
      <c r="G622" s="164">
        <f t="shared" si="300"/>
        <v>0</v>
      </c>
      <c r="H622" s="164">
        <f t="shared" si="300"/>
        <v>0</v>
      </c>
      <c r="I622" s="164">
        <f t="shared" si="300"/>
        <v>0</v>
      </c>
      <c r="J622" s="164">
        <f t="shared" si="300"/>
        <v>0</v>
      </c>
      <c r="K622" s="164">
        <f t="shared" si="300"/>
        <v>0</v>
      </c>
      <c r="L622" s="164">
        <f t="shared" si="300"/>
        <v>0</v>
      </c>
      <c r="M622" s="164">
        <f t="shared" si="300"/>
        <v>0</v>
      </c>
      <c r="N622" s="164">
        <f t="shared" si="300"/>
        <v>0</v>
      </c>
      <c r="O622" s="164">
        <f t="shared" si="300"/>
        <v>0</v>
      </c>
      <c r="P622" s="164">
        <f t="shared" si="300"/>
        <v>0</v>
      </c>
      <c r="Q622" s="164">
        <f t="shared" si="300"/>
        <v>0</v>
      </c>
      <c r="R622" s="164">
        <f t="shared" si="300"/>
        <v>0</v>
      </c>
      <c r="S622" s="164">
        <f t="shared" si="300"/>
        <v>0</v>
      </c>
      <c r="T622" s="164">
        <f t="shared" si="300"/>
        <v>0</v>
      </c>
      <c r="U622" s="164">
        <f t="shared" si="300"/>
        <v>0</v>
      </c>
      <c r="V622" s="164">
        <f t="shared" si="300"/>
        <v>0</v>
      </c>
      <c r="W622" s="164">
        <f t="shared" si="300"/>
        <v>0</v>
      </c>
      <c r="X622" s="164">
        <f t="shared" si="300"/>
        <v>0</v>
      </c>
      <c r="Y622" s="164">
        <f t="shared" si="300"/>
        <v>0</v>
      </c>
      <c r="Z622" s="164">
        <f t="shared" si="300"/>
        <v>0</v>
      </c>
      <c r="AA622" s="164">
        <f t="shared" si="300"/>
        <v>-1356544.4621869416</v>
      </c>
      <c r="AB622" s="164">
        <f t="shared" si="300"/>
        <v>0</v>
      </c>
      <c r="AC622" s="164">
        <f t="shared" si="300"/>
        <v>0</v>
      </c>
      <c r="AD622" s="164">
        <f t="shared" si="300"/>
        <v>0</v>
      </c>
      <c r="AE622" s="164">
        <f t="shared" si="300"/>
        <v>0</v>
      </c>
      <c r="AF622" s="164">
        <f t="shared" si="300"/>
        <v>0</v>
      </c>
      <c r="AG622" s="164">
        <f t="shared" si="300"/>
        <v>0</v>
      </c>
      <c r="AH622" s="164">
        <f t="shared" si="300"/>
        <v>0</v>
      </c>
      <c r="AI622" s="164">
        <f t="shared" si="300"/>
        <v>0</v>
      </c>
      <c r="AJ622" s="164">
        <f t="shared" si="300"/>
        <v>0</v>
      </c>
      <c r="AK622" s="164">
        <f t="shared" si="300"/>
        <v>0</v>
      </c>
      <c r="AL622" s="164">
        <f t="shared" si="300"/>
        <v>0</v>
      </c>
      <c r="AM622" s="164">
        <f t="shared" si="300"/>
        <v>0</v>
      </c>
      <c r="AN622" s="164">
        <f t="shared" si="300"/>
        <v>0</v>
      </c>
      <c r="AO622" s="164">
        <f t="shared" si="300"/>
        <v>0</v>
      </c>
      <c r="AP622" s="164">
        <f t="shared" si="300"/>
        <v>0</v>
      </c>
    </row>
    <row r="623" spans="1:42" x14ac:dyDescent="0.2">
      <c r="A623" s="4" t="s">
        <v>262</v>
      </c>
      <c r="B623" s="163">
        <f t="shared" ref="B623:AP623" si="301">C$62*(months_working_reserve/12)</f>
        <v>750000</v>
      </c>
      <c r="C623" s="163">
        <f t="shared" si="301"/>
        <v>768749.99999999988</v>
      </c>
      <c r="D623" s="163">
        <f t="shared" si="301"/>
        <v>787968.74999999988</v>
      </c>
      <c r="E623" s="163">
        <f t="shared" si="301"/>
        <v>807667.96874999988</v>
      </c>
      <c r="F623" s="163">
        <f t="shared" si="301"/>
        <v>827859.66796874977</v>
      </c>
      <c r="G623" s="163">
        <f t="shared" si="301"/>
        <v>848556.1596679684</v>
      </c>
      <c r="H623" s="163">
        <f t="shared" si="301"/>
        <v>869770.06365966774</v>
      </c>
      <c r="I623" s="163">
        <f t="shared" si="301"/>
        <v>891514.31525115937</v>
      </c>
      <c r="J623" s="163">
        <f t="shared" si="301"/>
        <v>913802.17313243821</v>
      </c>
      <c r="K623" s="163">
        <f t="shared" si="301"/>
        <v>936647.2274607491</v>
      </c>
      <c r="L623" s="163">
        <f t="shared" si="301"/>
        <v>960063.40814726788</v>
      </c>
      <c r="M623" s="163">
        <f t="shared" si="301"/>
        <v>984064.99335094949</v>
      </c>
      <c r="N623" s="163">
        <f t="shared" si="301"/>
        <v>1008666.6181847232</v>
      </c>
      <c r="O623" s="163">
        <f t="shared" si="301"/>
        <v>1033883.2836393411</v>
      </c>
      <c r="P623" s="163">
        <f t="shared" si="301"/>
        <v>1059730.3657303248</v>
      </c>
      <c r="Q623" s="163">
        <f t="shared" si="301"/>
        <v>1086223.624873583</v>
      </c>
      <c r="R623" s="163">
        <f t="shared" si="301"/>
        <v>1113379.2154954222</v>
      </c>
      <c r="S623" s="163">
        <f t="shared" si="301"/>
        <v>1141213.6958828077</v>
      </c>
      <c r="T623" s="163">
        <f t="shared" si="301"/>
        <v>1169744.038279878</v>
      </c>
      <c r="U623" s="163">
        <f t="shared" si="301"/>
        <v>1198987.6392368749</v>
      </c>
      <c r="V623" s="163">
        <f t="shared" si="301"/>
        <v>1228962.3302177966</v>
      </c>
      <c r="W623" s="163">
        <f t="shared" si="301"/>
        <v>1259686.3884732414</v>
      </c>
      <c r="X623" s="163">
        <f t="shared" si="301"/>
        <v>1291178.5481850724</v>
      </c>
      <c r="Y623" s="163">
        <f t="shared" si="301"/>
        <v>1323458.0118896994</v>
      </c>
      <c r="Z623" s="163">
        <f t="shared" si="301"/>
        <v>1356544.4621869416</v>
      </c>
      <c r="AA623" s="163">
        <f t="shared" si="301"/>
        <v>0</v>
      </c>
      <c r="AB623" s="163">
        <f t="shared" si="301"/>
        <v>0</v>
      </c>
      <c r="AC623" s="163">
        <f t="shared" si="301"/>
        <v>0</v>
      </c>
      <c r="AD623" s="163">
        <f t="shared" si="301"/>
        <v>0</v>
      </c>
      <c r="AE623" s="163">
        <f t="shared" si="301"/>
        <v>0</v>
      </c>
      <c r="AF623" s="163">
        <f t="shared" si="301"/>
        <v>0</v>
      </c>
      <c r="AG623" s="163">
        <f t="shared" si="301"/>
        <v>0</v>
      </c>
      <c r="AH623" s="163">
        <f t="shared" si="301"/>
        <v>0</v>
      </c>
      <c r="AI623" s="163">
        <f t="shared" si="301"/>
        <v>0</v>
      </c>
      <c r="AJ623" s="163">
        <f t="shared" si="301"/>
        <v>0</v>
      </c>
      <c r="AK623" s="163">
        <f t="shared" si="301"/>
        <v>0</v>
      </c>
      <c r="AL623" s="163">
        <f t="shared" si="301"/>
        <v>0</v>
      </c>
      <c r="AM623" s="163">
        <f t="shared" si="301"/>
        <v>0</v>
      </c>
      <c r="AN623" s="163">
        <f t="shared" si="301"/>
        <v>0</v>
      </c>
      <c r="AO623" s="163">
        <f t="shared" si="301"/>
        <v>0</v>
      </c>
      <c r="AP623" s="163">
        <f t="shared" si="301"/>
        <v>0</v>
      </c>
    </row>
    <row r="624" spans="1:42" x14ac:dyDescent="0.2">
      <c r="B624" s="163"/>
      <c r="C624" s="163"/>
      <c r="D624" s="163"/>
      <c r="E624" s="163"/>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row>
    <row r="625" spans="1:42" x14ac:dyDescent="0.2">
      <c r="A625" s="20" t="s">
        <v>309</v>
      </c>
      <c r="B625" s="163"/>
      <c r="C625" s="163"/>
      <c r="D625" s="163"/>
      <c r="E625" s="163"/>
      <c r="F625" s="163"/>
      <c r="G625" s="163"/>
      <c r="H625" s="163"/>
      <c r="I625" s="163"/>
      <c r="J625" s="163"/>
      <c r="K625" s="163"/>
      <c r="L625" s="163"/>
      <c r="M625" s="163"/>
      <c r="N625" s="163"/>
      <c r="O625" s="163"/>
      <c r="P625" s="163"/>
      <c r="Q625" s="163"/>
      <c r="R625" s="163"/>
      <c r="S625" s="163"/>
      <c r="T625" s="163"/>
      <c r="U625" s="163"/>
      <c r="V625" s="163"/>
      <c r="W625" s="163"/>
      <c r="X625" s="163"/>
      <c r="Y625" s="163"/>
      <c r="Z625" s="163"/>
      <c r="AA625" s="163"/>
      <c r="AB625" s="163"/>
      <c r="AC625" s="163"/>
      <c r="AD625" s="163"/>
      <c r="AE625" s="163"/>
      <c r="AF625" s="163"/>
      <c r="AG625" s="163"/>
      <c r="AH625" s="163"/>
      <c r="AI625" s="163"/>
      <c r="AJ625" s="163"/>
      <c r="AK625" s="163"/>
      <c r="AL625" s="163"/>
      <c r="AM625" s="163"/>
      <c r="AN625" s="163"/>
      <c r="AO625" s="163"/>
      <c r="AP625" s="163"/>
    </row>
    <row r="626" spans="1:42" x14ac:dyDescent="0.2">
      <c r="A626" s="4" t="s">
        <v>299</v>
      </c>
      <c r="B626" s="163">
        <v>0</v>
      </c>
      <c r="C626" s="163">
        <f>B629</f>
        <v>0</v>
      </c>
      <c r="D626" s="163">
        <f t="shared" ref="D626" si="302">C629</f>
        <v>0</v>
      </c>
      <c r="E626" s="163">
        <f t="shared" ref="E626" si="303">D629</f>
        <v>0</v>
      </c>
      <c r="F626" s="163">
        <f t="shared" ref="F626" si="304">E629</f>
        <v>0</v>
      </c>
      <c r="G626" s="163">
        <f t="shared" ref="G626" si="305">F629</f>
        <v>0</v>
      </c>
      <c r="H626" s="163">
        <f t="shared" ref="H626" si="306">G629</f>
        <v>0</v>
      </c>
      <c r="I626" s="163">
        <f t="shared" ref="I626" si="307">H629</f>
        <v>0</v>
      </c>
      <c r="J626" s="163">
        <f t="shared" ref="J626" si="308">I629</f>
        <v>0</v>
      </c>
      <c r="K626" s="163">
        <f t="shared" ref="K626" si="309">J629</f>
        <v>0</v>
      </c>
      <c r="L626" s="163">
        <f t="shared" ref="L626" si="310">K629</f>
        <v>0</v>
      </c>
      <c r="M626" s="163">
        <f t="shared" ref="M626" si="311">L629</f>
        <v>0</v>
      </c>
      <c r="N626" s="163">
        <f t="shared" ref="N626" si="312">M629</f>
        <v>0</v>
      </c>
      <c r="O626" s="163">
        <f t="shared" ref="O626" si="313">N629</f>
        <v>0</v>
      </c>
      <c r="P626" s="163">
        <f t="shared" ref="P626" si="314">O629</f>
        <v>0</v>
      </c>
      <c r="Q626" s="163">
        <f t="shared" ref="Q626" si="315">P629</f>
        <v>0</v>
      </c>
      <c r="R626" s="163">
        <f t="shared" ref="R626" si="316">Q629</f>
        <v>0</v>
      </c>
      <c r="S626" s="163">
        <f t="shared" ref="S626" si="317">R629</f>
        <v>0</v>
      </c>
      <c r="T626" s="163">
        <f t="shared" ref="T626" si="318">S629</f>
        <v>0</v>
      </c>
      <c r="U626" s="163">
        <f t="shared" ref="U626" si="319">T629</f>
        <v>0</v>
      </c>
      <c r="V626" s="163">
        <f t="shared" ref="V626" si="320">U629</f>
        <v>0</v>
      </c>
      <c r="W626" s="163">
        <f t="shared" ref="W626" si="321">V629</f>
        <v>0</v>
      </c>
      <c r="X626" s="163">
        <f t="shared" ref="X626" si="322">W629</f>
        <v>0</v>
      </c>
      <c r="Y626" s="163">
        <f t="shared" ref="Y626" si="323">X629</f>
        <v>0</v>
      </c>
      <c r="Z626" s="163">
        <f t="shared" ref="Z626" si="324">Y629</f>
        <v>0</v>
      </c>
      <c r="AA626" s="163">
        <f t="shared" ref="AA626" si="325">Z629</f>
        <v>0</v>
      </c>
      <c r="AB626" s="163">
        <f t="shared" ref="AB626" si="326">AA629</f>
        <v>0</v>
      </c>
      <c r="AC626" s="163">
        <f t="shared" ref="AC626" si="327">AB629</f>
        <v>0</v>
      </c>
      <c r="AD626" s="163">
        <f t="shared" ref="AD626" si="328">AC629</f>
        <v>0</v>
      </c>
      <c r="AE626" s="163">
        <f t="shared" ref="AE626" si="329">AD629</f>
        <v>0</v>
      </c>
      <c r="AF626" s="163">
        <f t="shared" ref="AF626" si="330">AE629</f>
        <v>0</v>
      </c>
      <c r="AG626" s="163">
        <f t="shared" ref="AG626" si="331">AF629</f>
        <v>0</v>
      </c>
      <c r="AH626" s="163">
        <f t="shared" ref="AH626" si="332">AG629</f>
        <v>0</v>
      </c>
      <c r="AI626" s="163">
        <f t="shared" ref="AI626" si="333">AH629</f>
        <v>0</v>
      </c>
      <c r="AJ626" s="163">
        <f t="shared" ref="AJ626" si="334">AI629</f>
        <v>0</v>
      </c>
      <c r="AK626" s="163">
        <f t="shared" ref="AK626" si="335">AJ629</f>
        <v>0</v>
      </c>
      <c r="AL626" s="163">
        <f t="shared" ref="AL626" si="336">AK629</f>
        <v>0</v>
      </c>
      <c r="AM626" s="163">
        <f t="shared" ref="AM626" si="337">AL629</f>
        <v>0</v>
      </c>
      <c r="AN626" s="163">
        <f t="shared" ref="AN626" si="338">AM629</f>
        <v>0</v>
      </c>
      <c r="AO626" s="163">
        <f t="shared" ref="AO626" si="339">AN629</f>
        <v>0</v>
      </c>
      <c r="AP626" s="163">
        <f t="shared" ref="AP626" si="340">AO629</f>
        <v>0</v>
      </c>
    </row>
    <row r="627" spans="1:42" x14ac:dyDescent="0.2">
      <c r="A627" s="4" t="s">
        <v>24</v>
      </c>
      <c r="B627" s="163">
        <f t="shared" ref="B627:AP627" si="341">IF(B$2&lt;analysis_period,B629-B626,0)</f>
        <v>0</v>
      </c>
      <c r="C627" s="163">
        <f t="shared" si="341"/>
        <v>0</v>
      </c>
      <c r="D627" s="163">
        <f t="shared" si="341"/>
        <v>0</v>
      </c>
      <c r="E627" s="163">
        <f t="shared" si="341"/>
        <v>0</v>
      </c>
      <c r="F627" s="163">
        <f t="shared" si="341"/>
        <v>0</v>
      </c>
      <c r="G627" s="163">
        <f t="shared" si="341"/>
        <v>0</v>
      </c>
      <c r="H627" s="163">
        <f t="shared" si="341"/>
        <v>0</v>
      </c>
      <c r="I627" s="163">
        <f t="shared" si="341"/>
        <v>0</v>
      </c>
      <c r="J627" s="163">
        <f t="shared" si="341"/>
        <v>0</v>
      </c>
      <c r="K627" s="163">
        <f t="shared" si="341"/>
        <v>0</v>
      </c>
      <c r="L627" s="163">
        <f t="shared" si="341"/>
        <v>0</v>
      </c>
      <c r="M627" s="163">
        <f t="shared" si="341"/>
        <v>0</v>
      </c>
      <c r="N627" s="163">
        <f t="shared" si="341"/>
        <v>0</v>
      </c>
      <c r="O627" s="163">
        <f t="shared" si="341"/>
        <v>0</v>
      </c>
      <c r="P627" s="163">
        <f t="shared" si="341"/>
        <v>0</v>
      </c>
      <c r="Q627" s="163">
        <f t="shared" si="341"/>
        <v>0</v>
      </c>
      <c r="R627" s="163">
        <f t="shared" si="341"/>
        <v>0</v>
      </c>
      <c r="S627" s="163">
        <f t="shared" si="341"/>
        <v>0</v>
      </c>
      <c r="T627" s="163">
        <f t="shared" si="341"/>
        <v>0</v>
      </c>
      <c r="U627" s="163">
        <f t="shared" si="341"/>
        <v>0</v>
      </c>
      <c r="V627" s="163">
        <f t="shared" si="341"/>
        <v>0</v>
      </c>
      <c r="W627" s="163">
        <f t="shared" si="341"/>
        <v>0</v>
      </c>
      <c r="X627" s="163">
        <f t="shared" si="341"/>
        <v>0</v>
      </c>
      <c r="Y627" s="163">
        <f t="shared" si="341"/>
        <v>0</v>
      </c>
      <c r="Z627" s="163">
        <f t="shared" si="341"/>
        <v>0</v>
      </c>
      <c r="AA627" s="163">
        <f t="shared" si="341"/>
        <v>0</v>
      </c>
      <c r="AB627" s="163">
        <f t="shared" si="341"/>
        <v>0</v>
      </c>
      <c r="AC627" s="163">
        <f t="shared" si="341"/>
        <v>0</v>
      </c>
      <c r="AD627" s="163">
        <f t="shared" si="341"/>
        <v>0</v>
      </c>
      <c r="AE627" s="163">
        <f t="shared" si="341"/>
        <v>0</v>
      </c>
      <c r="AF627" s="163">
        <f t="shared" si="341"/>
        <v>0</v>
      </c>
      <c r="AG627" s="163">
        <f t="shared" si="341"/>
        <v>0</v>
      </c>
      <c r="AH627" s="163">
        <f t="shared" si="341"/>
        <v>0</v>
      </c>
      <c r="AI627" s="163">
        <f t="shared" si="341"/>
        <v>0</v>
      </c>
      <c r="AJ627" s="163">
        <f t="shared" si="341"/>
        <v>0</v>
      </c>
      <c r="AK627" s="163">
        <f t="shared" si="341"/>
        <v>0</v>
      </c>
      <c r="AL627" s="163">
        <f t="shared" si="341"/>
        <v>0</v>
      </c>
      <c r="AM627" s="163">
        <f t="shared" si="341"/>
        <v>0</v>
      </c>
      <c r="AN627" s="163">
        <f t="shared" si="341"/>
        <v>0</v>
      </c>
      <c r="AO627" s="163">
        <f t="shared" si="341"/>
        <v>0</v>
      </c>
      <c r="AP627" s="163">
        <f t="shared" si="341"/>
        <v>0</v>
      </c>
    </row>
    <row r="628" spans="1:42" x14ac:dyDescent="0.2">
      <c r="A628" s="4" t="s">
        <v>300</v>
      </c>
      <c r="B628" s="164">
        <v>0</v>
      </c>
      <c r="C628" s="164">
        <f t="shared" ref="C628:AP628" si="342">IF(C$2=analysis_period,-C626,0)</f>
        <v>0</v>
      </c>
      <c r="D628" s="164">
        <f t="shared" si="342"/>
        <v>0</v>
      </c>
      <c r="E628" s="164">
        <f t="shared" si="342"/>
        <v>0</v>
      </c>
      <c r="F628" s="164">
        <f t="shared" si="342"/>
        <v>0</v>
      </c>
      <c r="G628" s="164">
        <f t="shared" si="342"/>
        <v>0</v>
      </c>
      <c r="H628" s="164">
        <f t="shared" si="342"/>
        <v>0</v>
      </c>
      <c r="I628" s="164">
        <f t="shared" si="342"/>
        <v>0</v>
      </c>
      <c r="J628" s="164">
        <f t="shared" si="342"/>
        <v>0</v>
      </c>
      <c r="K628" s="164">
        <f t="shared" si="342"/>
        <v>0</v>
      </c>
      <c r="L628" s="164">
        <f t="shared" si="342"/>
        <v>0</v>
      </c>
      <c r="M628" s="164">
        <f t="shared" si="342"/>
        <v>0</v>
      </c>
      <c r="N628" s="164">
        <f t="shared" si="342"/>
        <v>0</v>
      </c>
      <c r="O628" s="164">
        <f t="shared" si="342"/>
        <v>0</v>
      </c>
      <c r="P628" s="164">
        <f t="shared" si="342"/>
        <v>0</v>
      </c>
      <c r="Q628" s="164">
        <f t="shared" si="342"/>
        <v>0</v>
      </c>
      <c r="R628" s="164">
        <f t="shared" si="342"/>
        <v>0</v>
      </c>
      <c r="S628" s="164">
        <f t="shared" si="342"/>
        <v>0</v>
      </c>
      <c r="T628" s="164">
        <f t="shared" si="342"/>
        <v>0</v>
      </c>
      <c r="U628" s="164">
        <f t="shared" si="342"/>
        <v>0</v>
      </c>
      <c r="V628" s="164">
        <f t="shared" si="342"/>
        <v>0</v>
      </c>
      <c r="W628" s="164">
        <f t="shared" si="342"/>
        <v>0</v>
      </c>
      <c r="X628" s="164">
        <f t="shared" si="342"/>
        <v>0</v>
      </c>
      <c r="Y628" s="164">
        <f t="shared" si="342"/>
        <v>0</v>
      </c>
      <c r="Z628" s="164">
        <f t="shared" si="342"/>
        <v>0</v>
      </c>
      <c r="AA628" s="164">
        <f t="shared" si="342"/>
        <v>0</v>
      </c>
      <c r="AB628" s="164">
        <f t="shared" si="342"/>
        <v>0</v>
      </c>
      <c r="AC628" s="164">
        <f t="shared" si="342"/>
        <v>0</v>
      </c>
      <c r="AD628" s="164">
        <f t="shared" si="342"/>
        <v>0</v>
      </c>
      <c r="AE628" s="164">
        <f t="shared" si="342"/>
        <v>0</v>
      </c>
      <c r="AF628" s="164">
        <f t="shared" si="342"/>
        <v>0</v>
      </c>
      <c r="AG628" s="164">
        <f t="shared" si="342"/>
        <v>0</v>
      </c>
      <c r="AH628" s="164">
        <f t="shared" si="342"/>
        <v>0</v>
      </c>
      <c r="AI628" s="164">
        <f t="shared" si="342"/>
        <v>0</v>
      </c>
      <c r="AJ628" s="164">
        <f t="shared" si="342"/>
        <v>0</v>
      </c>
      <c r="AK628" s="164">
        <f t="shared" si="342"/>
        <v>0</v>
      </c>
      <c r="AL628" s="164">
        <f t="shared" si="342"/>
        <v>0</v>
      </c>
      <c r="AM628" s="164">
        <f t="shared" si="342"/>
        <v>0</v>
      </c>
      <c r="AN628" s="164">
        <f t="shared" si="342"/>
        <v>0</v>
      </c>
      <c r="AO628" s="164">
        <f t="shared" si="342"/>
        <v>0</v>
      </c>
      <c r="AP628" s="164">
        <f t="shared" si="342"/>
        <v>0</v>
      </c>
    </row>
    <row r="629" spans="1:42" x14ac:dyDescent="0.2">
      <c r="A629" s="4" t="s">
        <v>262</v>
      </c>
      <c r="B629" s="163">
        <f t="shared" ref="B629:AP629" si="343">(months_receivables_reserve/12)*(C$16+SUM(C18:C20))</f>
        <v>0</v>
      </c>
      <c r="C629" s="163">
        <f t="shared" si="343"/>
        <v>0</v>
      </c>
      <c r="D629" s="163">
        <f t="shared" si="343"/>
        <v>0</v>
      </c>
      <c r="E629" s="163">
        <f t="shared" si="343"/>
        <v>0</v>
      </c>
      <c r="F629" s="163">
        <f t="shared" si="343"/>
        <v>0</v>
      </c>
      <c r="G629" s="163">
        <f t="shared" si="343"/>
        <v>0</v>
      </c>
      <c r="H629" s="163">
        <f t="shared" si="343"/>
        <v>0</v>
      </c>
      <c r="I629" s="163">
        <f t="shared" si="343"/>
        <v>0</v>
      </c>
      <c r="J629" s="163">
        <f t="shared" si="343"/>
        <v>0</v>
      </c>
      <c r="K629" s="163">
        <f t="shared" si="343"/>
        <v>0</v>
      </c>
      <c r="L629" s="163">
        <f t="shared" si="343"/>
        <v>0</v>
      </c>
      <c r="M629" s="163">
        <f t="shared" si="343"/>
        <v>0</v>
      </c>
      <c r="N629" s="163">
        <f t="shared" si="343"/>
        <v>0</v>
      </c>
      <c r="O629" s="163">
        <f t="shared" si="343"/>
        <v>0</v>
      </c>
      <c r="P629" s="163">
        <f t="shared" si="343"/>
        <v>0</v>
      </c>
      <c r="Q629" s="163">
        <f t="shared" si="343"/>
        <v>0</v>
      </c>
      <c r="R629" s="163">
        <f t="shared" si="343"/>
        <v>0</v>
      </c>
      <c r="S629" s="163">
        <f t="shared" si="343"/>
        <v>0</v>
      </c>
      <c r="T629" s="163">
        <f t="shared" si="343"/>
        <v>0</v>
      </c>
      <c r="U629" s="163">
        <f t="shared" si="343"/>
        <v>0</v>
      </c>
      <c r="V629" s="163">
        <f t="shared" si="343"/>
        <v>0</v>
      </c>
      <c r="W629" s="163">
        <f t="shared" si="343"/>
        <v>0</v>
      </c>
      <c r="X629" s="163">
        <f t="shared" si="343"/>
        <v>0</v>
      </c>
      <c r="Y629" s="163">
        <f t="shared" si="343"/>
        <v>0</v>
      </c>
      <c r="Z629" s="163">
        <f t="shared" si="343"/>
        <v>0</v>
      </c>
      <c r="AA629" s="163">
        <f t="shared" si="343"/>
        <v>0</v>
      </c>
      <c r="AB629" s="163">
        <f t="shared" si="343"/>
        <v>0</v>
      </c>
      <c r="AC629" s="163">
        <f t="shared" si="343"/>
        <v>0</v>
      </c>
      <c r="AD629" s="163">
        <f t="shared" si="343"/>
        <v>0</v>
      </c>
      <c r="AE629" s="163">
        <f t="shared" si="343"/>
        <v>0</v>
      </c>
      <c r="AF629" s="163">
        <f t="shared" si="343"/>
        <v>0</v>
      </c>
      <c r="AG629" s="163">
        <f t="shared" si="343"/>
        <v>0</v>
      </c>
      <c r="AH629" s="163">
        <f t="shared" si="343"/>
        <v>0</v>
      </c>
      <c r="AI629" s="163">
        <f t="shared" si="343"/>
        <v>0</v>
      </c>
      <c r="AJ629" s="163">
        <f t="shared" si="343"/>
        <v>0</v>
      </c>
      <c r="AK629" s="163">
        <f t="shared" si="343"/>
        <v>0</v>
      </c>
      <c r="AL629" s="163">
        <f t="shared" si="343"/>
        <v>0</v>
      </c>
      <c r="AM629" s="163">
        <f t="shared" si="343"/>
        <v>0</v>
      </c>
      <c r="AN629" s="163">
        <f t="shared" si="343"/>
        <v>0</v>
      </c>
      <c r="AO629" s="163">
        <f t="shared" si="343"/>
        <v>0</v>
      </c>
      <c r="AP629" s="163">
        <f t="shared" si="343"/>
        <v>0</v>
      </c>
    </row>
    <row r="630" spans="1:42" x14ac:dyDescent="0.2">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row>
    <row r="631" spans="1:42" x14ac:dyDescent="0.2">
      <c r="A631" s="20" t="s">
        <v>301</v>
      </c>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row>
    <row r="632" spans="1:42" x14ac:dyDescent="0.2">
      <c r="A632" s="4" t="s">
        <v>299</v>
      </c>
      <c r="B632" s="163">
        <v>0</v>
      </c>
      <c r="C632" s="163">
        <f>B635</f>
        <v>0</v>
      </c>
      <c r="D632" s="163">
        <f t="shared" ref="D632:AP632" si="344">C635</f>
        <v>941982.54731584399</v>
      </c>
      <c r="E632" s="163">
        <f t="shared" si="344"/>
        <v>1883965.094631688</v>
      </c>
      <c r="F632" s="163">
        <f t="shared" si="344"/>
        <v>2825947.6419475321</v>
      </c>
      <c r="G632" s="163">
        <f t="shared" si="344"/>
        <v>3767930.1892633759</v>
      </c>
      <c r="H632" s="163">
        <f t="shared" si="344"/>
        <v>4709912.7365792198</v>
      </c>
      <c r="I632" s="163">
        <f t="shared" si="344"/>
        <v>5651895.2838950641</v>
      </c>
      <c r="J632" s="163">
        <f t="shared" si="344"/>
        <v>6593877.8312109085</v>
      </c>
      <c r="K632" s="163">
        <f t="shared" si="344"/>
        <v>7535860.3785267528</v>
      </c>
      <c r="L632" s="163">
        <f t="shared" si="344"/>
        <v>8477842.9258425962</v>
      </c>
      <c r="M632" s="163">
        <f t="shared" si="344"/>
        <v>9419825.4731584396</v>
      </c>
      <c r="N632" s="163">
        <f t="shared" si="344"/>
        <v>10361808.020474283</v>
      </c>
      <c r="O632" s="163">
        <f t="shared" si="344"/>
        <v>11303790.567790126</v>
      </c>
      <c r="P632" s="163">
        <f t="shared" si="344"/>
        <v>12245773.11510597</v>
      </c>
      <c r="Q632" s="163">
        <f t="shared" si="344"/>
        <v>13187755.662421813</v>
      </c>
      <c r="R632" s="163">
        <f t="shared" si="344"/>
        <v>0</v>
      </c>
      <c r="S632" s="163">
        <f t="shared" si="344"/>
        <v>0</v>
      </c>
      <c r="T632" s="163">
        <f t="shared" si="344"/>
        <v>0</v>
      </c>
      <c r="U632" s="163">
        <f t="shared" si="344"/>
        <v>0</v>
      </c>
      <c r="V632" s="163">
        <f t="shared" si="344"/>
        <v>0</v>
      </c>
      <c r="W632" s="163">
        <f t="shared" si="344"/>
        <v>0</v>
      </c>
      <c r="X632" s="163">
        <f t="shared" si="344"/>
        <v>0</v>
      </c>
      <c r="Y632" s="163">
        <f t="shared" si="344"/>
        <v>0</v>
      </c>
      <c r="Z632" s="163">
        <f t="shared" si="344"/>
        <v>0</v>
      </c>
      <c r="AA632" s="163">
        <f t="shared" si="344"/>
        <v>0</v>
      </c>
      <c r="AB632" s="163">
        <f t="shared" si="344"/>
        <v>0</v>
      </c>
      <c r="AC632" s="163">
        <f t="shared" si="344"/>
        <v>0</v>
      </c>
      <c r="AD632" s="163">
        <f t="shared" si="344"/>
        <v>0</v>
      </c>
      <c r="AE632" s="163">
        <f t="shared" si="344"/>
        <v>0</v>
      </c>
      <c r="AF632" s="163">
        <f t="shared" si="344"/>
        <v>0</v>
      </c>
      <c r="AG632" s="163">
        <f t="shared" si="344"/>
        <v>0</v>
      </c>
      <c r="AH632" s="163">
        <f t="shared" si="344"/>
        <v>0</v>
      </c>
      <c r="AI632" s="163">
        <f t="shared" si="344"/>
        <v>0</v>
      </c>
      <c r="AJ632" s="163">
        <f t="shared" si="344"/>
        <v>0</v>
      </c>
      <c r="AK632" s="163">
        <f t="shared" si="344"/>
        <v>0</v>
      </c>
      <c r="AL632" s="163">
        <f t="shared" si="344"/>
        <v>0</v>
      </c>
      <c r="AM632" s="163">
        <f t="shared" si="344"/>
        <v>0</v>
      </c>
      <c r="AN632" s="163">
        <f t="shared" si="344"/>
        <v>0</v>
      </c>
      <c r="AO632" s="163">
        <f t="shared" si="344"/>
        <v>0</v>
      </c>
      <c r="AP632" s="163">
        <f t="shared" si="344"/>
        <v>0</v>
      </c>
    </row>
    <row r="633" spans="1:42" x14ac:dyDescent="0.2">
      <c r="A633" s="4" t="s">
        <v>73</v>
      </c>
      <c r="B633" s="163">
        <v>0</v>
      </c>
      <c r="C633" s="163">
        <f>C661</f>
        <v>941982.54731584399</v>
      </c>
      <c r="D633" s="163">
        <f t="shared" ref="D633:AP633" si="345">D661</f>
        <v>941982.54731584399</v>
      </c>
      <c r="E633" s="163">
        <f t="shared" si="345"/>
        <v>941982.54731584399</v>
      </c>
      <c r="F633" s="163">
        <f t="shared" si="345"/>
        <v>941982.54731584399</v>
      </c>
      <c r="G633" s="163">
        <f t="shared" si="345"/>
        <v>941982.54731584399</v>
      </c>
      <c r="H633" s="163">
        <f t="shared" si="345"/>
        <v>941982.54731584399</v>
      </c>
      <c r="I633" s="163">
        <f t="shared" si="345"/>
        <v>941982.54731584399</v>
      </c>
      <c r="J633" s="163">
        <f t="shared" si="345"/>
        <v>941982.54731584399</v>
      </c>
      <c r="K633" s="163">
        <f t="shared" si="345"/>
        <v>941982.54731584399</v>
      </c>
      <c r="L633" s="163">
        <f t="shared" si="345"/>
        <v>941982.54731584399</v>
      </c>
      <c r="M633" s="163">
        <f t="shared" si="345"/>
        <v>941982.54731584399</v>
      </c>
      <c r="N633" s="163">
        <f t="shared" si="345"/>
        <v>941982.54731584399</v>
      </c>
      <c r="O633" s="163">
        <f t="shared" si="345"/>
        <v>941982.54731584399</v>
      </c>
      <c r="P633" s="163">
        <f t="shared" si="345"/>
        <v>941982.54731584399</v>
      </c>
      <c r="Q633" s="163">
        <f t="shared" si="345"/>
        <v>941982.54731584399</v>
      </c>
      <c r="R633" s="163">
        <f t="shared" si="345"/>
        <v>0</v>
      </c>
      <c r="S633" s="163">
        <f t="shared" si="345"/>
        <v>0</v>
      </c>
      <c r="T633" s="163">
        <f t="shared" si="345"/>
        <v>0</v>
      </c>
      <c r="U633" s="163">
        <f t="shared" si="345"/>
        <v>0</v>
      </c>
      <c r="V633" s="163">
        <f t="shared" si="345"/>
        <v>0</v>
      </c>
      <c r="W633" s="163">
        <f t="shared" si="345"/>
        <v>0</v>
      </c>
      <c r="X633" s="163">
        <f t="shared" si="345"/>
        <v>0</v>
      </c>
      <c r="Y633" s="163">
        <f t="shared" si="345"/>
        <v>0</v>
      </c>
      <c r="Z633" s="163">
        <f t="shared" si="345"/>
        <v>0</v>
      </c>
      <c r="AA633" s="163">
        <f t="shared" si="345"/>
        <v>0</v>
      </c>
      <c r="AB633" s="163">
        <f t="shared" si="345"/>
        <v>0</v>
      </c>
      <c r="AC633" s="163">
        <f t="shared" si="345"/>
        <v>0</v>
      </c>
      <c r="AD633" s="163">
        <f t="shared" si="345"/>
        <v>0</v>
      </c>
      <c r="AE633" s="163">
        <f t="shared" si="345"/>
        <v>0</v>
      </c>
      <c r="AF633" s="163">
        <f t="shared" si="345"/>
        <v>0</v>
      </c>
      <c r="AG633" s="163">
        <f t="shared" si="345"/>
        <v>0</v>
      </c>
      <c r="AH633" s="163">
        <f t="shared" si="345"/>
        <v>0</v>
      </c>
      <c r="AI633" s="163">
        <f t="shared" si="345"/>
        <v>0</v>
      </c>
      <c r="AJ633" s="163">
        <f t="shared" si="345"/>
        <v>0</v>
      </c>
      <c r="AK633" s="163">
        <f t="shared" si="345"/>
        <v>0</v>
      </c>
      <c r="AL633" s="163">
        <f t="shared" si="345"/>
        <v>0</v>
      </c>
      <c r="AM633" s="163">
        <f t="shared" si="345"/>
        <v>0</v>
      </c>
      <c r="AN633" s="163">
        <f t="shared" si="345"/>
        <v>0</v>
      </c>
      <c r="AO633" s="163">
        <f t="shared" si="345"/>
        <v>0</v>
      </c>
      <c r="AP633" s="163">
        <f t="shared" si="345"/>
        <v>0</v>
      </c>
    </row>
    <row r="634" spans="1:42" x14ac:dyDescent="0.2">
      <c r="A634" s="4" t="s">
        <v>300</v>
      </c>
      <c r="B634" s="164">
        <v>0</v>
      </c>
      <c r="C634" s="164">
        <f>-C649</f>
        <v>0</v>
      </c>
      <c r="D634" s="164">
        <f t="shared" ref="D634:AP634" si="346">-D649</f>
        <v>0</v>
      </c>
      <c r="E634" s="164">
        <f t="shared" si="346"/>
        <v>0</v>
      </c>
      <c r="F634" s="164">
        <f t="shared" si="346"/>
        <v>0</v>
      </c>
      <c r="G634" s="164">
        <f t="shared" si="346"/>
        <v>0</v>
      </c>
      <c r="H634" s="164">
        <f t="shared" si="346"/>
        <v>0</v>
      </c>
      <c r="I634" s="164">
        <f t="shared" si="346"/>
        <v>0</v>
      </c>
      <c r="J634" s="164">
        <f t="shared" si="346"/>
        <v>0</v>
      </c>
      <c r="K634" s="164">
        <f t="shared" si="346"/>
        <v>0</v>
      </c>
      <c r="L634" s="164">
        <f t="shared" si="346"/>
        <v>0</v>
      </c>
      <c r="M634" s="164">
        <f t="shared" si="346"/>
        <v>0</v>
      </c>
      <c r="N634" s="164">
        <f t="shared" si="346"/>
        <v>0</v>
      </c>
      <c r="O634" s="164">
        <f t="shared" si="346"/>
        <v>0</v>
      </c>
      <c r="P634" s="164">
        <f t="shared" si="346"/>
        <v>0</v>
      </c>
      <c r="Q634" s="164">
        <f t="shared" si="346"/>
        <v>-14129738.20973766</v>
      </c>
      <c r="R634" s="164">
        <f t="shared" si="346"/>
        <v>0</v>
      </c>
      <c r="S634" s="164">
        <f t="shared" si="346"/>
        <v>0</v>
      </c>
      <c r="T634" s="164">
        <f t="shared" si="346"/>
        <v>0</v>
      </c>
      <c r="U634" s="164">
        <f t="shared" si="346"/>
        <v>0</v>
      </c>
      <c r="V634" s="164">
        <f t="shared" si="346"/>
        <v>0</v>
      </c>
      <c r="W634" s="164">
        <f t="shared" si="346"/>
        <v>0</v>
      </c>
      <c r="X634" s="164">
        <f t="shared" si="346"/>
        <v>0</v>
      </c>
      <c r="Y634" s="164">
        <f t="shared" si="346"/>
        <v>0</v>
      </c>
      <c r="Z634" s="164">
        <f t="shared" si="346"/>
        <v>0</v>
      </c>
      <c r="AA634" s="164">
        <f t="shared" si="346"/>
        <v>0</v>
      </c>
      <c r="AB634" s="164">
        <f t="shared" si="346"/>
        <v>0</v>
      </c>
      <c r="AC634" s="164">
        <f t="shared" si="346"/>
        <v>0</v>
      </c>
      <c r="AD634" s="164">
        <f t="shared" si="346"/>
        <v>0</v>
      </c>
      <c r="AE634" s="164">
        <f t="shared" si="346"/>
        <v>0</v>
      </c>
      <c r="AF634" s="164">
        <f t="shared" si="346"/>
        <v>0</v>
      </c>
      <c r="AG634" s="164">
        <f t="shared" si="346"/>
        <v>0</v>
      </c>
      <c r="AH634" s="164">
        <f t="shared" si="346"/>
        <v>0</v>
      </c>
      <c r="AI634" s="164">
        <f t="shared" si="346"/>
        <v>0</v>
      </c>
      <c r="AJ634" s="164">
        <f t="shared" si="346"/>
        <v>0</v>
      </c>
      <c r="AK634" s="164">
        <f t="shared" si="346"/>
        <v>0</v>
      </c>
      <c r="AL634" s="164">
        <f t="shared" si="346"/>
        <v>0</v>
      </c>
      <c r="AM634" s="164">
        <f t="shared" si="346"/>
        <v>0</v>
      </c>
      <c r="AN634" s="164">
        <f t="shared" si="346"/>
        <v>0</v>
      </c>
      <c r="AO634" s="164">
        <f t="shared" si="346"/>
        <v>0</v>
      </c>
      <c r="AP634" s="164">
        <f t="shared" si="346"/>
        <v>0</v>
      </c>
    </row>
    <row r="635" spans="1:42" x14ac:dyDescent="0.2">
      <c r="A635" s="4" t="s">
        <v>262</v>
      </c>
      <c r="B635" s="163">
        <f>SUM(B632:B634)</f>
        <v>0</v>
      </c>
      <c r="C635" s="163">
        <f>SUM(C632:C634)</f>
        <v>941982.54731584399</v>
      </c>
      <c r="D635" s="163">
        <f t="shared" ref="D635:AP635" si="347">SUM(D632:D634)</f>
        <v>1883965.094631688</v>
      </c>
      <c r="E635" s="163">
        <f t="shared" si="347"/>
        <v>2825947.6419475321</v>
      </c>
      <c r="F635" s="163">
        <f t="shared" si="347"/>
        <v>3767930.1892633759</v>
      </c>
      <c r="G635" s="163">
        <f t="shared" si="347"/>
        <v>4709912.7365792198</v>
      </c>
      <c r="H635" s="163">
        <f t="shared" si="347"/>
        <v>5651895.2838950641</v>
      </c>
      <c r="I635" s="163">
        <f t="shared" si="347"/>
        <v>6593877.8312109085</v>
      </c>
      <c r="J635" s="163">
        <f t="shared" si="347"/>
        <v>7535860.3785267528</v>
      </c>
      <c r="K635" s="163">
        <f t="shared" si="347"/>
        <v>8477842.9258425962</v>
      </c>
      <c r="L635" s="163">
        <f t="shared" si="347"/>
        <v>9419825.4731584396</v>
      </c>
      <c r="M635" s="163">
        <f t="shared" si="347"/>
        <v>10361808.020474283</v>
      </c>
      <c r="N635" s="163">
        <f t="shared" si="347"/>
        <v>11303790.567790126</v>
      </c>
      <c r="O635" s="163">
        <f t="shared" si="347"/>
        <v>12245773.11510597</v>
      </c>
      <c r="P635" s="163">
        <f t="shared" si="347"/>
        <v>13187755.662421813</v>
      </c>
      <c r="Q635" s="163">
        <f t="shared" si="347"/>
        <v>0</v>
      </c>
      <c r="R635" s="163">
        <f t="shared" si="347"/>
        <v>0</v>
      </c>
      <c r="S635" s="163">
        <f t="shared" si="347"/>
        <v>0</v>
      </c>
      <c r="T635" s="163">
        <f t="shared" si="347"/>
        <v>0</v>
      </c>
      <c r="U635" s="163">
        <f t="shared" si="347"/>
        <v>0</v>
      </c>
      <c r="V635" s="163">
        <f t="shared" si="347"/>
        <v>0</v>
      </c>
      <c r="W635" s="163">
        <f t="shared" si="347"/>
        <v>0</v>
      </c>
      <c r="X635" s="163">
        <f t="shared" si="347"/>
        <v>0</v>
      </c>
      <c r="Y635" s="163">
        <f t="shared" si="347"/>
        <v>0</v>
      </c>
      <c r="Z635" s="163">
        <f t="shared" si="347"/>
        <v>0</v>
      </c>
      <c r="AA635" s="163">
        <f t="shared" si="347"/>
        <v>0</v>
      </c>
      <c r="AB635" s="163">
        <f t="shared" si="347"/>
        <v>0</v>
      </c>
      <c r="AC635" s="163">
        <f t="shared" si="347"/>
        <v>0</v>
      </c>
      <c r="AD635" s="163">
        <f t="shared" si="347"/>
        <v>0</v>
      </c>
      <c r="AE635" s="163">
        <f t="shared" si="347"/>
        <v>0</v>
      </c>
      <c r="AF635" s="163">
        <f t="shared" si="347"/>
        <v>0</v>
      </c>
      <c r="AG635" s="163">
        <f t="shared" si="347"/>
        <v>0</v>
      </c>
      <c r="AH635" s="163">
        <f t="shared" si="347"/>
        <v>0</v>
      </c>
      <c r="AI635" s="163">
        <f t="shared" si="347"/>
        <v>0</v>
      </c>
      <c r="AJ635" s="163">
        <f t="shared" si="347"/>
        <v>0</v>
      </c>
      <c r="AK635" s="163">
        <f t="shared" si="347"/>
        <v>0</v>
      </c>
      <c r="AL635" s="163">
        <f t="shared" si="347"/>
        <v>0</v>
      </c>
      <c r="AM635" s="163">
        <f t="shared" si="347"/>
        <v>0</v>
      </c>
      <c r="AN635" s="163">
        <f t="shared" si="347"/>
        <v>0</v>
      </c>
      <c r="AO635" s="163">
        <f t="shared" si="347"/>
        <v>0</v>
      </c>
      <c r="AP635" s="163">
        <f t="shared" si="347"/>
        <v>0</v>
      </c>
    </row>
    <row r="636" spans="1:42" x14ac:dyDescent="0.2">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5"/>
    </row>
    <row r="637" spans="1:42" x14ac:dyDescent="0.2">
      <c r="A637" s="4" t="s">
        <v>302</v>
      </c>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5"/>
    </row>
    <row r="638" spans="1:42" x14ac:dyDescent="0.2">
      <c r="A638" s="4" t="s">
        <v>303</v>
      </c>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5"/>
    </row>
    <row r="639" spans="1:42" x14ac:dyDescent="0.2">
      <c r="A639" s="4">
        <v>1</v>
      </c>
      <c r="B639" s="178">
        <f t="shared" ref="B639:B648" si="348">SUM(C639:AP639)</f>
        <v>14129738.20973766</v>
      </c>
      <c r="C639" s="163">
        <f t="shared" ref="C639:AP639" si="349">IF(C$2&gt;analysis_period,0,IF(C$2=equip1_reserve_freq*$A639,equip1_reserve_cost*system_capacity*1000*(1+inflation_rate/100)^B$2,0))</f>
        <v>0</v>
      </c>
      <c r="D639" s="163">
        <f t="shared" si="349"/>
        <v>0</v>
      </c>
      <c r="E639" s="163">
        <f t="shared" si="349"/>
        <v>0</v>
      </c>
      <c r="F639" s="163">
        <f t="shared" si="349"/>
        <v>0</v>
      </c>
      <c r="G639" s="163">
        <f t="shared" si="349"/>
        <v>0</v>
      </c>
      <c r="H639" s="163">
        <f t="shared" si="349"/>
        <v>0</v>
      </c>
      <c r="I639" s="163">
        <f t="shared" si="349"/>
        <v>0</v>
      </c>
      <c r="J639" s="163">
        <f t="shared" si="349"/>
        <v>0</v>
      </c>
      <c r="K639" s="163">
        <f t="shared" si="349"/>
        <v>0</v>
      </c>
      <c r="L639" s="163">
        <f t="shared" si="349"/>
        <v>0</v>
      </c>
      <c r="M639" s="163">
        <f t="shared" si="349"/>
        <v>0</v>
      </c>
      <c r="N639" s="163">
        <f t="shared" si="349"/>
        <v>0</v>
      </c>
      <c r="O639" s="163">
        <f t="shared" si="349"/>
        <v>0</v>
      </c>
      <c r="P639" s="163">
        <f t="shared" si="349"/>
        <v>0</v>
      </c>
      <c r="Q639" s="163">
        <f t="shared" si="349"/>
        <v>14129738.20973766</v>
      </c>
      <c r="R639" s="163">
        <f t="shared" si="349"/>
        <v>0</v>
      </c>
      <c r="S639" s="163">
        <f t="shared" si="349"/>
        <v>0</v>
      </c>
      <c r="T639" s="163">
        <f t="shared" si="349"/>
        <v>0</v>
      </c>
      <c r="U639" s="163">
        <f t="shared" si="349"/>
        <v>0</v>
      </c>
      <c r="V639" s="163">
        <f t="shared" si="349"/>
        <v>0</v>
      </c>
      <c r="W639" s="163">
        <f t="shared" si="349"/>
        <v>0</v>
      </c>
      <c r="X639" s="163">
        <f t="shared" si="349"/>
        <v>0</v>
      </c>
      <c r="Y639" s="163">
        <f t="shared" si="349"/>
        <v>0</v>
      </c>
      <c r="Z639" s="163">
        <f t="shared" si="349"/>
        <v>0</v>
      </c>
      <c r="AA639" s="163">
        <f t="shared" si="349"/>
        <v>0</v>
      </c>
      <c r="AB639" s="163">
        <f t="shared" si="349"/>
        <v>0</v>
      </c>
      <c r="AC639" s="163">
        <f t="shared" si="349"/>
        <v>0</v>
      </c>
      <c r="AD639" s="163">
        <f t="shared" si="349"/>
        <v>0</v>
      </c>
      <c r="AE639" s="163">
        <f t="shared" si="349"/>
        <v>0</v>
      </c>
      <c r="AF639" s="163">
        <f t="shared" si="349"/>
        <v>0</v>
      </c>
      <c r="AG639" s="163">
        <f t="shared" si="349"/>
        <v>0</v>
      </c>
      <c r="AH639" s="163">
        <f t="shared" si="349"/>
        <v>0</v>
      </c>
      <c r="AI639" s="163">
        <f t="shared" si="349"/>
        <v>0</v>
      </c>
      <c r="AJ639" s="163">
        <f t="shared" si="349"/>
        <v>0</v>
      </c>
      <c r="AK639" s="163">
        <f t="shared" si="349"/>
        <v>0</v>
      </c>
      <c r="AL639" s="163">
        <f t="shared" si="349"/>
        <v>0</v>
      </c>
      <c r="AM639" s="163">
        <f t="shared" si="349"/>
        <v>0</v>
      </c>
      <c r="AN639" s="163">
        <f t="shared" si="349"/>
        <v>0</v>
      </c>
      <c r="AO639" s="163">
        <f t="shared" si="349"/>
        <v>0</v>
      </c>
      <c r="AP639" s="163">
        <f t="shared" si="349"/>
        <v>0</v>
      </c>
    </row>
    <row r="640" spans="1:42" x14ac:dyDescent="0.2">
      <c r="A640" s="4">
        <f>A639+1</f>
        <v>2</v>
      </c>
      <c r="B640" s="178">
        <f t="shared" si="348"/>
        <v>0</v>
      </c>
      <c r="C640" s="163">
        <f t="shared" ref="C640:AP640" si="350">IF(C$2&gt;analysis_period,0,IF(C$2=equip1_reserve_freq*$A640,equip1_reserve_cost*system_capacity*1000*(1+inflation_rate/100)^B$2,0))</f>
        <v>0</v>
      </c>
      <c r="D640" s="163">
        <f t="shared" si="350"/>
        <v>0</v>
      </c>
      <c r="E640" s="163">
        <f t="shared" si="350"/>
        <v>0</v>
      </c>
      <c r="F640" s="163">
        <f t="shared" si="350"/>
        <v>0</v>
      </c>
      <c r="G640" s="163">
        <f t="shared" si="350"/>
        <v>0</v>
      </c>
      <c r="H640" s="163">
        <f t="shared" si="350"/>
        <v>0</v>
      </c>
      <c r="I640" s="163">
        <f t="shared" si="350"/>
        <v>0</v>
      </c>
      <c r="J640" s="163">
        <f t="shared" si="350"/>
        <v>0</v>
      </c>
      <c r="K640" s="163">
        <f t="shared" si="350"/>
        <v>0</v>
      </c>
      <c r="L640" s="163">
        <f t="shared" si="350"/>
        <v>0</v>
      </c>
      <c r="M640" s="163">
        <f t="shared" si="350"/>
        <v>0</v>
      </c>
      <c r="N640" s="163">
        <f t="shared" si="350"/>
        <v>0</v>
      </c>
      <c r="O640" s="163">
        <f t="shared" si="350"/>
        <v>0</v>
      </c>
      <c r="P640" s="163">
        <f t="shared" si="350"/>
        <v>0</v>
      </c>
      <c r="Q640" s="163">
        <f t="shared" si="350"/>
        <v>0</v>
      </c>
      <c r="R640" s="163">
        <f t="shared" si="350"/>
        <v>0</v>
      </c>
      <c r="S640" s="163">
        <f t="shared" si="350"/>
        <v>0</v>
      </c>
      <c r="T640" s="163">
        <f t="shared" si="350"/>
        <v>0</v>
      </c>
      <c r="U640" s="163">
        <f t="shared" si="350"/>
        <v>0</v>
      </c>
      <c r="V640" s="163">
        <f t="shared" si="350"/>
        <v>0</v>
      </c>
      <c r="W640" s="163">
        <f t="shared" si="350"/>
        <v>0</v>
      </c>
      <c r="X640" s="163">
        <f t="shared" si="350"/>
        <v>0</v>
      </c>
      <c r="Y640" s="163">
        <f t="shared" si="350"/>
        <v>0</v>
      </c>
      <c r="Z640" s="163">
        <f t="shared" si="350"/>
        <v>0</v>
      </c>
      <c r="AA640" s="163">
        <f t="shared" si="350"/>
        <v>0</v>
      </c>
      <c r="AB640" s="163">
        <f t="shared" si="350"/>
        <v>0</v>
      </c>
      <c r="AC640" s="163">
        <f t="shared" si="350"/>
        <v>0</v>
      </c>
      <c r="AD640" s="163">
        <f t="shared" si="350"/>
        <v>0</v>
      </c>
      <c r="AE640" s="163">
        <f t="shared" si="350"/>
        <v>0</v>
      </c>
      <c r="AF640" s="163">
        <f t="shared" si="350"/>
        <v>0</v>
      </c>
      <c r="AG640" s="163">
        <f t="shared" si="350"/>
        <v>0</v>
      </c>
      <c r="AH640" s="163">
        <f t="shared" si="350"/>
        <v>0</v>
      </c>
      <c r="AI640" s="163">
        <f t="shared" si="350"/>
        <v>0</v>
      </c>
      <c r="AJ640" s="163">
        <f t="shared" si="350"/>
        <v>0</v>
      </c>
      <c r="AK640" s="163">
        <f t="shared" si="350"/>
        <v>0</v>
      </c>
      <c r="AL640" s="163">
        <f t="shared" si="350"/>
        <v>0</v>
      </c>
      <c r="AM640" s="163">
        <f t="shared" si="350"/>
        <v>0</v>
      </c>
      <c r="AN640" s="163">
        <f t="shared" si="350"/>
        <v>0</v>
      </c>
      <c r="AO640" s="163">
        <f t="shared" si="350"/>
        <v>0</v>
      </c>
      <c r="AP640" s="163">
        <f t="shared" si="350"/>
        <v>0</v>
      </c>
    </row>
    <row r="641" spans="1:42" x14ac:dyDescent="0.2">
      <c r="A641" s="4">
        <f t="shared" ref="A641:A648" si="351">A640+1</f>
        <v>3</v>
      </c>
      <c r="B641" s="178">
        <f t="shared" si="348"/>
        <v>0</v>
      </c>
      <c r="C641" s="163">
        <f t="shared" ref="C641:AP641" si="352">IF(C$2&gt;analysis_period,0,IF(C$2=equip1_reserve_freq*$A641,equip1_reserve_cost*system_capacity*1000*(1+inflation_rate/100)^B$2,0))</f>
        <v>0</v>
      </c>
      <c r="D641" s="163">
        <f t="shared" si="352"/>
        <v>0</v>
      </c>
      <c r="E641" s="163">
        <f t="shared" si="352"/>
        <v>0</v>
      </c>
      <c r="F641" s="163">
        <f t="shared" si="352"/>
        <v>0</v>
      </c>
      <c r="G641" s="163">
        <f t="shared" si="352"/>
        <v>0</v>
      </c>
      <c r="H641" s="163">
        <f t="shared" si="352"/>
        <v>0</v>
      </c>
      <c r="I641" s="163">
        <f t="shared" si="352"/>
        <v>0</v>
      </c>
      <c r="J641" s="163">
        <f t="shared" si="352"/>
        <v>0</v>
      </c>
      <c r="K641" s="163">
        <f t="shared" si="352"/>
        <v>0</v>
      </c>
      <c r="L641" s="163">
        <f t="shared" si="352"/>
        <v>0</v>
      </c>
      <c r="M641" s="163">
        <f t="shared" si="352"/>
        <v>0</v>
      </c>
      <c r="N641" s="163">
        <f t="shared" si="352"/>
        <v>0</v>
      </c>
      <c r="O641" s="163">
        <f t="shared" si="352"/>
        <v>0</v>
      </c>
      <c r="P641" s="163">
        <f t="shared" si="352"/>
        <v>0</v>
      </c>
      <c r="Q641" s="163">
        <f t="shared" si="352"/>
        <v>0</v>
      </c>
      <c r="R641" s="163">
        <f t="shared" si="352"/>
        <v>0</v>
      </c>
      <c r="S641" s="163">
        <f t="shared" si="352"/>
        <v>0</v>
      </c>
      <c r="T641" s="163">
        <f t="shared" si="352"/>
        <v>0</v>
      </c>
      <c r="U641" s="163">
        <f t="shared" si="352"/>
        <v>0</v>
      </c>
      <c r="V641" s="163">
        <f t="shared" si="352"/>
        <v>0</v>
      </c>
      <c r="W641" s="163">
        <f t="shared" si="352"/>
        <v>0</v>
      </c>
      <c r="X641" s="163">
        <f t="shared" si="352"/>
        <v>0</v>
      </c>
      <c r="Y641" s="163">
        <f t="shared" si="352"/>
        <v>0</v>
      </c>
      <c r="Z641" s="163">
        <f t="shared" si="352"/>
        <v>0</v>
      </c>
      <c r="AA641" s="163">
        <f t="shared" si="352"/>
        <v>0</v>
      </c>
      <c r="AB641" s="163">
        <f t="shared" si="352"/>
        <v>0</v>
      </c>
      <c r="AC641" s="163">
        <f t="shared" si="352"/>
        <v>0</v>
      </c>
      <c r="AD641" s="163">
        <f t="shared" si="352"/>
        <v>0</v>
      </c>
      <c r="AE641" s="163">
        <f t="shared" si="352"/>
        <v>0</v>
      </c>
      <c r="AF641" s="163">
        <f t="shared" si="352"/>
        <v>0</v>
      </c>
      <c r="AG641" s="163">
        <f t="shared" si="352"/>
        <v>0</v>
      </c>
      <c r="AH641" s="163">
        <f t="shared" si="352"/>
        <v>0</v>
      </c>
      <c r="AI641" s="163">
        <f t="shared" si="352"/>
        <v>0</v>
      </c>
      <c r="AJ641" s="163">
        <f t="shared" si="352"/>
        <v>0</v>
      </c>
      <c r="AK641" s="163">
        <f t="shared" si="352"/>
        <v>0</v>
      </c>
      <c r="AL641" s="163">
        <f t="shared" si="352"/>
        <v>0</v>
      </c>
      <c r="AM641" s="163">
        <f t="shared" si="352"/>
        <v>0</v>
      </c>
      <c r="AN641" s="163">
        <f t="shared" si="352"/>
        <v>0</v>
      </c>
      <c r="AO641" s="163">
        <f t="shared" si="352"/>
        <v>0</v>
      </c>
      <c r="AP641" s="163">
        <f t="shared" si="352"/>
        <v>0</v>
      </c>
    </row>
    <row r="642" spans="1:42" x14ac:dyDescent="0.2">
      <c r="A642" s="4">
        <f t="shared" si="351"/>
        <v>4</v>
      </c>
      <c r="B642" s="178">
        <f t="shared" si="348"/>
        <v>0</v>
      </c>
      <c r="C642" s="163">
        <f t="shared" ref="C642:AP642" si="353">IF(C$2&gt;analysis_period,0,IF(C$2=equip1_reserve_freq*$A642,equip1_reserve_cost*system_capacity*1000*(1+inflation_rate/100)^B$2,0))</f>
        <v>0</v>
      </c>
      <c r="D642" s="163">
        <f t="shared" si="353"/>
        <v>0</v>
      </c>
      <c r="E642" s="163">
        <f t="shared" si="353"/>
        <v>0</v>
      </c>
      <c r="F642" s="163">
        <f t="shared" si="353"/>
        <v>0</v>
      </c>
      <c r="G642" s="163">
        <f t="shared" si="353"/>
        <v>0</v>
      </c>
      <c r="H642" s="163">
        <f t="shared" si="353"/>
        <v>0</v>
      </c>
      <c r="I642" s="163">
        <f t="shared" si="353"/>
        <v>0</v>
      </c>
      <c r="J642" s="163">
        <f t="shared" si="353"/>
        <v>0</v>
      </c>
      <c r="K642" s="163">
        <f t="shared" si="353"/>
        <v>0</v>
      </c>
      <c r="L642" s="163">
        <f t="shared" si="353"/>
        <v>0</v>
      </c>
      <c r="M642" s="163">
        <f t="shared" si="353"/>
        <v>0</v>
      </c>
      <c r="N642" s="163">
        <f t="shared" si="353"/>
        <v>0</v>
      </c>
      <c r="O642" s="163">
        <f t="shared" si="353"/>
        <v>0</v>
      </c>
      <c r="P642" s="163">
        <f t="shared" si="353"/>
        <v>0</v>
      </c>
      <c r="Q642" s="163">
        <f t="shared" si="353"/>
        <v>0</v>
      </c>
      <c r="R642" s="163">
        <f t="shared" si="353"/>
        <v>0</v>
      </c>
      <c r="S642" s="163">
        <f t="shared" si="353"/>
        <v>0</v>
      </c>
      <c r="T642" s="163">
        <f t="shared" si="353"/>
        <v>0</v>
      </c>
      <c r="U642" s="163">
        <f t="shared" si="353"/>
        <v>0</v>
      </c>
      <c r="V642" s="163">
        <f t="shared" si="353"/>
        <v>0</v>
      </c>
      <c r="W642" s="163">
        <f t="shared" si="353"/>
        <v>0</v>
      </c>
      <c r="X642" s="163">
        <f t="shared" si="353"/>
        <v>0</v>
      </c>
      <c r="Y642" s="163">
        <f t="shared" si="353"/>
        <v>0</v>
      </c>
      <c r="Z642" s="163">
        <f t="shared" si="353"/>
        <v>0</v>
      </c>
      <c r="AA642" s="163">
        <f t="shared" si="353"/>
        <v>0</v>
      </c>
      <c r="AB642" s="163">
        <f t="shared" si="353"/>
        <v>0</v>
      </c>
      <c r="AC642" s="163">
        <f t="shared" si="353"/>
        <v>0</v>
      </c>
      <c r="AD642" s="163">
        <f t="shared" si="353"/>
        <v>0</v>
      </c>
      <c r="AE642" s="163">
        <f t="shared" si="353"/>
        <v>0</v>
      </c>
      <c r="AF642" s="163">
        <f t="shared" si="353"/>
        <v>0</v>
      </c>
      <c r="AG642" s="163">
        <f t="shared" si="353"/>
        <v>0</v>
      </c>
      <c r="AH642" s="163">
        <f t="shared" si="353"/>
        <v>0</v>
      </c>
      <c r="AI642" s="163">
        <f t="shared" si="353"/>
        <v>0</v>
      </c>
      <c r="AJ642" s="163">
        <f t="shared" si="353"/>
        <v>0</v>
      </c>
      <c r="AK642" s="163">
        <f t="shared" si="353"/>
        <v>0</v>
      </c>
      <c r="AL642" s="163">
        <f t="shared" si="353"/>
        <v>0</v>
      </c>
      <c r="AM642" s="163">
        <f t="shared" si="353"/>
        <v>0</v>
      </c>
      <c r="AN642" s="163">
        <f t="shared" si="353"/>
        <v>0</v>
      </c>
      <c r="AO642" s="163">
        <f t="shared" si="353"/>
        <v>0</v>
      </c>
      <c r="AP642" s="163">
        <f t="shared" si="353"/>
        <v>0</v>
      </c>
    </row>
    <row r="643" spans="1:42" x14ac:dyDescent="0.2">
      <c r="A643" s="4">
        <f t="shared" si="351"/>
        <v>5</v>
      </c>
      <c r="B643" s="178">
        <f t="shared" si="348"/>
        <v>0</v>
      </c>
      <c r="C643" s="163">
        <f t="shared" ref="C643:AP643" si="354">IF(C$2&gt;analysis_period,0,IF(C$2=equip1_reserve_freq*$A643,equip1_reserve_cost*system_capacity*1000*(1+inflation_rate/100)^B$2,0))</f>
        <v>0</v>
      </c>
      <c r="D643" s="163">
        <f t="shared" si="354"/>
        <v>0</v>
      </c>
      <c r="E643" s="163">
        <f t="shared" si="354"/>
        <v>0</v>
      </c>
      <c r="F643" s="163">
        <f t="shared" si="354"/>
        <v>0</v>
      </c>
      <c r="G643" s="163">
        <f t="shared" si="354"/>
        <v>0</v>
      </c>
      <c r="H643" s="163">
        <f t="shared" si="354"/>
        <v>0</v>
      </c>
      <c r="I643" s="163">
        <f t="shared" si="354"/>
        <v>0</v>
      </c>
      <c r="J643" s="163">
        <f t="shared" si="354"/>
        <v>0</v>
      </c>
      <c r="K643" s="163">
        <f t="shared" si="354"/>
        <v>0</v>
      </c>
      <c r="L643" s="163">
        <f t="shared" si="354"/>
        <v>0</v>
      </c>
      <c r="M643" s="163">
        <f t="shared" si="354"/>
        <v>0</v>
      </c>
      <c r="N643" s="163">
        <f t="shared" si="354"/>
        <v>0</v>
      </c>
      <c r="O643" s="163">
        <f t="shared" si="354"/>
        <v>0</v>
      </c>
      <c r="P643" s="163">
        <f t="shared" si="354"/>
        <v>0</v>
      </c>
      <c r="Q643" s="163">
        <f t="shared" si="354"/>
        <v>0</v>
      </c>
      <c r="R643" s="163">
        <f t="shared" si="354"/>
        <v>0</v>
      </c>
      <c r="S643" s="163">
        <f t="shared" si="354"/>
        <v>0</v>
      </c>
      <c r="T643" s="163">
        <f t="shared" si="354"/>
        <v>0</v>
      </c>
      <c r="U643" s="163">
        <f t="shared" si="354"/>
        <v>0</v>
      </c>
      <c r="V643" s="163">
        <f t="shared" si="354"/>
        <v>0</v>
      </c>
      <c r="W643" s="163">
        <f t="shared" si="354"/>
        <v>0</v>
      </c>
      <c r="X643" s="163">
        <f t="shared" si="354"/>
        <v>0</v>
      </c>
      <c r="Y643" s="163">
        <f t="shared" si="354"/>
        <v>0</v>
      </c>
      <c r="Z643" s="163">
        <f t="shared" si="354"/>
        <v>0</v>
      </c>
      <c r="AA643" s="163">
        <f t="shared" si="354"/>
        <v>0</v>
      </c>
      <c r="AB643" s="163">
        <f t="shared" si="354"/>
        <v>0</v>
      </c>
      <c r="AC643" s="163">
        <f t="shared" si="354"/>
        <v>0</v>
      </c>
      <c r="AD643" s="163">
        <f t="shared" si="354"/>
        <v>0</v>
      </c>
      <c r="AE643" s="163">
        <f t="shared" si="354"/>
        <v>0</v>
      </c>
      <c r="AF643" s="163">
        <f t="shared" si="354"/>
        <v>0</v>
      </c>
      <c r="AG643" s="163">
        <f t="shared" si="354"/>
        <v>0</v>
      </c>
      <c r="AH643" s="163">
        <f t="shared" si="354"/>
        <v>0</v>
      </c>
      <c r="AI643" s="163">
        <f t="shared" si="354"/>
        <v>0</v>
      </c>
      <c r="AJ643" s="163">
        <f t="shared" si="354"/>
        <v>0</v>
      </c>
      <c r="AK643" s="163">
        <f t="shared" si="354"/>
        <v>0</v>
      </c>
      <c r="AL643" s="163">
        <f t="shared" si="354"/>
        <v>0</v>
      </c>
      <c r="AM643" s="163">
        <f t="shared" si="354"/>
        <v>0</v>
      </c>
      <c r="AN643" s="163">
        <f t="shared" si="354"/>
        <v>0</v>
      </c>
      <c r="AO643" s="163">
        <f t="shared" si="354"/>
        <v>0</v>
      </c>
      <c r="AP643" s="163">
        <f t="shared" si="354"/>
        <v>0</v>
      </c>
    </row>
    <row r="644" spans="1:42" x14ac:dyDescent="0.2">
      <c r="A644" s="4">
        <f t="shared" si="351"/>
        <v>6</v>
      </c>
      <c r="B644" s="178">
        <f t="shared" si="348"/>
        <v>0</v>
      </c>
      <c r="C644" s="163">
        <f t="shared" ref="C644:AP644" si="355">IF(C$2&gt;analysis_period,0,IF(C$2=equip1_reserve_freq*$A644,equip1_reserve_cost*system_capacity*1000*(1+inflation_rate/100)^B$2,0))</f>
        <v>0</v>
      </c>
      <c r="D644" s="163">
        <f t="shared" si="355"/>
        <v>0</v>
      </c>
      <c r="E644" s="163">
        <f t="shared" si="355"/>
        <v>0</v>
      </c>
      <c r="F644" s="163">
        <f t="shared" si="355"/>
        <v>0</v>
      </c>
      <c r="G644" s="163">
        <f t="shared" si="355"/>
        <v>0</v>
      </c>
      <c r="H644" s="163">
        <f t="shared" si="355"/>
        <v>0</v>
      </c>
      <c r="I644" s="163">
        <f t="shared" si="355"/>
        <v>0</v>
      </c>
      <c r="J644" s="163">
        <f t="shared" si="355"/>
        <v>0</v>
      </c>
      <c r="K644" s="163">
        <f t="shared" si="355"/>
        <v>0</v>
      </c>
      <c r="L644" s="163">
        <f t="shared" si="355"/>
        <v>0</v>
      </c>
      <c r="M644" s="163">
        <f t="shared" si="355"/>
        <v>0</v>
      </c>
      <c r="N644" s="163">
        <f t="shared" si="355"/>
        <v>0</v>
      </c>
      <c r="O644" s="163">
        <f t="shared" si="355"/>
        <v>0</v>
      </c>
      <c r="P644" s="163">
        <f t="shared" si="355"/>
        <v>0</v>
      </c>
      <c r="Q644" s="163">
        <f t="shared" si="355"/>
        <v>0</v>
      </c>
      <c r="R644" s="163">
        <f t="shared" si="355"/>
        <v>0</v>
      </c>
      <c r="S644" s="163">
        <f t="shared" si="355"/>
        <v>0</v>
      </c>
      <c r="T644" s="163">
        <f t="shared" si="355"/>
        <v>0</v>
      </c>
      <c r="U644" s="163">
        <f t="shared" si="355"/>
        <v>0</v>
      </c>
      <c r="V644" s="163">
        <f t="shared" si="355"/>
        <v>0</v>
      </c>
      <c r="W644" s="163">
        <f t="shared" si="355"/>
        <v>0</v>
      </c>
      <c r="X644" s="163">
        <f t="shared" si="355"/>
        <v>0</v>
      </c>
      <c r="Y644" s="163">
        <f t="shared" si="355"/>
        <v>0</v>
      </c>
      <c r="Z644" s="163">
        <f t="shared" si="355"/>
        <v>0</v>
      </c>
      <c r="AA644" s="163">
        <f t="shared" si="355"/>
        <v>0</v>
      </c>
      <c r="AB644" s="163">
        <f t="shared" si="355"/>
        <v>0</v>
      </c>
      <c r="AC644" s="163">
        <f t="shared" si="355"/>
        <v>0</v>
      </c>
      <c r="AD644" s="163">
        <f t="shared" si="355"/>
        <v>0</v>
      </c>
      <c r="AE644" s="163">
        <f t="shared" si="355"/>
        <v>0</v>
      </c>
      <c r="AF644" s="163">
        <f t="shared" si="355"/>
        <v>0</v>
      </c>
      <c r="AG644" s="163">
        <f t="shared" si="355"/>
        <v>0</v>
      </c>
      <c r="AH644" s="163">
        <f t="shared" si="355"/>
        <v>0</v>
      </c>
      <c r="AI644" s="163">
        <f t="shared" si="355"/>
        <v>0</v>
      </c>
      <c r="AJ644" s="163">
        <f t="shared" si="355"/>
        <v>0</v>
      </c>
      <c r="AK644" s="163">
        <f t="shared" si="355"/>
        <v>0</v>
      </c>
      <c r="AL644" s="163">
        <f t="shared" si="355"/>
        <v>0</v>
      </c>
      <c r="AM644" s="163">
        <f t="shared" si="355"/>
        <v>0</v>
      </c>
      <c r="AN644" s="163">
        <f t="shared" si="355"/>
        <v>0</v>
      </c>
      <c r="AO644" s="163">
        <f t="shared" si="355"/>
        <v>0</v>
      </c>
      <c r="AP644" s="163">
        <f t="shared" si="355"/>
        <v>0</v>
      </c>
    </row>
    <row r="645" spans="1:42" x14ac:dyDescent="0.2">
      <c r="A645" s="4">
        <f t="shared" si="351"/>
        <v>7</v>
      </c>
      <c r="B645" s="178">
        <f t="shared" si="348"/>
        <v>0</v>
      </c>
      <c r="C645" s="163">
        <f t="shared" ref="C645:AP645" si="356">IF(C$2&gt;analysis_period,0,IF(C$2=equip1_reserve_freq*$A645,equip1_reserve_cost*system_capacity*1000*(1+inflation_rate/100)^B$2,0))</f>
        <v>0</v>
      </c>
      <c r="D645" s="163">
        <f t="shared" si="356"/>
        <v>0</v>
      </c>
      <c r="E645" s="163">
        <f t="shared" si="356"/>
        <v>0</v>
      </c>
      <c r="F645" s="163">
        <f t="shared" si="356"/>
        <v>0</v>
      </c>
      <c r="G645" s="163">
        <f t="shared" si="356"/>
        <v>0</v>
      </c>
      <c r="H645" s="163">
        <f t="shared" si="356"/>
        <v>0</v>
      </c>
      <c r="I645" s="163">
        <f t="shared" si="356"/>
        <v>0</v>
      </c>
      <c r="J645" s="163">
        <f t="shared" si="356"/>
        <v>0</v>
      </c>
      <c r="K645" s="163">
        <f t="shared" si="356"/>
        <v>0</v>
      </c>
      <c r="L645" s="163">
        <f t="shared" si="356"/>
        <v>0</v>
      </c>
      <c r="M645" s="163">
        <f t="shared" si="356"/>
        <v>0</v>
      </c>
      <c r="N645" s="163">
        <f t="shared" si="356"/>
        <v>0</v>
      </c>
      <c r="O645" s="163">
        <f t="shared" si="356"/>
        <v>0</v>
      </c>
      <c r="P645" s="163">
        <f t="shared" si="356"/>
        <v>0</v>
      </c>
      <c r="Q645" s="163">
        <f t="shared" si="356"/>
        <v>0</v>
      </c>
      <c r="R645" s="163">
        <f t="shared" si="356"/>
        <v>0</v>
      </c>
      <c r="S645" s="163">
        <f t="shared" si="356"/>
        <v>0</v>
      </c>
      <c r="T645" s="163">
        <f t="shared" si="356"/>
        <v>0</v>
      </c>
      <c r="U645" s="163">
        <f t="shared" si="356"/>
        <v>0</v>
      </c>
      <c r="V645" s="163">
        <f t="shared" si="356"/>
        <v>0</v>
      </c>
      <c r="W645" s="163">
        <f t="shared" si="356"/>
        <v>0</v>
      </c>
      <c r="X645" s="163">
        <f t="shared" si="356"/>
        <v>0</v>
      </c>
      <c r="Y645" s="163">
        <f t="shared" si="356"/>
        <v>0</v>
      </c>
      <c r="Z645" s="163">
        <f t="shared" si="356"/>
        <v>0</v>
      </c>
      <c r="AA645" s="163">
        <f t="shared" si="356"/>
        <v>0</v>
      </c>
      <c r="AB645" s="163">
        <f t="shared" si="356"/>
        <v>0</v>
      </c>
      <c r="AC645" s="163">
        <f t="shared" si="356"/>
        <v>0</v>
      </c>
      <c r="AD645" s="163">
        <f t="shared" si="356"/>
        <v>0</v>
      </c>
      <c r="AE645" s="163">
        <f t="shared" si="356"/>
        <v>0</v>
      </c>
      <c r="AF645" s="163">
        <f t="shared" si="356"/>
        <v>0</v>
      </c>
      <c r="AG645" s="163">
        <f t="shared" si="356"/>
        <v>0</v>
      </c>
      <c r="AH645" s="163">
        <f t="shared" si="356"/>
        <v>0</v>
      </c>
      <c r="AI645" s="163">
        <f t="shared" si="356"/>
        <v>0</v>
      </c>
      <c r="AJ645" s="163">
        <f t="shared" si="356"/>
        <v>0</v>
      </c>
      <c r="AK645" s="163">
        <f t="shared" si="356"/>
        <v>0</v>
      </c>
      <c r="AL645" s="163">
        <f t="shared" si="356"/>
        <v>0</v>
      </c>
      <c r="AM645" s="163">
        <f t="shared" si="356"/>
        <v>0</v>
      </c>
      <c r="AN645" s="163">
        <f t="shared" si="356"/>
        <v>0</v>
      </c>
      <c r="AO645" s="163">
        <f t="shared" si="356"/>
        <v>0</v>
      </c>
      <c r="AP645" s="163">
        <f t="shared" si="356"/>
        <v>0</v>
      </c>
    </row>
    <row r="646" spans="1:42" x14ac:dyDescent="0.2">
      <c r="A646" s="4">
        <f t="shared" si="351"/>
        <v>8</v>
      </c>
      <c r="B646" s="178">
        <f t="shared" si="348"/>
        <v>0</v>
      </c>
      <c r="C646" s="163">
        <f t="shared" ref="C646:AP646" si="357">IF(C$2&gt;analysis_period,0,IF(C$2=equip1_reserve_freq*$A646,equip1_reserve_cost*system_capacity*1000*(1+inflation_rate/100)^B$2,0))</f>
        <v>0</v>
      </c>
      <c r="D646" s="163">
        <f t="shared" si="357"/>
        <v>0</v>
      </c>
      <c r="E646" s="163">
        <f t="shared" si="357"/>
        <v>0</v>
      </c>
      <c r="F646" s="163">
        <f t="shared" si="357"/>
        <v>0</v>
      </c>
      <c r="G646" s="163">
        <f t="shared" si="357"/>
        <v>0</v>
      </c>
      <c r="H646" s="163">
        <f t="shared" si="357"/>
        <v>0</v>
      </c>
      <c r="I646" s="163">
        <f t="shared" si="357"/>
        <v>0</v>
      </c>
      <c r="J646" s="163">
        <f t="shared" si="357"/>
        <v>0</v>
      </c>
      <c r="K646" s="163">
        <f t="shared" si="357"/>
        <v>0</v>
      </c>
      <c r="L646" s="163">
        <f t="shared" si="357"/>
        <v>0</v>
      </c>
      <c r="M646" s="163">
        <f t="shared" si="357"/>
        <v>0</v>
      </c>
      <c r="N646" s="163">
        <f t="shared" si="357"/>
        <v>0</v>
      </c>
      <c r="O646" s="163">
        <f t="shared" si="357"/>
        <v>0</v>
      </c>
      <c r="P646" s="163">
        <f t="shared" si="357"/>
        <v>0</v>
      </c>
      <c r="Q646" s="163">
        <f t="shared" si="357"/>
        <v>0</v>
      </c>
      <c r="R646" s="163">
        <f t="shared" si="357"/>
        <v>0</v>
      </c>
      <c r="S646" s="163">
        <f t="shared" si="357"/>
        <v>0</v>
      </c>
      <c r="T646" s="163">
        <f t="shared" si="357"/>
        <v>0</v>
      </c>
      <c r="U646" s="163">
        <f t="shared" si="357"/>
        <v>0</v>
      </c>
      <c r="V646" s="163">
        <f t="shared" si="357"/>
        <v>0</v>
      </c>
      <c r="W646" s="163">
        <f t="shared" si="357"/>
        <v>0</v>
      </c>
      <c r="X646" s="163">
        <f t="shared" si="357"/>
        <v>0</v>
      </c>
      <c r="Y646" s="163">
        <f t="shared" si="357"/>
        <v>0</v>
      </c>
      <c r="Z646" s="163">
        <f t="shared" si="357"/>
        <v>0</v>
      </c>
      <c r="AA646" s="163">
        <f t="shared" si="357"/>
        <v>0</v>
      </c>
      <c r="AB646" s="163">
        <f t="shared" si="357"/>
        <v>0</v>
      </c>
      <c r="AC646" s="163">
        <f t="shared" si="357"/>
        <v>0</v>
      </c>
      <c r="AD646" s="163">
        <f t="shared" si="357"/>
        <v>0</v>
      </c>
      <c r="AE646" s="163">
        <f t="shared" si="357"/>
        <v>0</v>
      </c>
      <c r="AF646" s="163">
        <f t="shared" si="357"/>
        <v>0</v>
      </c>
      <c r="AG646" s="163">
        <f t="shared" si="357"/>
        <v>0</v>
      </c>
      <c r="AH646" s="163">
        <f t="shared" si="357"/>
        <v>0</v>
      </c>
      <c r="AI646" s="163">
        <f t="shared" si="357"/>
        <v>0</v>
      </c>
      <c r="AJ646" s="163">
        <f t="shared" si="357"/>
        <v>0</v>
      </c>
      <c r="AK646" s="163">
        <f t="shared" si="357"/>
        <v>0</v>
      </c>
      <c r="AL646" s="163">
        <f t="shared" si="357"/>
        <v>0</v>
      </c>
      <c r="AM646" s="163">
        <f t="shared" si="357"/>
        <v>0</v>
      </c>
      <c r="AN646" s="163">
        <f t="shared" si="357"/>
        <v>0</v>
      </c>
      <c r="AO646" s="163">
        <f t="shared" si="357"/>
        <v>0</v>
      </c>
      <c r="AP646" s="163">
        <f t="shared" si="357"/>
        <v>0</v>
      </c>
    </row>
    <row r="647" spans="1:42" x14ac:dyDescent="0.2">
      <c r="A647" s="4">
        <f>A646+1</f>
        <v>9</v>
      </c>
      <c r="B647" s="178">
        <f t="shared" si="348"/>
        <v>0</v>
      </c>
      <c r="C647" s="163">
        <f t="shared" ref="C647:AP647" si="358">IF(C$2&gt;analysis_period,0,IF(C$2=equip1_reserve_freq*$A647,equip1_reserve_cost*system_capacity*1000*(1+inflation_rate/100)^B$2,0))</f>
        <v>0</v>
      </c>
      <c r="D647" s="163">
        <f t="shared" si="358"/>
        <v>0</v>
      </c>
      <c r="E647" s="163">
        <f t="shared" si="358"/>
        <v>0</v>
      </c>
      <c r="F647" s="163">
        <f t="shared" si="358"/>
        <v>0</v>
      </c>
      <c r="G647" s="163">
        <f t="shared" si="358"/>
        <v>0</v>
      </c>
      <c r="H647" s="163">
        <f t="shared" si="358"/>
        <v>0</v>
      </c>
      <c r="I647" s="163">
        <f t="shared" si="358"/>
        <v>0</v>
      </c>
      <c r="J647" s="163">
        <f t="shared" si="358"/>
        <v>0</v>
      </c>
      <c r="K647" s="163">
        <f t="shared" si="358"/>
        <v>0</v>
      </c>
      <c r="L647" s="163">
        <f t="shared" si="358"/>
        <v>0</v>
      </c>
      <c r="M647" s="163">
        <f t="shared" si="358"/>
        <v>0</v>
      </c>
      <c r="N647" s="163">
        <f t="shared" si="358"/>
        <v>0</v>
      </c>
      <c r="O647" s="163">
        <f t="shared" si="358"/>
        <v>0</v>
      </c>
      <c r="P647" s="163">
        <f t="shared" si="358"/>
        <v>0</v>
      </c>
      <c r="Q647" s="163">
        <f t="shared" si="358"/>
        <v>0</v>
      </c>
      <c r="R647" s="163">
        <f t="shared" si="358"/>
        <v>0</v>
      </c>
      <c r="S647" s="163">
        <f t="shared" si="358"/>
        <v>0</v>
      </c>
      <c r="T647" s="163">
        <f t="shared" si="358"/>
        <v>0</v>
      </c>
      <c r="U647" s="163">
        <f t="shared" si="358"/>
        <v>0</v>
      </c>
      <c r="V647" s="163">
        <f t="shared" si="358"/>
        <v>0</v>
      </c>
      <c r="W647" s="163">
        <f t="shared" si="358"/>
        <v>0</v>
      </c>
      <c r="X647" s="163">
        <f t="shared" si="358"/>
        <v>0</v>
      </c>
      <c r="Y647" s="163">
        <f t="shared" si="358"/>
        <v>0</v>
      </c>
      <c r="Z647" s="163">
        <f t="shared" si="358"/>
        <v>0</v>
      </c>
      <c r="AA647" s="163">
        <f t="shared" si="358"/>
        <v>0</v>
      </c>
      <c r="AB647" s="163">
        <f t="shared" si="358"/>
        <v>0</v>
      </c>
      <c r="AC647" s="163">
        <f t="shared" si="358"/>
        <v>0</v>
      </c>
      <c r="AD647" s="163">
        <f t="shared" si="358"/>
        <v>0</v>
      </c>
      <c r="AE647" s="163">
        <f t="shared" si="358"/>
        <v>0</v>
      </c>
      <c r="AF647" s="163">
        <f t="shared" si="358"/>
        <v>0</v>
      </c>
      <c r="AG647" s="163">
        <f t="shared" si="358"/>
        <v>0</v>
      </c>
      <c r="AH647" s="163">
        <f t="shared" si="358"/>
        <v>0</v>
      </c>
      <c r="AI647" s="163">
        <f t="shared" si="358"/>
        <v>0</v>
      </c>
      <c r="AJ647" s="163">
        <f t="shared" si="358"/>
        <v>0</v>
      </c>
      <c r="AK647" s="163">
        <f t="shared" si="358"/>
        <v>0</v>
      </c>
      <c r="AL647" s="163">
        <f t="shared" si="358"/>
        <v>0</v>
      </c>
      <c r="AM647" s="163">
        <f t="shared" si="358"/>
        <v>0</v>
      </c>
      <c r="AN647" s="163">
        <f t="shared" si="358"/>
        <v>0</v>
      </c>
      <c r="AO647" s="163">
        <f t="shared" si="358"/>
        <v>0</v>
      </c>
      <c r="AP647" s="163">
        <f t="shared" si="358"/>
        <v>0</v>
      </c>
    </row>
    <row r="648" spans="1:42" x14ac:dyDescent="0.2">
      <c r="A648" s="4">
        <f t="shared" si="351"/>
        <v>10</v>
      </c>
      <c r="B648" s="178">
        <f t="shared" si="348"/>
        <v>0</v>
      </c>
      <c r="C648" s="163">
        <f t="shared" ref="C648:AP648" si="359">IF(C$2&gt;analysis_period,0,IF(C$2=equip1_reserve_freq*$A648,equip1_reserve_cost*system_capacity*1000*(1+inflation_rate/100)^B$2,0))</f>
        <v>0</v>
      </c>
      <c r="D648" s="163">
        <f t="shared" si="359"/>
        <v>0</v>
      </c>
      <c r="E648" s="163">
        <f t="shared" si="359"/>
        <v>0</v>
      </c>
      <c r="F648" s="163">
        <f t="shared" si="359"/>
        <v>0</v>
      </c>
      <c r="G648" s="163">
        <f t="shared" si="359"/>
        <v>0</v>
      </c>
      <c r="H648" s="163">
        <f t="shared" si="359"/>
        <v>0</v>
      </c>
      <c r="I648" s="163">
        <f t="shared" si="359"/>
        <v>0</v>
      </c>
      <c r="J648" s="163">
        <f t="shared" si="359"/>
        <v>0</v>
      </c>
      <c r="K648" s="163">
        <f t="shared" si="359"/>
        <v>0</v>
      </c>
      <c r="L648" s="163">
        <f t="shared" si="359"/>
        <v>0</v>
      </c>
      <c r="M648" s="163">
        <f t="shared" si="359"/>
        <v>0</v>
      </c>
      <c r="N648" s="163">
        <f t="shared" si="359"/>
        <v>0</v>
      </c>
      <c r="O648" s="163">
        <f t="shared" si="359"/>
        <v>0</v>
      </c>
      <c r="P648" s="163">
        <f t="shared" si="359"/>
        <v>0</v>
      </c>
      <c r="Q648" s="163">
        <f t="shared" si="359"/>
        <v>0</v>
      </c>
      <c r="R648" s="163">
        <f t="shared" si="359"/>
        <v>0</v>
      </c>
      <c r="S648" s="163">
        <f t="shared" si="359"/>
        <v>0</v>
      </c>
      <c r="T648" s="163">
        <f t="shared" si="359"/>
        <v>0</v>
      </c>
      <c r="U648" s="163">
        <f t="shared" si="359"/>
        <v>0</v>
      </c>
      <c r="V648" s="163">
        <f t="shared" si="359"/>
        <v>0</v>
      </c>
      <c r="W648" s="163">
        <f t="shared" si="359"/>
        <v>0</v>
      </c>
      <c r="X648" s="163">
        <f t="shared" si="359"/>
        <v>0</v>
      </c>
      <c r="Y648" s="163">
        <f t="shared" si="359"/>
        <v>0</v>
      </c>
      <c r="Z648" s="163">
        <f t="shared" si="359"/>
        <v>0</v>
      </c>
      <c r="AA648" s="163">
        <f t="shared" si="359"/>
        <v>0</v>
      </c>
      <c r="AB648" s="163">
        <f t="shared" si="359"/>
        <v>0</v>
      </c>
      <c r="AC648" s="163">
        <f t="shared" si="359"/>
        <v>0</v>
      </c>
      <c r="AD648" s="163">
        <f t="shared" si="359"/>
        <v>0</v>
      </c>
      <c r="AE648" s="163">
        <f t="shared" si="359"/>
        <v>0</v>
      </c>
      <c r="AF648" s="163">
        <f t="shared" si="359"/>
        <v>0</v>
      </c>
      <c r="AG648" s="163">
        <f t="shared" si="359"/>
        <v>0</v>
      </c>
      <c r="AH648" s="163">
        <f t="shared" si="359"/>
        <v>0</v>
      </c>
      <c r="AI648" s="163">
        <f t="shared" si="359"/>
        <v>0</v>
      </c>
      <c r="AJ648" s="163">
        <f t="shared" si="359"/>
        <v>0</v>
      </c>
      <c r="AK648" s="163">
        <f t="shared" si="359"/>
        <v>0</v>
      </c>
      <c r="AL648" s="163">
        <f t="shared" si="359"/>
        <v>0</v>
      </c>
      <c r="AM648" s="163">
        <f t="shared" si="359"/>
        <v>0</v>
      </c>
      <c r="AN648" s="163">
        <f t="shared" si="359"/>
        <v>0</v>
      </c>
      <c r="AO648" s="163">
        <f t="shared" si="359"/>
        <v>0</v>
      </c>
      <c r="AP648" s="163">
        <f t="shared" si="359"/>
        <v>0</v>
      </c>
    </row>
    <row r="649" spans="1:42" x14ac:dyDescent="0.2">
      <c r="A649" s="27" t="s">
        <v>13</v>
      </c>
      <c r="B649" s="15"/>
      <c r="C649" s="163">
        <f>SUM(C639:C648)</f>
        <v>0</v>
      </c>
      <c r="D649" s="163">
        <f t="shared" ref="D649:AD649" si="360">SUM(D639:D648)</f>
        <v>0</v>
      </c>
      <c r="E649" s="163">
        <f t="shared" si="360"/>
        <v>0</v>
      </c>
      <c r="F649" s="163">
        <f t="shared" si="360"/>
        <v>0</v>
      </c>
      <c r="G649" s="163">
        <f t="shared" si="360"/>
        <v>0</v>
      </c>
      <c r="H649" s="163">
        <f t="shared" si="360"/>
        <v>0</v>
      </c>
      <c r="I649" s="163">
        <f t="shared" si="360"/>
        <v>0</v>
      </c>
      <c r="J649" s="163">
        <f t="shared" si="360"/>
        <v>0</v>
      </c>
      <c r="K649" s="163">
        <f t="shared" si="360"/>
        <v>0</v>
      </c>
      <c r="L649" s="163">
        <f t="shared" si="360"/>
        <v>0</v>
      </c>
      <c r="M649" s="163">
        <f t="shared" si="360"/>
        <v>0</v>
      </c>
      <c r="N649" s="163">
        <f t="shared" si="360"/>
        <v>0</v>
      </c>
      <c r="O649" s="163">
        <f t="shared" si="360"/>
        <v>0</v>
      </c>
      <c r="P649" s="163">
        <f t="shared" si="360"/>
        <v>0</v>
      </c>
      <c r="Q649" s="163">
        <f t="shared" si="360"/>
        <v>14129738.20973766</v>
      </c>
      <c r="R649" s="163">
        <f t="shared" si="360"/>
        <v>0</v>
      </c>
      <c r="S649" s="163">
        <f t="shared" si="360"/>
        <v>0</v>
      </c>
      <c r="T649" s="163">
        <f t="shared" si="360"/>
        <v>0</v>
      </c>
      <c r="U649" s="163">
        <f t="shared" si="360"/>
        <v>0</v>
      </c>
      <c r="V649" s="163">
        <f t="shared" si="360"/>
        <v>0</v>
      </c>
      <c r="W649" s="163">
        <f t="shared" si="360"/>
        <v>0</v>
      </c>
      <c r="X649" s="163">
        <f t="shared" si="360"/>
        <v>0</v>
      </c>
      <c r="Y649" s="163">
        <f t="shared" si="360"/>
        <v>0</v>
      </c>
      <c r="Z649" s="163">
        <f t="shared" si="360"/>
        <v>0</v>
      </c>
      <c r="AA649" s="163">
        <f t="shared" si="360"/>
        <v>0</v>
      </c>
      <c r="AB649" s="163">
        <f t="shared" si="360"/>
        <v>0</v>
      </c>
      <c r="AC649" s="163">
        <f t="shared" si="360"/>
        <v>0</v>
      </c>
      <c r="AD649" s="163">
        <f t="shared" si="360"/>
        <v>0</v>
      </c>
      <c r="AE649" s="163">
        <f t="shared" ref="AE649" si="361">SUM(AE639:AE648)</f>
        <v>0</v>
      </c>
      <c r="AF649" s="163">
        <f t="shared" ref="AF649:AP649" si="362">SUM(AF639:AF648)</f>
        <v>0</v>
      </c>
      <c r="AG649" s="163">
        <f t="shared" si="362"/>
        <v>0</v>
      </c>
      <c r="AH649" s="163">
        <f t="shared" si="362"/>
        <v>0</v>
      </c>
      <c r="AI649" s="163">
        <f t="shared" si="362"/>
        <v>0</v>
      </c>
      <c r="AJ649" s="163">
        <f t="shared" si="362"/>
        <v>0</v>
      </c>
      <c r="AK649" s="163">
        <f t="shared" si="362"/>
        <v>0</v>
      </c>
      <c r="AL649" s="163">
        <f t="shared" si="362"/>
        <v>0</v>
      </c>
      <c r="AM649" s="163">
        <f t="shared" si="362"/>
        <v>0</v>
      </c>
      <c r="AN649" s="163">
        <f t="shared" si="362"/>
        <v>0</v>
      </c>
      <c r="AO649" s="163">
        <f t="shared" si="362"/>
        <v>0</v>
      </c>
      <c r="AP649" s="163">
        <f t="shared" si="362"/>
        <v>0</v>
      </c>
    </row>
    <row r="650" spans="1:42" x14ac:dyDescent="0.2">
      <c r="A650" s="4" t="s">
        <v>304</v>
      </c>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5"/>
    </row>
    <row r="651" spans="1:42" x14ac:dyDescent="0.2">
      <c r="A651" s="4">
        <v>1</v>
      </c>
      <c r="B651" s="178">
        <f t="shared" ref="B651:B660" si="363">SUM(C651:AP651)</f>
        <v>14129738.209737657</v>
      </c>
      <c r="C651" s="163">
        <f t="shared" ref="C651:AP651" si="364">IF(C$2&lt;=equip1_reserve_freq*$A$639,$B$639/(equip1_reserve_freq),0)</f>
        <v>941982.54731584399</v>
      </c>
      <c r="D651" s="163">
        <f t="shared" si="364"/>
        <v>941982.54731584399</v>
      </c>
      <c r="E651" s="163">
        <f t="shared" si="364"/>
        <v>941982.54731584399</v>
      </c>
      <c r="F651" s="163">
        <f t="shared" si="364"/>
        <v>941982.54731584399</v>
      </c>
      <c r="G651" s="163">
        <f t="shared" si="364"/>
        <v>941982.54731584399</v>
      </c>
      <c r="H651" s="163">
        <f t="shared" si="364"/>
        <v>941982.54731584399</v>
      </c>
      <c r="I651" s="163">
        <f t="shared" si="364"/>
        <v>941982.54731584399</v>
      </c>
      <c r="J651" s="163">
        <f t="shared" si="364"/>
        <v>941982.54731584399</v>
      </c>
      <c r="K651" s="163">
        <f t="shared" si="364"/>
        <v>941982.54731584399</v>
      </c>
      <c r="L651" s="163">
        <f t="shared" si="364"/>
        <v>941982.54731584399</v>
      </c>
      <c r="M651" s="163">
        <f t="shared" si="364"/>
        <v>941982.54731584399</v>
      </c>
      <c r="N651" s="163">
        <f t="shared" si="364"/>
        <v>941982.54731584399</v>
      </c>
      <c r="O651" s="163">
        <f t="shared" si="364"/>
        <v>941982.54731584399</v>
      </c>
      <c r="P651" s="163">
        <f t="shared" si="364"/>
        <v>941982.54731584399</v>
      </c>
      <c r="Q651" s="163">
        <f t="shared" si="364"/>
        <v>941982.54731584399</v>
      </c>
      <c r="R651" s="163">
        <f t="shared" si="364"/>
        <v>0</v>
      </c>
      <c r="S651" s="163">
        <f t="shared" si="364"/>
        <v>0</v>
      </c>
      <c r="T651" s="163">
        <f t="shared" si="364"/>
        <v>0</v>
      </c>
      <c r="U651" s="163">
        <f t="shared" si="364"/>
        <v>0</v>
      </c>
      <c r="V651" s="163">
        <f t="shared" si="364"/>
        <v>0</v>
      </c>
      <c r="W651" s="163">
        <f t="shared" si="364"/>
        <v>0</v>
      </c>
      <c r="X651" s="163">
        <f t="shared" si="364"/>
        <v>0</v>
      </c>
      <c r="Y651" s="163">
        <f t="shared" si="364"/>
        <v>0</v>
      </c>
      <c r="Z651" s="163">
        <f t="shared" si="364"/>
        <v>0</v>
      </c>
      <c r="AA651" s="163">
        <f t="shared" si="364"/>
        <v>0</v>
      </c>
      <c r="AB651" s="163">
        <f t="shared" si="364"/>
        <v>0</v>
      </c>
      <c r="AC651" s="163">
        <f t="shared" si="364"/>
        <v>0</v>
      </c>
      <c r="AD651" s="163">
        <f t="shared" si="364"/>
        <v>0</v>
      </c>
      <c r="AE651" s="163">
        <f t="shared" si="364"/>
        <v>0</v>
      </c>
      <c r="AF651" s="163">
        <f t="shared" si="364"/>
        <v>0</v>
      </c>
      <c r="AG651" s="163">
        <f t="shared" si="364"/>
        <v>0</v>
      </c>
      <c r="AH651" s="163">
        <f t="shared" si="364"/>
        <v>0</v>
      </c>
      <c r="AI651" s="163">
        <f t="shared" si="364"/>
        <v>0</v>
      </c>
      <c r="AJ651" s="163">
        <f t="shared" si="364"/>
        <v>0</v>
      </c>
      <c r="AK651" s="163">
        <f t="shared" si="364"/>
        <v>0</v>
      </c>
      <c r="AL651" s="163">
        <f t="shared" si="364"/>
        <v>0</v>
      </c>
      <c r="AM651" s="163">
        <f t="shared" si="364"/>
        <v>0</v>
      </c>
      <c r="AN651" s="163">
        <f t="shared" si="364"/>
        <v>0</v>
      </c>
      <c r="AO651" s="163">
        <f t="shared" si="364"/>
        <v>0</v>
      </c>
      <c r="AP651" s="163">
        <f t="shared" si="364"/>
        <v>0</v>
      </c>
    </row>
    <row r="652" spans="1:42" x14ac:dyDescent="0.2">
      <c r="A652" s="4">
        <f>A651+1</f>
        <v>2</v>
      </c>
      <c r="B652" s="178">
        <f t="shared" si="363"/>
        <v>0</v>
      </c>
      <c r="C652" s="180">
        <f t="shared" ref="C652:AP652" si="365">IF(AND(C$2&gt;equip1_reserve_freq*$A639,C$2&lt;=equip1_reserve_freq*$A640),$B640/(equip1_reserve_freq),0)</f>
        <v>0</v>
      </c>
      <c r="D652" s="163">
        <f t="shared" si="365"/>
        <v>0</v>
      </c>
      <c r="E652" s="163">
        <f t="shared" si="365"/>
        <v>0</v>
      </c>
      <c r="F652" s="163">
        <f t="shared" si="365"/>
        <v>0</v>
      </c>
      <c r="G652" s="163">
        <f t="shared" si="365"/>
        <v>0</v>
      </c>
      <c r="H652" s="163">
        <f t="shared" si="365"/>
        <v>0</v>
      </c>
      <c r="I652" s="163">
        <f t="shared" si="365"/>
        <v>0</v>
      </c>
      <c r="J652" s="163">
        <f t="shared" si="365"/>
        <v>0</v>
      </c>
      <c r="K652" s="163">
        <f t="shared" si="365"/>
        <v>0</v>
      </c>
      <c r="L652" s="163">
        <f t="shared" si="365"/>
        <v>0</v>
      </c>
      <c r="M652" s="163">
        <f t="shared" si="365"/>
        <v>0</v>
      </c>
      <c r="N652" s="163">
        <f t="shared" si="365"/>
        <v>0</v>
      </c>
      <c r="O652" s="163">
        <f t="shared" si="365"/>
        <v>0</v>
      </c>
      <c r="P652" s="163">
        <f t="shared" si="365"/>
        <v>0</v>
      </c>
      <c r="Q652" s="163">
        <f t="shared" si="365"/>
        <v>0</v>
      </c>
      <c r="R652" s="163">
        <f t="shared" si="365"/>
        <v>0</v>
      </c>
      <c r="S652" s="163">
        <f t="shared" si="365"/>
        <v>0</v>
      </c>
      <c r="T652" s="163">
        <f t="shared" si="365"/>
        <v>0</v>
      </c>
      <c r="U652" s="163">
        <f t="shared" si="365"/>
        <v>0</v>
      </c>
      <c r="V652" s="163">
        <f t="shared" si="365"/>
        <v>0</v>
      </c>
      <c r="W652" s="163">
        <f t="shared" si="365"/>
        <v>0</v>
      </c>
      <c r="X652" s="163">
        <f t="shared" si="365"/>
        <v>0</v>
      </c>
      <c r="Y652" s="163">
        <f t="shared" si="365"/>
        <v>0</v>
      </c>
      <c r="Z652" s="163">
        <f t="shared" si="365"/>
        <v>0</v>
      </c>
      <c r="AA652" s="163">
        <f t="shared" si="365"/>
        <v>0</v>
      </c>
      <c r="AB652" s="163">
        <f t="shared" si="365"/>
        <v>0</v>
      </c>
      <c r="AC652" s="163">
        <f t="shared" si="365"/>
        <v>0</v>
      </c>
      <c r="AD652" s="163">
        <f t="shared" si="365"/>
        <v>0</v>
      </c>
      <c r="AE652" s="163">
        <f t="shared" si="365"/>
        <v>0</v>
      </c>
      <c r="AF652" s="163">
        <f t="shared" si="365"/>
        <v>0</v>
      </c>
      <c r="AG652" s="163">
        <f t="shared" si="365"/>
        <v>0</v>
      </c>
      <c r="AH652" s="163">
        <f t="shared" si="365"/>
        <v>0</v>
      </c>
      <c r="AI652" s="163">
        <f t="shared" si="365"/>
        <v>0</v>
      </c>
      <c r="AJ652" s="163">
        <f t="shared" si="365"/>
        <v>0</v>
      </c>
      <c r="AK652" s="163">
        <f t="shared" si="365"/>
        <v>0</v>
      </c>
      <c r="AL652" s="163">
        <f t="shared" si="365"/>
        <v>0</v>
      </c>
      <c r="AM652" s="163">
        <f t="shared" si="365"/>
        <v>0</v>
      </c>
      <c r="AN652" s="163">
        <f t="shared" si="365"/>
        <v>0</v>
      </c>
      <c r="AO652" s="163">
        <f t="shared" si="365"/>
        <v>0</v>
      </c>
      <c r="AP652" s="163">
        <f t="shared" si="365"/>
        <v>0</v>
      </c>
    </row>
    <row r="653" spans="1:42" x14ac:dyDescent="0.2">
      <c r="A653" s="4">
        <f t="shared" ref="A653:A658" si="366">A652+1</f>
        <v>3</v>
      </c>
      <c r="B653" s="178">
        <f t="shared" si="363"/>
        <v>0</v>
      </c>
      <c r="C653" s="180">
        <f t="shared" ref="C653:AP653" si="367">IF(AND(C$2&gt;equip1_reserve_freq*$A640,C$2&lt;=equip1_reserve_freq*$A641),$B641/(equip1_reserve_freq),0)</f>
        <v>0</v>
      </c>
      <c r="D653" s="163">
        <f t="shared" si="367"/>
        <v>0</v>
      </c>
      <c r="E653" s="163">
        <f t="shared" si="367"/>
        <v>0</v>
      </c>
      <c r="F653" s="163">
        <f t="shared" si="367"/>
        <v>0</v>
      </c>
      <c r="G653" s="163">
        <f t="shared" si="367"/>
        <v>0</v>
      </c>
      <c r="H653" s="163">
        <f t="shared" si="367"/>
        <v>0</v>
      </c>
      <c r="I653" s="163">
        <f t="shared" si="367"/>
        <v>0</v>
      </c>
      <c r="J653" s="163">
        <f t="shared" si="367"/>
        <v>0</v>
      </c>
      <c r="K653" s="163">
        <f t="shared" si="367"/>
        <v>0</v>
      </c>
      <c r="L653" s="163">
        <f t="shared" si="367"/>
        <v>0</v>
      </c>
      <c r="M653" s="163">
        <f t="shared" si="367"/>
        <v>0</v>
      </c>
      <c r="N653" s="163">
        <f t="shared" si="367"/>
        <v>0</v>
      </c>
      <c r="O653" s="163">
        <f t="shared" si="367"/>
        <v>0</v>
      </c>
      <c r="P653" s="163">
        <f t="shared" si="367"/>
        <v>0</v>
      </c>
      <c r="Q653" s="163">
        <f t="shared" si="367"/>
        <v>0</v>
      </c>
      <c r="R653" s="163">
        <f t="shared" si="367"/>
        <v>0</v>
      </c>
      <c r="S653" s="163">
        <f t="shared" si="367"/>
        <v>0</v>
      </c>
      <c r="T653" s="163">
        <f t="shared" si="367"/>
        <v>0</v>
      </c>
      <c r="U653" s="163">
        <f t="shared" si="367"/>
        <v>0</v>
      </c>
      <c r="V653" s="163">
        <f t="shared" si="367"/>
        <v>0</v>
      </c>
      <c r="W653" s="163">
        <f t="shared" si="367"/>
        <v>0</v>
      </c>
      <c r="X653" s="163">
        <f t="shared" si="367"/>
        <v>0</v>
      </c>
      <c r="Y653" s="163">
        <f t="shared" si="367"/>
        <v>0</v>
      </c>
      <c r="Z653" s="163">
        <f t="shared" si="367"/>
        <v>0</v>
      </c>
      <c r="AA653" s="163">
        <f t="shared" si="367"/>
        <v>0</v>
      </c>
      <c r="AB653" s="163">
        <f t="shared" si="367"/>
        <v>0</v>
      </c>
      <c r="AC653" s="163">
        <f t="shared" si="367"/>
        <v>0</v>
      </c>
      <c r="AD653" s="163">
        <f t="shared" si="367"/>
        <v>0</v>
      </c>
      <c r="AE653" s="163">
        <f t="shared" si="367"/>
        <v>0</v>
      </c>
      <c r="AF653" s="163">
        <f t="shared" si="367"/>
        <v>0</v>
      </c>
      <c r="AG653" s="163">
        <f t="shared" si="367"/>
        <v>0</v>
      </c>
      <c r="AH653" s="163">
        <f t="shared" si="367"/>
        <v>0</v>
      </c>
      <c r="AI653" s="163">
        <f t="shared" si="367"/>
        <v>0</v>
      </c>
      <c r="AJ653" s="163">
        <f t="shared" si="367"/>
        <v>0</v>
      </c>
      <c r="AK653" s="163">
        <f t="shared" si="367"/>
        <v>0</v>
      </c>
      <c r="AL653" s="163">
        <f t="shared" si="367"/>
        <v>0</v>
      </c>
      <c r="AM653" s="163">
        <f t="shared" si="367"/>
        <v>0</v>
      </c>
      <c r="AN653" s="163">
        <f t="shared" si="367"/>
        <v>0</v>
      </c>
      <c r="AO653" s="163">
        <f t="shared" si="367"/>
        <v>0</v>
      </c>
      <c r="AP653" s="163">
        <f t="shared" si="367"/>
        <v>0</v>
      </c>
    </row>
    <row r="654" spans="1:42" x14ac:dyDescent="0.2">
      <c r="A654" s="4">
        <f t="shared" si="366"/>
        <v>4</v>
      </c>
      <c r="B654" s="178">
        <f t="shared" si="363"/>
        <v>0</v>
      </c>
      <c r="C654" s="180">
        <f t="shared" ref="C654:AP654" si="368">IF(AND(C$2&gt;equip1_reserve_freq*$A641,C$2&lt;=equip1_reserve_freq*$A642),$B642/(equip1_reserve_freq),0)</f>
        <v>0</v>
      </c>
      <c r="D654" s="163">
        <f t="shared" si="368"/>
        <v>0</v>
      </c>
      <c r="E654" s="163">
        <f t="shared" si="368"/>
        <v>0</v>
      </c>
      <c r="F654" s="163">
        <f t="shared" si="368"/>
        <v>0</v>
      </c>
      <c r="G654" s="163">
        <f t="shared" si="368"/>
        <v>0</v>
      </c>
      <c r="H654" s="163">
        <f t="shared" si="368"/>
        <v>0</v>
      </c>
      <c r="I654" s="163">
        <f t="shared" si="368"/>
        <v>0</v>
      </c>
      <c r="J654" s="163">
        <f t="shared" si="368"/>
        <v>0</v>
      </c>
      <c r="K654" s="163">
        <f t="shared" si="368"/>
        <v>0</v>
      </c>
      <c r="L654" s="163">
        <f t="shared" si="368"/>
        <v>0</v>
      </c>
      <c r="M654" s="163">
        <f t="shared" si="368"/>
        <v>0</v>
      </c>
      <c r="N654" s="163">
        <f t="shared" si="368"/>
        <v>0</v>
      </c>
      <c r="O654" s="163">
        <f t="shared" si="368"/>
        <v>0</v>
      </c>
      <c r="P654" s="163">
        <f t="shared" si="368"/>
        <v>0</v>
      </c>
      <c r="Q654" s="163">
        <f t="shared" si="368"/>
        <v>0</v>
      </c>
      <c r="R654" s="163">
        <f t="shared" si="368"/>
        <v>0</v>
      </c>
      <c r="S654" s="163">
        <f t="shared" si="368"/>
        <v>0</v>
      </c>
      <c r="T654" s="163">
        <f t="shared" si="368"/>
        <v>0</v>
      </c>
      <c r="U654" s="163">
        <f t="shared" si="368"/>
        <v>0</v>
      </c>
      <c r="V654" s="163">
        <f t="shared" si="368"/>
        <v>0</v>
      </c>
      <c r="W654" s="163">
        <f t="shared" si="368"/>
        <v>0</v>
      </c>
      <c r="X654" s="163">
        <f t="shared" si="368"/>
        <v>0</v>
      </c>
      <c r="Y654" s="163">
        <f t="shared" si="368"/>
        <v>0</v>
      </c>
      <c r="Z654" s="163">
        <f t="shared" si="368"/>
        <v>0</v>
      </c>
      <c r="AA654" s="163">
        <f t="shared" si="368"/>
        <v>0</v>
      </c>
      <c r="AB654" s="163">
        <f t="shared" si="368"/>
        <v>0</v>
      </c>
      <c r="AC654" s="163">
        <f t="shared" si="368"/>
        <v>0</v>
      </c>
      <c r="AD654" s="163">
        <f t="shared" si="368"/>
        <v>0</v>
      </c>
      <c r="AE654" s="163">
        <f t="shared" si="368"/>
        <v>0</v>
      </c>
      <c r="AF654" s="163">
        <f t="shared" si="368"/>
        <v>0</v>
      </c>
      <c r="AG654" s="163">
        <f t="shared" si="368"/>
        <v>0</v>
      </c>
      <c r="AH654" s="163">
        <f t="shared" si="368"/>
        <v>0</v>
      </c>
      <c r="AI654" s="163">
        <f t="shared" si="368"/>
        <v>0</v>
      </c>
      <c r="AJ654" s="163">
        <f t="shared" si="368"/>
        <v>0</v>
      </c>
      <c r="AK654" s="163">
        <f t="shared" si="368"/>
        <v>0</v>
      </c>
      <c r="AL654" s="163">
        <f t="shared" si="368"/>
        <v>0</v>
      </c>
      <c r="AM654" s="163">
        <f t="shared" si="368"/>
        <v>0</v>
      </c>
      <c r="AN654" s="163">
        <f t="shared" si="368"/>
        <v>0</v>
      </c>
      <c r="AO654" s="163">
        <f t="shared" si="368"/>
        <v>0</v>
      </c>
      <c r="AP654" s="163">
        <f t="shared" si="368"/>
        <v>0</v>
      </c>
    </row>
    <row r="655" spans="1:42" x14ac:dyDescent="0.2">
      <c r="A655" s="4">
        <f t="shared" si="366"/>
        <v>5</v>
      </c>
      <c r="B655" s="178">
        <f t="shared" si="363"/>
        <v>0</v>
      </c>
      <c r="C655" s="180">
        <f t="shared" ref="C655:AP655" si="369">IF(AND(C$2&gt;equip1_reserve_freq*$A642,C$2&lt;=equip1_reserve_freq*$A643),$B643/(equip1_reserve_freq),0)</f>
        <v>0</v>
      </c>
      <c r="D655" s="163">
        <f t="shared" si="369"/>
        <v>0</v>
      </c>
      <c r="E655" s="163">
        <f t="shared" si="369"/>
        <v>0</v>
      </c>
      <c r="F655" s="163">
        <f t="shared" si="369"/>
        <v>0</v>
      </c>
      <c r="G655" s="163">
        <f t="shared" si="369"/>
        <v>0</v>
      </c>
      <c r="H655" s="163">
        <f t="shared" si="369"/>
        <v>0</v>
      </c>
      <c r="I655" s="163">
        <f t="shared" si="369"/>
        <v>0</v>
      </c>
      <c r="J655" s="163">
        <f t="shared" si="369"/>
        <v>0</v>
      </c>
      <c r="K655" s="163">
        <f t="shared" si="369"/>
        <v>0</v>
      </c>
      <c r="L655" s="163">
        <f t="shared" si="369"/>
        <v>0</v>
      </c>
      <c r="M655" s="163">
        <f t="shared" si="369"/>
        <v>0</v>
      </c>
      <c r="N655" s="163">
        <f t="shared" si="369"/>
        <v>0</v>
      </c>
      <c r="O655" s="163">
        <f t="shared" si="369"/>
        <v>0</v>
      </c>
      <c r="P655" s="163">
        <f t="shared" si="369"/>
        <v>0</v>
      </c>
      <c r="Q655" s="163">
        <f t="shared" si="369"/>
        <v>0</v>
      </c>
      <c r="R655" s="163">
        <f t="shared" si="369"/>
        <v>0</v>
      </c>
      <c r="S655" s="163">
        <f t="shared" si="369"/>
        <v>0</v>
      </c>
      <c r="T655" s="163">
        <f t="shared" si="369"/>
        <v>0</v>
      </c>
      <c r="U655" s="163">
        <f t="shared" si="369"/>
        <v>0</v>
      </c>
      <c r="V655" s="163">
        <f t="shared" si="369"/>
        <v>0</v>
      </c>
      <c r="W655" s="163">
        <f t="shared" si="369"/>
        <v>0</v>
      </c>
      <c r="X655" s="163">
        <f t="shared" si="369"/>
        <v>0</v>
      </c>
      <c r="Y655" s="163">
        <f t="shared" si="369"/>
        <v>0</v>
      </c>
      <c r="Z655" s="163">
        <f t="shared" si="369"/>
        <v>0</v>
      </c>
      <c r="AA655" s="163">
        <f t="shared" si="369"/>
        <v>0</v>
      </c>
      <c r="AB655" s="163">
        <f t="shared" si="369"/>
        <v>0</v>
      </c>
      <c r="AC655" s="163">
        <f t="shared" si="369"/>
        <v>0</v>
      </c>
      <c r="AD655" s="163">
        <f t="shared" si="369"/>
        <v>0</v>
      </c>
      <c r="AE655" s="163">
        <f t="shared" si="369"/>
        <v>0</v>
      </c>
      <c r="AF655" s="163">
        <f t="shared" si="369"/>
        <v>0</v>
      </c>
      <c r="AG655" s="163">
        <f t="shared" si="369"/>
        <v>0</v>
      </c>
      <c r="AH655" s="163">
        <f t="shared" si="369"/>
        <v>0</v>
      </c>
      <c r="AI655" s="163">
        <f t="shared" si="369"/>
        <v>0</v>
      </c>
      <c r="AJ655" s="163">
        <f t="shared" si="369"/>
        <v>0</v>
      </c>
      <c r="AK655" s="163">
        <f t="shared" si="369"/>
        <v>0</v>
      </c>
      <c r="AL655" s="163">
        <f t="shared" si="369"/>
        <v>0</v>
      </c>
      <c r="AM655" s="163">
        <f t="shared" si="369"/>
        <v>0</v>
      </c>
      <c r="AN655" s="163">
        <f t="shared" si="369"/>
        <v>0</v>
      </c>
      <c r="AO655" s="163">
        <f t="shared" si="369"/>
        <v>0</v>
      </c>
      <c r="AP655" s="163">
        <f t="shared" si="369"/>
        <v>0</v>
      </c>
    </row>
    <row r="656" spans="1:42" x14ac:dyDescent="0.2">
      <c r="A656" s="4">
        <f t="shared" si="366"/>
        <v>6</v>
      </c>
      <c r="B656" s="178">
        <f t="shared" si="363"/>
        <v>0</v>
      </c>
      <c r="C656" s="180">
        <f t="shared" ref="C656:AP656" si="370">IF(AND(C$2&gt;equip1_reserve_freq*$A643,C$2&lt;=equip1_reserve_freq*$A644),$B644/(equip1_reserve_freq),0)</f>
        <v>0</v>
      </c>
      <c r="D656" s="163">
        <f t="shared" si="370"/>
        <v>0</v>
      </c>
      <c r="E656" s="163">
        <f t="shared" si="370"/>
        <v>0</v>
      </c>
      <c r="F656" s="163">
        <f t="shared" si="370"/>
        <v>0</v>
      </c>
      <c r="G656" s="163">
        <f t="shared" si="370"/>
        <v>0</v>
      </c>
      <c r="H656" s="163">
        <f t="shared" si="370"/>
        <v>0</v>
      </c>
      <c r="I656" s="163">
        <f t="shared" si="370"/>
        <v>0</v>
      </c>
      <c r="J656" s="163">
        <f t="shared" si="370"/>
        <v>0</v>
      </c>
      <c r="K656" s="163">
        <f t="shared" si="370"/>
        <v>0</v>
      </c>
      <c r="L656" s="163">
        <f t="shared" si="370"/>
        <v>0</v>
      </c>
      <c r="M656" s="163">
        <f t="shared" si="370"/>
        <v>0</v>
      </c>
      <c r="N656" s="163">
        <f t="shared" si="370"/>
        <v>0</v>
      </c>
      <c r="O656" s="163">
        <f t="shared" si="370"/>
        <v>0</v>
      </c>
      <c r="P656" s="163">
        <f t="shared" si="370"/>
        <v>0</v>
      </c>
      <c r="Q656" s="163">
        <f t="shared" si="370"/>
        <v>0</v>
      </c>
      <c r="R656" s="163">
        <f t="shared" si="370"/>
        <v>0</v>
      </c>
      <c r="S656" s="163">
        <f t="shared" si="370"/>
        <v>0</v>
      </c>
      <c r="T656" s="163">
        <f t="shared" si="370"/>
        <v>0</v>
      </c>
      <c r="U656" s="163">
        <f t="shared" si="370"/>
        <v>0</v>
      </c>
      <c r="V656" s="163">
        <f t="shared" si="370"/>
        <v>0</v>
      </c>
      <c r="W656" s="163">
        <f t="shared" si="370"/>
        <v>0</v>
      </c>
      <c r="X656" s="163">
        <f t="shared" si="370"/>
        <v>0</v>
      </c>
      <c r="Y656" s="163">
        <f t="shared" si="370"/>
        <v>0</v>
      </c>
      <c r="Z656" s="163">
        <f t="shared" si="370"/>
        <v>0</v>
      </c>
      <c r="AA656" s="163">
        <f t="shared" si="370"/>
        <v>0</v>
      </c>
      <c r="AB656" s="163">
        <f t="shared" si="370"/>
        <v>0</v>
      </c>
      <c r="AC656" s="163">
        <f t="shared" si="370"/>
        <v>0</v>
      </c>
      <c r="AD656" s="163">
        <f t="shared" si="370"/>
        <v>0</v>
      </c>
      <c r="AE656" s="163">
        <f t="shared" si="370"/>
        <v>0</v>
      </c>
      <c r="AF656" s="163">
        <f t="shared" si="370"/>
        <v>0</v>
      </c>
      <c r="AG656" s="163">
        <f t="shared" si="370"/>
        <v>0</v>
      </c>
      <c r="AH656" s="163">
        <f t="shared" si="370"/>
        <v>0</v>
      </c>
      <c r="AI656" s="163">
        <f t="shared" si="370"/>
        <v>0</v>
      </c>
      <c r="AJ656" s="163">
        <f t="shared" si="370"/>
        <v>0</v>
      </c>
      <c r="AK656" s="163">
        <f t="shared" si="370"/>
        <v>0</v>
      </c>
      <c r="AL656" s="163">
        <f t="shared" si="370"/>
        <v>0</v>
      </c>
      <c r="AM656" s="163">
        <f t="shared" si="370"/>
        <v>0</v>
      </c>
      <c r="AN656" s="163">
        <f t="shared" si="370"/>
        <v>0</v>
      </c>
      <c r="AO656" s="163">
        <f t="shared" si="370"/>
        <v>0</v>
      </c>
      <c r="AP656" s="163">
        <f t="shared" si="370"/>
        <v>0</v>
      </c>
    </row>
    <row r="657" spans="1:42" x14ac:dyDescent="0.2">
      <c r="A657" s="4">
        <f t="shared" si="366"/>
        <v>7</v>
      </c>
      <c r="B657" s="178">
        <f t="shared" si="363"/>
        <v>0</v>
      </c>
      <c r="C657" s="180">
        <f t="shared" ref="C657:AP657" si="371">IF(AND(C$2&gt;equip1_reserve_freq*$A644,C$2&lt;=equip1_reserve_freq*$A645),$B645/(equip1_reserve_freq),0)</f>
        <v>0</v>
      </c>
      <c r="D657" s="163">
        <f t="shared" si="371"/>
        <v>0</v>
      </c>
      <c r="E657" s="163">
        <f t="shared" si="371"/>
        <v>0</v>
      </c>
      <c r="F657" s="163">
        <f t="shared" si="371"/>
        <v>0</v>
      </c>
      <c r="G657" s="163">
        <f t="shared" si="371"/>
        <v>0</v>
      </c>
      <c r="H657" s="163">
        <f t="shared" si="371"/>
        <v>0</v>
      </c>
      <c r="I657" s="163">
        <f t="shared" si="371"/>
        <v>0</v>
      </c>
      <c r="J657" s="163">
        <f t="shared" si="371"/>
        <v>0</v>
      </c>
      <c r="K657" s="163">
        <f t="shared" si="371"/>
        <v>0</v>
      </c>
      <c r="L657" s="163">
        <f t="shared" si="371"/>
        <v>0</v>
      </c>
      <c r="M657" s="163">
        <f t="shared" si="371"/>
        <v>0</v>
      </c>
      <c r="N657" s="163">
        <f t="shared" si="371"/>
        <v>0</v>
      </c>
      <c r="O657" s="163">
        <f t="shared" si="371"/>
        <v>0</v>
      </c>
      <c r="P657" s="163">
        <f t="shared" si="371"/>
        <v>0</v>
      </c>
      <c r="Q657" s="163">
        <f t="shared" si="371"/>
        <v>0</v>
      </c>
      <c r="R657" s="163">
        <f t="shared" si="371"/>
        <v>0</v>
      </c>
      <c r="S657" s="163">
        <f t="shared" si="371"/>
        <v>0</v>
      </c>
      <c r="T657" s="163">
        <f t="shared" si="371"/>
        <v>0</v>
      </c>
      <c r="U657" s="163">
        <f t="shared" si="371"/>
        <v>0</v>
      </c>
      <c r="V657" s="163">
        <f t="shared" si="371"/>
        <v>0</v>
      </c>
      <c r="W657" s="163">
        <f t="shared" si="371"/>
        <v>0</v>
      </c>
      <c r="X657" s="163">
        <f t="shared" si="371"/>
        <v>0</v>
      </c>
      <c r="Y657" s="163">
        <f t="shared" si="371"/>
        <v>0</v>
      </c>
      <c r="Z657" s="163">
        <f t="shared" si="371"/>
        <v>0</v>
      </c>
      <c r="AA657" s="163">
        <f t="shared" si="371"/>
        <v>0</v>
      </c>
      <c r="AB657" s="163">
        <f t="shared" si="371"/>
        <v>0</v>
      </c>
      <c r="AC657" s="163">
        <f t="shared" si="371"/>
        <v>0</v>
      </c>
      <c r="AD657" s="163">
        <f t="shared" si="371"/>
        <v>0</v>
      </c>
      <c r="AE657" s="163">
        <f t="shared" si="371"/>
        <v>0</v>
      </c>
      <c r="AF657" s="163">
        <f t="shared" si="371"/>
        <v>0</v>
      </c>
      <c r="AG657" s="163">
        <f t="shared" si="371"/>
        <v>0</v>
      </c>
      <c r="AH657" s="163">
        <f t="shared" si="371"/>
        <v>0</v>
      </c>
      <c r="AI657" s="163">
        <f t="shared" si="371"/>
        <v>0</v>
      </c>
      <c r="AJ657" s="163">
        <f t="shared" si="371"/>
        <v>0</v>
      </c>
      <c r="AK657" s="163">
        <f t="shared" si="371"/>
        <v>0</v>
      </c>
      <c r="AL657" s="163">
        <f t="shared" si="371"/>
        <v>0</v>
      </c>
      <c r="AM657" s="163">
        <f t="shared" si="371"/>
        <v>0</v>
      </c>
      <c r="AN657" s="163">
        <f t="shared" si="371"/>
        <v>0</v>
      </c>
      <c r="AO657" s="163">
        <f t="shared" si="371"/>
        <v>0</v>
      </c>
      <c r="AP657" s="163">
        <f t="shared" si="371"/>
        <v>0</v>
      </c>
    </row>
    <row r="658" spans="1:42" x14ac:dyDescent="0.2">
      <c r="A658" s="4">
        <f t="shared" si="366"/>
        <v>8</v>
      </c>
      <c r="B658" s="178">
        <f t="shared" si="363"/>
        <v>0</v>
      </c>
      <c r="C658" s="180">
        <f t="shared" ref="C658:AP658" si="372">IF(AND(C$2&gt;equip1_reserve_freq*$A645,C$2&lt;=equip1_reserve_freq*$A646),$B646/(equip1_reserve_freq),0)</f>
        <v>0</v>
      </c>
      <c r="D658" s="163">
        <f t="shared" si="372"/>
        <v>0</v>
      </c>
      <c r="E658" s="163">
        <f t="shared" si="372"/>
        <v>0</v>
      </c>
      <c r="F658" s="163">
        <f t="shared" si="372"/>
        <v>0</v>
      </c>
      <c r="G658" s="163">
        <f t="shared" si="372"/>
        <v>0</v>
      </c>
      <c r="H658" s="163">
        <f t="shared" si="372"/>
        <v>0</v>
      </c>
      <c r="I658" s="163">
        <f t="shared" si="372"/>
        <v>0</v>
      </c>
      <c r="J658" s="163">
        <f t="shared" si="372"/>
        <v>0</v>
      </c>
      <c r="K658" s="163">
        <f t="shared" si="372"/>
        <v>0</v>
      </c>
      <c r="L658" s="163">
        <f t="shared" si="372"/>
        <v>0</v>
      </c>
      <c r="M658" s="163">
        <f t="shared" si="372"/>
        <v>0</v>
      </c>
      <c r="N658" s="163">
        <f t="shared" si="372"/>
        <v>0</v>
      </c>
      <c r="O658" s="163">
        <f t="shared" si="372"/>
        <v>0</v>
      </c>
      <c r="P658" s="163">
        <f t="shared" si="372"/>
        <v>0</v>
      </c>
      <c r="Q658" s="163">
        <f t="shared" si="372"/>
        <v>0</v>
      </c>
      <c r="R658" s="163">
        <f t="shared" si="372"/>
        <v>0</v>
      </c>
      <c r="S658" s="163">
        <f t="shared" si="372"/>
        <v>0</v>
      </c>
      <c r="T658" s="163">
        <f t="shared" si="372"/>
        <v>0</v>
      </c>
      <c r="U658" s="163">
        <f t="shared" si="372"/>
        <v>0</v>
      </c>
      <c r="V658" s="163">
        <f t="shared" si="372"/>
        <v>0</v>
      </c>
      <c r="W658" s="163">
        <f t="shared" si="372"/>
        <v>0</v>
      </c>
      <c r="X658" s="163">
        <f t="shared" si="372"/>
        <v>0</v>
      </c>
      <c r="Y658" s="163">
        <f t="shared" si="372"/>
        <v>0</v>
      </c>
      <c r="Z658" s="163">
        <f t="shared" si="372"/>
        <v>0</v>
      </c>
      <c r="AA658" s="163">
        <f t="shared" si="372"/>
        <v>0</v>
      </c>
      <c r="AB658" s="163">
        <f t="shared" si="372"/>
        <v>0</v>
      </c>
      <c r="AC658" s="163">
        <f t="shared" si="372"/>
        <v>0</v>
      </c>
      <c r="AD658" s="163">
        <f t="shared" si="372"/>
        <v>0</v>
      </c>
      <c r="AE658" s="163">
        <f t="shared" si="372"/>
        <v>0</v>
      </c>
      <c r="AF658" s="163">
        <f t="shared" si="372"/>
        <v>0</v>
      </c>
      <c r="AG658" s="163">
        <f t="shared" si="372"/>
        <v>0</v>
      </c>
      <c r="AH658" s="163">
        <f t="shared" si="372"/>
        <v>0</v>
      </c>
      <c r="AI658" s="163">
        <f t="shared" si="372"/>
        <v>0</v>
      </c>
      <c r="AJ658" s="163">
        <f t="shared" si="372"/>
        <v>0</v>
      </c>
      <c r="AK658" s="163">
        <f t="shared" si="372"/>
        <v>0</v>
      </c>
      <c r="AL658" s="163">
        <f t="shared" si="372"/>
        <v>0</v>
      </c>
      <c r="AM658" s="163">
        <f t="shared" si="372"/>
        <v>0</v>
      </c>
      <c r="AN658" s="163">
        <f t="shared" si="372"/>
        <v>0</v>
      </c>
      <c r="AO658" s="163">
        <f t="shared" si="372"/>
        <v>0</v>
      </c>
      <c r="AP658" s="163">
        <f t="shared" si="372"/>
        <v>0</v>
      </c>
    </row>
    <row r="659" spans="1:42" x14ac:dyDescent="0.2">
      <c r="A659" s="4">
        <f>A658+1</f>
        <v>9</v>
      </c>
      <c r="B659" s="178">
        <f t="shared" si="363"/>
        <v>0</v>
      </c>
      <c r="C659" s="180">
        <f t="shared" ref="C659:AP659" si="373">IF(AND(C$2&gt;equip1_reserve_freq*$A646,C$2&lt;=equip1_reserve_freq*$A647),$B647/(equip1_reserve_freq),0)</f>
        <v>0</v>
      </c>
      <c r="D659" s="163">
        <f t="shared" si="373"/>
        <v>0</v>
      </c>
      <c r="E659" s="163">
        <f t="shared" si="373"/>
        <v>0</v>
      </c>
      <c r="F659" s="163">
        <f t="shared" si="373"/>
        <v>0</v>
      </c>
      <c r="G659" s="163">
        <f t="shared" si="373"/>
        <v>0</v>
      </c>
      <c r="H659" s="163">
        <f t="shared" si="373"/>
        <v>0</v>
      </c>
      <c r="I659" s="163">
        <f t="shared" si="373"/>
        <v>0</v>
      </c>
      <c r="J659" s="163">
        <f t="shared" si="373"/>
        <v>0</v>
      </c>
      <c r="K659" s="163">
        <f t="shared" si="373"/>
        <v>0</v>
      </c>
      <c r="L659" s="163">
        <f t="shared" si="373"/>
        <v>0</v>
      </c>
      <c r="M659" s="163">
        <f t="shared" si="373"/>
        <v>0</v>
      </c>
      <c r="N659" s="163">
        <f t="shared" si="373"/>
        <v>0</v>
      </c>
      <c r="O659" s="163">
        <f t="shared" si="373"/>
        <v>0</v>
      </c>
      <c r="P659" s="163">
        <f t="shared" si="373"/>
        <v>0</v>
      </c>
      <c r="Q659" s="163">
        <f t="shared" si="373"/>
        <v>0</v>
      </c>
      <c r="R659" s="163">
        <f t="shared" si="373"/>
        <v>0</v>
      </c>
      <c r="S659" s="163">
        <f t="shared" si="373"/>
        <v>0</v>
      </c>
      <c r="T659" s="163">
        <f t="shared" si="373"/>
        <v>0</v>
      </c>
      <c r="U659" s="163">
        <f t="shared" si="373"/>
        <v>0</v>
      </c>
      <c r="V659" s="163">
        <f t="shared" si="373"/>
        <v>0</v>
      </c>
      <c r="W659" s="163">
        <f t="shared" si="373"/>
        <v>0</v>
      </c>
      <c r="X659" s="163">
        <f t="shared" si="373"/>
        <v>0</v>
      </c>
      <c r="Y659" s="163">
        <f t="shared" si="373"/>
        <v>0</v>
      </c>
      <c r="Z659" s="163">
        <f t="shared" si="373"/>
        <v>0</v>
      </c>
      <c r="AA659" s="163">
        <f t="shared" si="373"/>
        <v>0</v>
      </c>
      <c r="AB659" s="163">
        <f t="shared" si="373"/>
        <v>0</v>
      </c>
      <c r="AC659" s="163">
        <f t="shared" si="373"/>
        <v>0</v>
      </c>
      <c r="AD659" s="163">
        <f t="shared" si="373"/>
        <v>0</v>
      </c>
      <c r="AE659" s="163">
        <f t="shared" si="373"/>
        <v>0</v>
      </c>
      <c r="AF659" s="163">
        <f t="shared" si="373"/>
        <v>0</v>
      </c>
      <c r="AG659" s="163">
        <f t="shared" si="373"/>
        <v>0</v>
      </c>
      <c r="AH659" s="163">
        <f t="shared" si="373"/>
        <v>0</v>
      </c>
      <c r="AI659" s="163">
        <f t="shared" si="373"/>
        <v>0</v>
      </c>
      <c r="AJ659" s="163">
        <f t="shared" si="373"/>
        <v>0</v>
      </c>
      <c r="AK659" s="163">
        <f t="shared" si="373"/>
        <v>0</v>
      </c>
      <c r="AL659" s="163">
        <f t="shared" si="373"/>
        <v>0</v>
      </c>
      <c r="AM659" s="163">
        <f t="shared" si="373"/>
        <v>0</v>
      </c>
      <c r="AN659" s="163">
        <f t="shared" si="373"/>
        <v>0</v>
      </c>
      <c r="AO659" s="163">
        <f t="shared" si="373"/>
        <v>0</v>
      </c>
      <c r="AP659" s="163">
        <f t="shared" si="373"/>
        <v>0</v>
      </c>
    </row>
    <row r="660" spans="1:42" x14ac:dyDescent="0.2">
      <c r="A660" s="4">
        <f t="shared" ref="A660" si="374">A659+1</f>
        <v>10</v>
      </c>
      <c r="B660" s="178">
        <f t="shared" si="363"/>
        <v>0</v>
      </c>
      <c r="C660" s="179">
        <f t="shared" ref="C660:AP660" si="375">IF(AND(C$2&gt;equip1_reserve_freq*$A647,C$2&lt;=equip1_reserve_freq*$A648),$B648/(equip1_reserve_freq),0)</f>
        <v>0</v>
      </c>
      <c r="D660" s="164">
        <f t="shared" si="375"/>
        <v>0</v>
      </c>
      <c r="E660" s="164">
        <f t="shared" si="375"/>
        <v>0</v>
      </c>
      <c r="F660" s="164">
        <f t="shared" si="375"/>
        <v>0</v>
      </c>
      <c r="G660" s="164">
        <f t="shared" si="375"/>
        <v>0</v>
      </c>
      <c r="H660" s="164">
        <f t="shared" si="375"/>
        <v>0</v>
      </c>
      <c r="I660" s="164">
        <f t="shared" si="375"/>
        <v>0</v>
      </c>
      <c r="J660" s="164">
        <f t="shared" si="375"/>
        <v>0</v>
      </c>
      <c r="K660" s="164">
        <f t="shared" si="375"/>
        <v>0</v>
      </c>
      <c r="L660" s="164">
        <f t="shared" si="375"/>
        <v>0</v>
      </c>
      <c r="M660" s="164">
        <f t="shared" si="375"/>
        <v>0</v>
      </c>
      <c r="N660" s="164">
        <f t="shared" si="375"/>
        <v>0</v>
      </c>
      <c r="O660" s="164">
        <f t="shared" si="375"/>
        <v>0</v>
      </c>
      <c r="P660" s="164">
        <f t="shared" si="375"/>
        <v>0</v>
      </c>
      <c r="Q660" s="164">
        <f t="shared" si="375"/>
        <v>0</v>
      </c>
      <c r="R660" s="164">
        <f t="shared" si="375"/>
        <v>0</v>
      </c>
      <c r="S660" s="164">
        <f t="shared" si="375"/>
        <v>0</v>
      </c>
      <c r="T660" s="164">
        <f t="shared" si="375"/>
        <v>0</v>
      </c>
      <c r="U660" s="164">
        <f t="shared" si="375"/>
        <v>0</v>
      </c>
      <c r="V660" s="164">
        <f t="shared" si="375"/>
        <v>0</v>
      </c>
      <c r="W660" s="164">
        <f t="shared" si="375"/>
        <v>0</v>
      </c>
      <c r="X660" s="164">
        <f t="shared" si="375"/>
        <v>0</v>
      </c>
      <c r="Y660" s="164">
        <f t="shared" si="375"/>
        <v>0</v>
      </c>
      <c r="Z660" s="164">
        <f t="shared" si="375"/>
        <v>0</v>
      </c>
      <c r="AA660" s="164">
        <f t="shared" si="375"/>
        <v>0</v>
      </c>
      <c r="AB660" s="164">
        <f t="shared" si="375"/>
        <v>0</v>
      </c>
      <c r="AC660" s="164">
        <f t="shared" si="375"/>
        <v>0</v>
      </c>
      <c r="AD660" s="164">
        <f t="shared" si="375"/>
        <v>0</v>
      </c>
      <c r="AE660" s="164">
        <f t="shared" si="375"/>
        <v>0</v>
      </c>
      <c r="AF660" s="164">
        <f t="shared" si="375"/>
        <v>0</v>
      </c>
      <c r="AG660" s="164">
        <f t="shared" si="375"/>
        <v>0</v>
      </c>
      <c r="AH660" s="164">
        <f t="shared" si="375"/>
        <v>0</v>
      </c>
      <c r="AI660" s="164">
        <f t="shared" si="375"/>
        <v>0</v>
      </c>
      <c r="AJ660" s="164">
        <f t="shared" si="375"/>
        <v>0</v>
      </c>
      <c r="AK660" s="164">
        <f t="shared" si="375"/>
        <v>0</v>
      </c>
      <c r="AL660" s="164">
        <f t="shared" si="375"/>
        <v>0</v>
      </c>
      <c r="AM660" s="164">
        <f t="shared" si="375"/>
        <v>0</v>
      </c>
      <c r="AN660" s="164">
        <f t="shared" si="375"/>
        <v>0</v>
      </c>
      <c r="AO660" s="164">
        <f t="shared" si="375"/>
        <v>0</v>
      </c>
      <c r="AP660" s="164">
        <f t="shared" si="375"/>
        <v>0</v>
      </c>
    </row>
    <row r="661" spans="1:42" x14ac:dyDescent="0.2">
      <c r="A661" s="27" t="s">
        <v>13</v>
      </c>
      <c r="B661" s="15"/>
      <c r="C661" s="15">
        <f>SUM(C651:C660)</f>
        <v>941982.54731584399</v>
      </c>
      <c r="D661" s="15">
        <f t="shared" ref="D661:AP661" si="376">SUM(D651:D660)</f>
        <v>941982.54731584399</v>
      </c>
      <c r="E661" s="15">
        <f t="shared" si="376"/>
        <v>941982.54731584399</v>
      </c>
      <c r="F661" s="15">
        <f t="shared" si="376"/>
        <v>941982.54731584399</v>
      </c>
      <c r="G661" s="15">
        <f t="shared" si="376"/>
        <v>941982.54731584399</v>
      </c>
      <c r="H661" s="15">
        <f t="shared" si="376"/>
        <v>941982.54731584399</v>
      </c>
      <c r="I661" s="15">
        <f t="shared" si="376"/>
        <v>941982.54731584399</v>
      </c>
      <c r="J661" s="15">
        <f t="shared" si="376"/>
        <v>941982.54731584399</v>
      </c>
      <c r="K661" s="15">
        <f t="shared" si="376"/>
        <v>941982.54731584399</v>
      </c>
      <c r="L661" s="15">
        <f t="shared" si="376"/>
        <v>941982.54731584399</v>
      </c>
      <c r="M661" s="15">
        <f t="shared" si="376"/>
        <v>941982.54731584399</v>
      </c>
      <c r="N661" s="15">
        <f t="shared" si="376"/>
        <v>941982.54731584399</v>
      </c>
      <c r="O661" s="15">
        <f t="shared" si="376"/>
        <v>941982.54731584399</v>
      </c>
      <c r="P661" s="15">
        <f t="shared" si="376"/>
        <v>941982.54731584399</v>
      </c>
      <c r="Q661" s="15">
        <f t="shared" si="376"/>
        <v>941982.54731584399</v>
      </c>
      <c r="R661" s="15">
        <f t="shared" si="376"/>
        <v>0</v>
      </c>
      <c r="S661" s="15">
        <f t="shared" si="376"/>
        <v>0</v>
      </c>
      <c r="T661" s="15">
        <f t="shared" si="376"/>
        <v>0</v>
      </c>
      <c r="U661" s="15">
        <f t="shared" si="376"/>
        <v>0</v>
      </c>
      <c r="V661" s="15">
        <f t="shared" si="376"/>
        <v>0</v>
      </c>
      <c r="W661" s="15">
        <f t="shared" si="376"/>
        <v>0</v>
      </c>
      <c r="X661" s="15">
        <f t="shared" si="376"/>
        <v>0</v>
      </c>
      <c r="Y661" s="15">
        <f t="shared" si="376"/>
        <v>0</v>
      </c>
      <c r="Z661" s="15">
        <f t="shared" si="376"/>
        <v>0</v>
      </c>
      <c r="AA661" s="15">
        <f t="shared" si="376"/>
        <v>0</v>
      </c>
      <c r="AB661" s="15">
        <f t="shared" si="376"/>
        <v>0</v>
      </c>
      <c r="AC661" s="15">
        <f t="shared" si="376"/>
        <v>0</v>
      </c>
      <c r="AD661" s="15">
        <f t="shared" si="376"/>
        <v>0</v>
      </c>
      <c r="AE661" s="15">
        <f t="shared" si="376"/>
        <v>0</v>
      </c>
      <c r="AF661" s="15">
        <f t="shared" si="376"/>
        <v>0</v>
      </c>
      <c r="AG661" s="15">
        <f t="shared" si="376"/>
        <v>0</v>
      </c>
      <c r="AH661" s="15">
        <f t="shared" si="376"/>
        <v>0</v>
      </c>
      <c r="AI661" s="15">
        <f t="shared" si="376"/>
        <v>0</v>
      </c>
      <c r="AJ661" s="15">
        <f t="shared" si="376"/>
        <v>0</v>
      </c>
      <c r="AK661" s="15">
        <f t="shared" si="376"/>
        <v>0</v>
      </c>
      <c r="AL661" s="15">
        <f t="shared" si="376"/>
        <v>0</v>
      </c>
      <c r="AM661" s="15">
        <f t="shared" si="376"/>
        <v>0</v>
      </c>
      <c r="AN661" s="15">
        <f t="shared" si="376"/>
        <v>0</v>
      </c>
      <c r="AO661" s="15">
        <f t="shared" si="376"/>
        <v>0</v>
      </c>
      <c r="AP661" s="15">
        <f t="shared" si="376"/>
        <v>0</v>
      </c>
    </row>
    <row r="662" spans="1:42" x14ac:dyDescent="0.2">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row>
    <row r="663" spans="1:42" x14ac:dyDescent="0.2">
      <c r="A663" s="20" t="s">
        <v>307</v>
      </c>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5"/>
    </row>
    <row r="664" spans="1:42" x14ac:dyDescent="0.2">
      <c r="A664" s="4" t="s">
        <v>299</v>
      </c>
      <c r="B664" s="163">
        <v>0</v>
      </c>
      <c r="C664" s="163">
        <f>B667</f>
        <v>0</v>
      </c>
      <c r="D664" s="163">
        <f t="shared" ref="D664:AP664" si="377">C667</f>
        <v>0</v>
      </c>
      <c r="E664" s="163">
        <f t="shared" si="377"/>
        <v>0</v>
      </c>
      <c r="F664" s="163">
        <f t="shared" si="377"/>
        <v>0</v>
      </c>
      <c r="G664" s="163">
        <f t="shared" si="377"/>
        <v>0</v>
      </c>
      <c r="H664" s="163">
        <f t="shared" si="377"/>
        <v>0</v>
      </c>
      <c r="I664" s="163">
        <f t="shared" si="377"/>
        <v>0</v>
      </c>
      <c r="J664" s="163">
        <f t="shared" si="377"/>
        <v>0</v>
      </c>
      <c r="K664" s="163">
        <f t="shared" si="377"/>
        <v>0</v>
      </c>
      <c r="L664" s="163">
        <f t="shared" si="377"/>
        <v>0</v>
      </c>
      <c r="M664" s="163">
        <f t="shared" si="377"/>
        <v>0</v>
      </c>
      <c r="N664" s="163">
        <f t="shared" si="377"/>
        <v>0</v>
      </c>
      <c r="O664" s="163">
        <f t="shared" si="377"/>
        <v>0</v>
      </c>
      <c r="P664" s="163">
        <f t="shared" si="377"/>
        <v>0</v>
      </c>
      <c r="Q664" s="163">
        <f t="shared" si="377"/>
        <v>0</v>
      </c>
      <c r="R664" s="163">
        <f t="shared" si="377"/>
        <v>0</v>
      </c>
      <c r="S664" s="163">
        <f t="shared" si="377"/>
        <v>0</v>
      </c>
      <c r="T664" s="163">
        <f t="shared" si="377"/>
        <v>0</v>
      </c>
      <c r="U664" s="163">
        <f t="shared" si="377"/>
        <v>0</v>
      </c>
      <c r="V664" s="163">
        <f t="shared" si="377"/>
        <v>0</v>
      </c>
      <c r="W664" s="163">
        <f t="shared" si="377"/>
        <v>0</v>
      </c>
      <c r="X664" s="163">
        <f t="shared" si="377"/>
        <v>0</v>
      </c>
      <c r="Y664" s="163">
        <f t="shared" si="377"/>
        <v>0</v>
      </c>
      <c r="Z664" s="163">
        <f t="shared" si="377"/>
        <v>0</v>
      </c>
      <c r="AA664" s="163">
        <f t="shared" si="377"/>
        <v>0</v>
      </c>
      <c r="AB664" s="163">
        <f t="shared" si="377"/>
        <v>0</v>
      </c>
      <c r="AC664" s="163">
        <f t="shared" si="377"/>
        <v>0</v>
      </c>
      <c r="AD664" s="163">
        <f t="shared" si="377"/>
        <v>0</v>
      </c>
      <c r="AE664" s="163">
        <f t="shared" si="377"/>
        <v>0</v>
      </c>
      <c r="AF664" s="163">
        <f t="shared" si="377"/>
        <v>0</v>
      </c>
      <c r="AG664" s="163">
        <f t="shared" si="377"/>
        <v>0</v>
      </c>
      <c r="AH664" s="163">
        <f t="shared" si="377"/>
        <v>0</v>
      </c>
      <c r="AI664" s="163">
        <f t="shared" si="377"/>
        <v>0</v>
      </c>
      <c r="AJ664" s="163">
        <f t="shared" si="377"/>
        <v>0</v>
      </c>
      <c r="AK664" s="163">
        <f t="shared" si="377"/>
        <v>0</v>
      </c>
      <c r="AL664" s="163">
        <f t="shared" si="377"/>
        <v>0</v>
      </c>
      <c r="AM664" s="163">
        <f t="shared" si="377"/>
        <v>0</v>
      </c>
      <c r="AN664" s="163">
        <f t="shared" si="377"/>
        <v>0</v>
      </c>
      <c r="AO664" s="163">
        <f t="shared" si="377"/>
        <v>0</v>
      </c>
      <c r="AP664" s="163">
        <f t="shared" si="377"/>
        <v>0</v>
      </c>
    </row>
    <row r="665" spans="1:42" x14ac:dyDescent="0.2">
      <c r="A665" s="4" t="s">
        <v>73</v>
      </c>
      <c r="B665" s="163">
        <v>0</v>
      </c>
      <c r="C665" s="163">
        <f>C693</f>
        <v>0</v>
      </c>
      <c r="D665" s="163">
        <f t="shared" ref="D665:AP665" si="378">D693</f>
        <v>0</v>
      </c>
      <c r="E665" s="163">
        <f t="shared" si="378"/>
        <v>0</v>
      </c>
      <c r="F665" s="163">
        <f t="shared" si="378"/>
        <v>0</v>
      </c>
      <c r="G665" s="163">
        <f t="shared" si="378"/>
        <v>0</v>
      </c>
      <c r="H665" s="163">
        <f t="shared" si="378"/>
        <v>0</v>
      </c>
      <c r="I665" s="163">
        <f t="shared" si="378"/>
        <v>0</v>
      </c>
      <c r="J665" s="163">
        <f t="shared" si="378"/>
        <v>0</v>
      </c>
      <c r="K665" s="163">
        <f t="shared" si="378"/>
        <v>0</v>
      </c>
      <c r="L665" s="163">
        <f t="shared" si="378"/>
        <v>0</v>
      </c>
      <c r="M665" s="163">
        <f t="shared" si="378"/>
        <v>0</v>
      </c>
      <c r="N665" s="163">
        <f t="shared" si="378"/>
        <v>0</v>
      </c>
      <c r="O665" s="163">
        <f t="shared" si="378"/>
        <v>0</v>
      </c>
      <c r="P665" s="163">
        <f t="shared" si="378"/>
        <v>0</v>
      </c>
      <c r="Q665" s="163">
        <f t="shared" si="378"/>
        <v>0</v>
      </c>
      <c r="R665" s="163">
        <f t="shared" si="378"/>
        <v>0</v>
      </c>
      <c r="S665" s="163">
        <f t="shared" si="378"/>
        <v>0</v>
      </c>
      <c r="T665" s="163">
        <f t="shared" si="378"/>
        <v>0</v>
      </c>
      <c r="U665" s="163">
        <f t="shared" si="378"/>
        <v>0</v>
      </c>
      <c r="V665" s="163">
        <f t="shared" si="378"/>
        <v>0</v>
      </c>
      <c r="W665" s="163">
        <f t="shared" si="378"/>
        <v>0</v>
      </c>
      <c r="X665" s="163">
        <f t="shared" si="378"/>
        <v>0</v>
      </c>
      <c r="Y665" s="163">
        <f t="shared" si="378"/>
        <v>0</v>
      </c>
      <c r="Z665" s="163">
        <f t="shared" si="378"/>
        <v>0</v>
      </c>
      <c r="AA665" s="163">
        <f t="shared" si="378"/>
        <v>0</v>
      </c>
      <c r="AB665" s="163">
        <f t="shared" si="378"/>
        <v>0</v>
      </c>
      <c r="AC665" s="163">
        <f t="shared" si="378"/>
        <v>0</v>
      </c>
      <c r="AD665" s="163">
        <f t="shared" si="378"/>
        <v>0</v>
      </c>
      <c r="AE665" s="163">
        <f t="shared" si="378"/>
        <v>0</v>
      </c>
      <c r="AF665" s="163">
        <f t="shared" si="378"/>
        <v>0</v>
      </c>
      <c r="AG665" s="163">
        <f t="shared" si="378"/>
        <v>0</v>
      </c>
      <c r="AH665" s="163">
        <f t="shared" si="378"/>
        <v>0</v>
      </c>
      <c r="AI665" s="163">
        <f t="shared" si="378"/>
        <v>0</v>
      </c>
      <c r="AJ665" s="163">
        <f t="shared" si="378"/>
        <v>0</v>
      </c>
      <c r="AK665" s="163">
        <f t="shared" si="378"/>
        <v>0</v>
      </c>
      <c r="AL665" s="163">
        <f t="shared" si="378"/>
        <v>0</v>
      </c>
      <c r="AM665" s="163">
        <f t="shared" si="378"/>
        <v>0</v>
      </c>
      <c r="AN665" s="163">
        <f t="shared" si="378"/>
        <v>0</v>
      </c>
      <c r="AO665" s="163">
        <f t="shared" si="378"/>
        <v>0</v>
      </c>
      <c r="AP665" s="163">
        <f t="shared" si="378"/>
        <v>0</v>
      </c>
    </row>
    <row r="666" spans="1:42" x14ac:dyDescent="0.2">
      <c r="A666" s="4" t="s">
        <v>300</v>
      </c>
      <c r="B666" s="164">
        <v>0</v>
      </c>
      <c r="C666" s="164">
        <f>-C681</f>
        <v>0</v>
      </c>
      <c r="D666" s="164">
        <f t="shared" ref="D666:AP666" si="379">-D681</f>
        <v>0</v>
      </c>
      <c r="E666" s="164">
        <f t="shared" si="379"/>
        <v>0</v>
      </c>
      <c r="F666" s="164">
        <f t="shared" si="379"/>
        <v>0</v>
      </c>
      <c r="G666" s="164">
        <f t="shared" si="379"/>
        <v>0</v>
      </c>
      <c r="H666" s="164">
        <f t="shared" si="379"/>
        <v>0</v>
      </c>
      <c r="I666" s="164">
        <f t="shared" si="379"/>
        <v>0</v>
      </c>
      <c r="J666" s="164">
        <f t="shared" si="379"/>
        <v>0</v>
      </c>
      <c r="K666" s="164">
        <f t="shared" si="379"/>
        <v>0</v>
      </c>
      <c r="L666" s="164">
        <f t="shared" si="379"/>
        <v>0</v>
      </c>
      <c r="M666" s="164">
        <f t="shared" si="379"/>
        <v>0</v>
      </c>
      <c r="N666" s="164">
        <f t="shared" si="379"/>
        <v>0</v>
      </c>
      <c r="O666" s="164">
        <f t="shared" si="379"/>
        <v>0</v>
      </c>
      <c r="P666" s="164">
        <f t="shared" si="379"/>
        <v>0</v>
      </c>
      <c r="Q666" s="164">
        <f t="shared" si="379"/>
        <v>0</v>
      </c>
      <c r="R666" s="164">
        <f t="shared" si="379"/>
        <v>0</v>
      </c>
      <c r="S666" s="164">
        <f t="shared" si="379"/>
        <v>0</v>
      </c>
      <c r="T666" s="164">
        <f t="shared" si="379"/>
        <v>0</v>
      </c>
      <c r="U666" s="164">
        <f t="shared" si="379"/>
        <v>0</v>
      </c>
      <c r="V666" s="164">
        <f t="shared" si="379"/>
        <v>0</v>
      </c>
      <c r="W666" s="164">
        <f t="shared" si="379"/>
        <v>0</v>
      </c>
      <c r="X666" s="164">
        <f t="shared" si="379"/>
        <v>0</v>
      </c>
      <c r="Y666" s="164">
        <f t="shared" si="379"/>
        <v>0</v>
      </c>
      <c r="Z666" s="164">
        <f t="shared" si="379"/>
        <v>0</v>
      </c>
      <c r="AA666" s="164">
        <f t="shared" si="379"/>
        <v>0</v>
      </c>
      <c r="AB666" s="164">
        <f t="shared" si="379"/>
        <v>0</v>
      </c>
      <c r="AC666" s="164">
        <f t="shared" si="379"/>
        <v>0</v>
      </c>
      <c r="AD666" s="164">
        <f t="shared" si="379"/>
        <v>0</v>
      </c>
      <c r="AE666" s="164">
        <f t="shared" si="379"/>
        <v>0</v>
      </c>
      <c r="AF666" s="164">
        <f t="shared" si="379"/>
        <v>0</v>
      </c>
      <c r="AG666" s="164">
        <f t="shared" si="379"/>
        <v>0</v>
      </c>
      <c r="AH666" s="164">
        <f t="shared" si="379"/>
        <v>0</v>
      </c>
      <c r="AI666" s="164">
        <f t="shared" si="379"/>
        <v>0</v>
      </c>
      <c r="AJ666" s="164">
        <f t="shared" si="379"/>
        <v>0</v>
      </c>
      <c r="AK666" s="164">
        <f t="shared" si="379"/>
        <v>0</v>
      </c>
      <c r="AL666" s="164">
        <f t="shared" si="379"/>
        <v>0</v>
      </c>
      <c r="AM666" s="164">
        <f t="shared" si="379"/>
        <v>0</v>
      </c>
      <c r="AN666" s="164">
        <f t="shared" si="379"/>
        <v>0</v>
      </c>
      <c r="AO666" s="164">
        <f t="shared" si="379"/>
        <v>0</v>
      </c>
      <c r="AP666" s="164">
        <f t="shared" si="379"/>
        <v>0</v>
      </c>
    </row>
    <row r="667" spans="1:42" x14ac:dyDescent="0.2">
      <c r="A667" s="4" t="s">
        <v>262</v>
      </c>
      <c r="B667" s="163">
        <f>SUM(B664:B666)</f>
        <v>0</v>
      </c>
      <c r="C667" s="163">
        <f>SUM(C664:C666)</f>
        <v>0</v>
      </c>
      <c r="D667" s="163">
        <f t="shared" ref="D667:AP667" si="380">SUM(D664:D666)</f>
        <v>0</v>
      </c>
      <c r="E667" s="163">
        <f t="shared" si="380"/>
        <v>0</v>
      </c>
      <c r="F667" s="163">
        <f t="shared" si="380"/>
        <v>0</v>
      </c>
      <c r="G667" s="163">
        <f t="shared" si="380"/>
        <v>0</v>
      </c>
      <c r="H667" s="163">
        <f t="shared" si="380"/>
        <v>0</v>
      </c>
      <c r="I667" s="163">
        <f t="shared" si="380"/>
        <v>0</v>
      </c>
      <c r="J667" s="163">
        <f t="shared" si="380"/>
        <v>0</v>
      </c>
      <c r="K667" s="163">
        <f t="shared" si="380"/>
        <v>0</v>
      </c>
      <c r="L667" s="163">
        <f t="shared" si="380"/>
        <v>0</v>
      </c>
      <c r="M667" s="163">
        <f t="shared" si="380"/>
        <v>0</v>
      </c>
      <c r="N667" s="163">
        <f t="shared" si="380"/>
        <v>0</v>
      </c>
      <c r="O667" s="163">
        <f t="shared" si="380"/>
        <v>0</v>
      </c>
      <c r="P667" s="163">
        <f t="shared" si="380"/>
        <v>0</v>
      </c>
      <c r="Q667" s="163">
        <f t="shared" si="380"/>
        <v>0</v>
      </c>
      <c r="R667" s="163">
        <f t="shared" si="380"/>
        <v>0</v>
      </c>
      <c r="S667" s="163">
        <f t="shared" si="380"/>
        <v>0</v>
      </c>
      <c r="T667" s="163">
        <f t="shared" si="380"/>
        <v>0</v>
      </c>
      <c r="U667" s="163">
        <f t="shared" si="380"/>
        <v>0</v>
      </c>
      <c r="V667" s="163">
        <f t="shared" si="380"/>
        <v>0</v>
      </c>
      <c r="W667" s="163">
        <f t="shared" si="380"/>
        <v>0</v>
      </c>
      <c r="X667" s="163">
        <f t="shared" si="380"/>
        <v>0</v>
      </c>
      <c r="Y667" s="163">
        <f t="shared" si="380"/>
        <v>0</v>
      </c>
      <c r="Z667" s="163">
        <f t="shared" si="380"/>
        <v>0</v>
      </c>
      <c r="AA667" s="163">
        <f t="shared" si="380"/>
        <v>0</v>
      </c>
      <c r="AB667" s="163">
        <f t="shared" si="380"/>
        <v>0</v>
      </c>
      <c r="AC667" s="163">
        <f t="shared" si="380"/>
        <v>0</v>
      </c>
      <c r="AD667" s="163">
        <f t="shared" si="380"/>
        <v>0</v>
      </c>
      <c r="AE667" s="163">
        <f t="shared" si="380"/>
        <v>0</v>
      </c>
      <c r="AF667" s="163">
        <f t="shared" si="380"/>
        <v>0</v>
      </c>
      <c r="AG667" s="163">
        <f t="shared" si="380"/>
        <v>0</v>
      </c>
      <c r="AH667" s="163">
        <f t="shared" si="380"/>
        <v>0</v>
      </c>
      <c r="AI667" s="163">
        <f t="shared" si="380"/>
        <v>0</v>
      </c>
      <c r="AJ667" s="163">
        <f t="shared" si="380"/>
        <v>0</v>
      </c>
      <c r="AK667" s="163">
        <f t="shared" si="380"/>
        <v>0</v>
      </c>
      <c r="AL667" s="163">
        <f t="shared" si="380"/>
        <v>0</v>
      </c>
      <c r="AM667" s="163">
        <f t="shared" si="380"/>
        <v>0</v>
      </c>
      <c r="AN667" s="163">
        <f t="shared" si="380"/>
        <v>0</v>
      </c>
      <c r="AO667" s="163">
        <f t="shared" si="380"/>
        <v>0</v>
      </c>
      <c r="AP667" s="163">
        <f t="shared" si="380"/>
        <v>0</v>
      </c>
    </row>
    <row r="669" spans="1:42" x14ac:dyDescent="0.2">
      <c r="A669" s="4" t="s">
        <v>302</v>
      </c>
    </row>
    <row r="670" spans="1:42" x14ac:dyDescent="0.2">
      <c r="A670" s="4" t="s">
        <v>303</v>
      </c>
    </row>
    <row r="671" spans="1:42" x14ac:dyDescent="0.2">
      <c r="A671" s="4">
        <v>1</v>
      </c>
      <c r="B671" s="178">
        <f t="shared" ref="B671:B680" si="381">SUM(C671:AP671)</f>
        <v>0</v>
      </c>
      <c r="C671" s="163">
        <f t="shared" ref="C671:AP671" si="382">IF(C$2&gt;analysis_period,0,IF(C$2=equip2_reserve_freq*$A671,equip2_reserve_cost*system_capacity*1000*(1+inflation_rate/100)^B$2,0))</f>
        <v>0</v>
      </c>
      <c r="D671" s="163">
        <f t="shared" si="382"/>
        <v>0</v>
      </c>
      <c r="E671" s="163">
        <f t="shared" si="382"/>
        <v>0</v>
      </c>
      <c r="F671" s="163">
        <f t="shared" si="382"/>
        <v>0</v>
      </c>
      <c r="G671" s="163">
        <f t="shared" si="382"/>
        <v>0</v>
      </c>
      <c r="H671" s="163">
        <f t="shared" si="382"/>
        <v>0</v>
      </c>
      <c r="I671" s="163">
        <f t="shared" si="382"/>
        <v>0</v>
      </c>
      <c r="J671" s="163">
        <f t="shared" si="382"/>
        <v>0</v>
      </c>
      <c r="K671" s="163">
        <f t="shared" si="382"/>
        <v>0</v>
      </c>
      <c r="L671" s="163">
        <f t="shared" si="382"/>
        <v>0</v>
      </c>
      <c r="M671" s="163">
        <f t="shared" si="382"/>
        <v>0</v>
      </c>
      <c r="N671" s="163">
        <f t="shared" si="382"/>
        <v>0</v>
      </c>
      <c r="O671" s="163">
        <f t="shared" si="382"/>
        <v>0</v>
      </c>
      <c r="P671" s="163">
        <f t="shared" si="382"/>
        <v>0</v>
      </c>
      <c r="Q671" s="163">
        <f t="shared" si="382"/>
        <v>0</v>
      </c>
      <c r="R671" s="163">
        <f t="shared" si="382"/>
        <v>0</v>
      </c>
      <c r="S671" s="163">
        <f t="shared" si="382"/>
        <v>0</v>
      </c>
      <c r="T671" s="163">
        <f t="shared" si="382"/>
        <v>0</v>
      </c>
      <c r="U671" s="163">
        <f t="shared" si="382"/>
        <v>0</v>
      </c>
      <c r="V671" s="163">
        <f t="shared" si="382"/>
        <v>0</v>
      </c>
      <c r="W671" s="163">
        <f t="shared" si="382"/>
        <v>0</v>
      </c>
      <c r="X671" s="163">
        <f t="shared" si="382"/>
        <v>0</v>
      </c>
      <c r="Y671" s="163">
        <f t="shared" si="382"/>
        <v>0</v>
      </c>
      <c r="Z671" s="163">
        <f t="shared" si="382"/>
        <v>0</v>
      </c>
      <c r="AA671" s="163">
        <f t="shared" si="382"/>
        <v>0</v>
      </c>
      <c r="AB671" s="163">
        <f t="shared" si="382"/>
        <v>0</v>
      </c>
      <c r="AC671" s="163">
        <f t="shared" si="382"/>
        <v>0</v>
      </c>
      <c r="AD671" s="163">
        <f t="shared" si="382"/>
        <v>0</v>
      </c>
      <c r="AE671" s="163">
        <f t="shared" si="382"/>
        <v>0</v>
      </c>
      <c r="AF671" s="163">
        <f t="shared" si="382"/>
        <v>0</v>
      </c>
      <c r="AG671" s="163">
        <f t="shared" si="382"/>
        <v>0</v>
      </c>
      <c r="AH671" s="163">
        <f t="shared" si="382"/>
        <v>0</v>
      </c>
      <c r="AI671" s="163">
        <f t="shared" si="382"/>
        <v>0</v>
      </c>
      <c r="AJ671" s="163">
        <f t="shared" si="382"/>
        <v>0</v>
      </c>
      <c r="AK671" s="163">
        <f t="shared" si="382"/>
        <v>0</v>
      </c>
      <c r="AL671" s="163">
        <f t="shared" si="382"/>
        <v>0</v>
      </c>
      <c r="AM671" s="163">
        <f t="shared" si="382"/>
        <v>0</v>
      </c>
      <c r="AN671" s="163">
        <f t="shared" si="382"/>
        <v>0</v>
      </c>
      <c r="AO671" s="163">
        <f t="shared" si="382"/>
        <v>0</v>
      </c>
      <c r="AP671" s="163">
        <f t="shared" si="382"/>
        <v>0</v>
      </c>
    </row>
    <row r="672" spans="1:42" x14ac:dyDescent="0.2">
      <c r="A672" s="4">
        <f>A671+1</f>
        <v>2</v>
      </c>
      <c r="B672" s="178">
        <f t="shared" si="381"/>
        <v>0</v>
      </c>
      <c r="C672" s="163">
        <f t="shared" ref="C672:AP672" si="383">IF(C$2&gt;analysis_period,0,IF(C$2=equip2_reserve_freq*$A672,equip2_reserve_cost*system_capacity*1000*(1+inflation_rate/100)^B$2,0))</f>
        <v>0</v>
      </c>
      <c r="D672" s="163">
        <f t="shared" si="383"/>
        <v>0</v>
      </c>
      <c r="E672" s="163">
        <f t="shared" si="383"/>
        <v>0</v>
      </c>
      <c r="F672" s="163">
        <f t="shared" si="383"/>
        <v>0</v>
      </c>
      <c r="G672" s="163">
        <f t="shared" si="383"/>
        <v>0</v>
      </c>
      <c r="H672" s="163">
        <f t="shared" si="383"/>
        <v>0</v>
      </c>
      <c r="I672" s="163">
        <f t="shared" si="383"/>
        <v>0</v>
      </c>
      <c r="J672" s="163">
        <f t="shared" si="383"/>
        <v>0</v>
      </c>
      <c r="K672" s="163">
        <f t="shared" si="383"/>
        <v>0</v>
      </c>
      <c r="L672" s="163">
        <f t="shared" si="383"/>
        <v>0</v>
      </c>
      <c r="M672" s="163">
        <f t="shared" si="383"/>
        <v>0</v>
      </c>
      <c r="N672" s="163">
        <f t="shared" si="383"/>
        <v>0</v>
      </c>
      <c r="O672" s="163">
        <f t="shared" si="383"/>
        <v>0</v>
      </c>
      <c r="P672" s="163">
        <f t="shared" si="383"/>
        <v>0</v>
      </c>
      <c r="Q672" s="163">
        <f t="shared" si="383"/>
        <v>0</v>
      </c>
      <c r="R672" s="163">
        <f t="shared" si="383"/>
        <v>0</v>
      </c>
      <c r="S672" s="163">
        <f t="shared" si="383"/>
        <v>0</v>
      </c>
      <c r="T672" s="163">
        <f t="shared" si="383"/>
        <v>0</v>
      </c>
      <c r="U672" s="163">
        <f t="shared" si="383"/>
        <v>0</v>
      </c>
      <c r="V672" s="163">
        <f t="shared" si="383"/>
        <v>0</v>
      </c>
      <c r="W672" s="163">
        <f t="shared" si="383"/>
        <v>0</v>
      </c>
      <c r="X672" s="163">
        <f t="shared" si="383"/>
        <v>0</v>
      </c>
      <c r="Y672" s="163">
        <f t="shared" si="383"/>
        <v>0</v>
      </c>
      <c r="Z672" s="163">
        <f t="shared" si="383"/>
        <v>0</v>
      </c>
      <c r="AA672" s="163">
        <f t="shared" si="383"/>
        <v>0</v>
      </c>
      <c r="AB672" s="163">
        <f t="shared" si="383"/>
        <v>0</v>
      </c>
      <c r="AC672" s="163">
        <f t="shared" si="383"/>
        <v>0</v>
      </c>
      <c r="AD672" s="163">
        <f t="shared" si="383"/>
        <v>0</v>
      </c>
      <c r="AE672" s="163">
        <f t="shared" si="383"/>
        <v>0</v>
      </c>
      <c r="AF672" s="163">
        <f t="shared" si="383"/>
        <v>0</v>
      </c>
      <c r="AG672" s="163">
        <f t="shared" si="383"/>
        <v>0</v>
      </c>
      <c r="AH672" s="163">
        <f t="shared" si="383"/>
        <v>0</v>
      </c>
      <c r="AI672" s="163">
        <f t="shared" si="383"/>
        <v>0</v>
      </c>
      <c r="AJ672" s="163">
        <f t="shared" si="383"/>
        <v>0</v>
      </c>
      <c r="AK672" s="163">
        <f t="shared" si="383"/>
        <v>0</v>
      </c>
      <c r="AL672" s="163">
        <f t="shared" si="383"/>
        <v>0</v>
      </c>
      <c r="AM672" s="163">
        <f t="shared" si="383"/>
        <v>0</v>
      </c>
      <c r="AN672" s="163">
        <f t="shared" si="383"/>
        <v>0</v>
      </c>
      <c r="AO672" s="163">
        <f t="shared" si="383"/>
        <v>0</v>
      </c>
      <c r="AP672" s="163">
        <f t="shared" si="383"/>
        <v>0</v>
      </c>
    </row>
    <row r="673" spans="1:42" x14ac:dyDescent="0.2">
      <c r="A673" s="4">
        <f t="shared" ref="A673:A680" si="384">A672+1</f>
        <v>3</v>
      </c>
      <c r="B673" s="178">
        <f t="shared" si="381"/>
        <v>0</v>
      </c>
      <c r="C673" s="163">
        <f t="shared" ref="C673:AP673" si="385">IF(C$2&gt;analysis_period,0,IF(C$2=equip2_reserve_freq*$A673,equip2_reserve_cost*system_capacity*1000*(1+inflation_rate/100)^B$2,0))</f>
        <v>0</v>
      </c>
      <c r="D673" s="163">
        <f t="shared" si="385"/>
        <v>0</v>
      </c>
      <c r="E673" s="163">
        <f t="shared" si="385"/>
        <v>0</v>
      </c>
      <c r="F673" s="163">
        <f t="shared" si="385"/>
        <v>0</v>
      </c>
      <c r="G673" s="163">
        <f t="shared" si="385"/>
        <v>0</v>
      </c>
      <c r="H673" s="163">
        <f t="shared" si="385"/>
        <v>0</v>
      </c>
      <c r="I673" s="163">
        <f t="shared" si="385"/>
        <v>0</v>
      </c>
      <c r="J673" s="163">
        <f t="shared" si="385"/>
        <v>0</v>
      </c>
      <c r="K673" s="163">
        <f t="shared" si="385"/>
        <v>0</v>
      </c>
      <c r="L673" s="163">
        <f t="shared" si="385"/>
        <v>0</v>
      </c>
      <c r="M673" s="163">
        <f t="shared" si="385"/>
        <v>0</v>
      </c>
      <c r="N673" s="163">
        <f t="shared" si="385"/>
        <v>0</v>
      </c>
      <c r="O673" s="163">
        <f t="shared" si="385"/>
        <v>0</v>
      </c>
      <c r="P673" s="163">
        <f t="shared" si="385"/>
        <v>0</v>
      </c>
      <c r="Q673" s="163">
        <f t="shared" si="385"/>
        <v>0</v>
      </c>
      <c r="R673" s="163">
        <f t="shared" si="385"/>
        <v>0</v>
      </c>
      <c r="S673" s="163">
        <f t="shared" si="385"/>
        <v>0</v>
      </c>
      <c r="T673" s="163">
        <f t="shared" si="385"/>
        <v>0</v>
      </c>
      <c r="U673" s="163">
        <f t="shared" si="385"/>
        <v>0</v>
      </c>
      <c r="V673" s="163">
        <f t="shared" si="385"/>
        <v>0</v>
      </c>
      <c r="W673" s="163">
        <f t="shared" si="385"/>
        <v>0</v>
      </c>
      <c r="X673" s="163">
        <f t="shared" si="385"/>
        <v>0</v>
      </c>
      <c r="Y673" s="163">
        <f t="shared" si="385"/>
        <v>0</v>
      </c>
      <c r="Z673" s="163">
        <f t="shared" si="385"/>
        <v>0</v>
      </c>
      <c r="AA673" s="163">
        <f t="shared" si="385"/>
        <v>0</v>
      </c>
      <c r="AB673" s="163">
        <f t="shared" si="385"/>
        <v>0</v>
      </c>
      <c r="AC673" s="163">
        <f t="shared" si="385"/>
        <v>0</v>
      </c>
      <c r="AD673" s="163">
        <f t="shared" si="385"/>
        <v>0</v>
      </c>
      <c r="AE673" s="163">
        <f t="shared" si="385"/>
        <v>0</v>
      </c>
      <c r="AF673" s="163">
        <f t="shared" si="385"/>
        <v>0</v>
      </c>
      <c r="AG673" s="163">
        <f t="shared" si="385"/>
        <v>0</v>
      </c>
      <c r="AH673" s="163">
        <f t="shared" si="385"/>
        <v>0</v>
      </c>
      <c r="AI673" s="163">
        <f t="shared" si="385"/>
        <v>0</v>
      </c>
      <c r="AJ673" s="163">
        <f t="shared" si="385"/>
        <v>0</v>
      </c>
      <c r="AK673" s="163">
        <f t="shared" si="385"/>
        <v>0</v>
      </c>
      <c r="AL673" s="163">
        <f t="shared" si="385"/>
        <v>0</v>
      </c>
      <c r="AM673" s="163">
        <f t="shared" si="385"/>
        <v>0</v>
      </c>
      <c r="AN673" s="163">
        <f t="shared" si="385"/>
        <v>0</v>
      </c>
      <c r="AO673" s="163">
        <f t="shared" si="385"/>
        <v>0</v>
      </c>
      <c r="AP673" s="163">
        <f t="shared" si="385"/>
        <v>0</v>
      </c>
    </row>
    <row r="674" spans="1:42" x14ac:dyDescent="0.2">
      <c r="A674" s="4">
        <f t="shared" si="384"/>
        <v>4</v>
      </c>
      <c r="B674" s="178">
        <f t="shared" si="381"/>
        <v>0</v>
      </c>
      <c r="C674" s="163">
        <f t="shared" ref="C674:AP674" si="386">IF(C$2&gt;analysis_period,0,IF(C$2=equip2_reserve_freq*$A674,equip2_reserve_cost*system_capacity*1000*(1+inflation_rate/100)^B$2,0))</f>
        <v>0</v>
      </c>
      <c r="D674" s="163">
        <f t="shared" si="386"/>
        <v>0</v>
      </c>
      <c r="E674" s="163">
        <f t="shared" si="386"/>
        <v>0</v>
      </c>
      <c r="F674" s="163">
        <f t="shared" si="386"/>
        <v>0</v>
      </c>
      <c r="G674" s="163">
        <f t="shared" si="386"/>
        <v>0</v>
      </c>
      <c r="H674" s="163">
        <f t="shared" si="386"/>
        <v>0</v>
      </c>
      <c r="I674" s="163">
        <f t="shared" si="386"/>
        <v>0</v>
      </c>
      <c r="J674" s="163">
        <f t="shared" si="386"/>
        <v>0</v>
      </c>
      <c r="K674" s="163">
        <f t="shared" si="386"/>
        <v>0</v>
      </c>
      <c r="L674" s="163">
        <f t="shared" si="386"/>
        <v>0</v>
      </c>
      <c r="M674" s="163">
        <f t="shared" si="386"/>
        <v>0</v>
      </c>
      <c r="N674" s="163">
        <f t="shared" si="386"/>
        <v>0</v>
      </c>
      <c r="O674" s="163">
        <f t="shared" si="386"/>
        <v>0</v>
      </c>
      <c r="P674" s="163">
        <f t="shared" si="386"/>
        <v>0</v>
      </c>
      <c r="Q674" s="163">
        <f t="shared" si="386"/>
        <v>0</v>
      </c>
      <c r="R674" s="163">
        <f t="shared" si="386"/>
        <v>0</v>
      </c>
      <c r="S674" s="163">
        <f t="shared" si="386"/>
        <v>0</v>
      </c>
      <c r="T674" s="163">
        <f t="shared" si="386"/>
        <v>0</v>
      </c>
      <c r="U674" s="163">
        <f t="shared" si="386"/>
        <v>0</v>
      </c>
      <c r="V674" s="163">
        <f t="shared" si="386"/>
        <v>0</v>
      </c>
      <c r="W674" s="163">
        <f t="shared" si="386"/>
        <v>0</v>
      </c>
      <c r="X674" s="163">
        <f t="shared" si="386"/>
        <v>0</v>
      </c>
      <c r="Y674" s="163">
        <f t="shared" si="386"/>
        <v>0</v>
      </c>
      <c r="Z674" s="163">
        <f t="shared" si="386"/>
        <v>0</v>
      </c>
      <c r="AA674" s="163">
        <f t="shared" si="386"/>
        <v>0</v>
      </c>
      <c r="AB674" s="163">
        <f t="shared" si="386"/>
        <v>0</v>
      </c>
      <c r="AC674" s="163">
        <f t="shared" si="386"/>
        <v>0</v>
      </c>
      <c r="AD674" s="163">
        <f t="shared" si="386"/>
        <v>0</v>
      </c>
      <c r="AE674" s="163">
        <f t="shared" si="386"/>
        <v>0</v>
      </c>
      <c r="AF674" s="163">
        <f t="shared" si="386"/>
        <v>0</v>
      </c>
      <c r="AG674" s="163">
        <f t="shared" si="386"/>
        <v>0</v>
      </c>
      <c r="AH674" s="163">
        <f t="shared" si="386"/>
        <v>0</v>
      </c>
      <c r="AI674" s="163">
        <f t="shared" si="386"/>
        <v>0</v>
      </c>
      <c r="AJ674" s="163">
        <f t="shared" si="386"/>
        <v>0</v>
      </c>
      <c r="AK674" s="163">
        <f t="shared" si="386"/>
        <v>0</v>
      </c>
      <c r="AL674" s="163">
        <f t="shared" si="386"/>
        <v>0</v>
      </c>
      <c r="AM674" s="163">
        <f t="shared" si="386"/>
        <v>0</v>
      </c>
      <c r="AN674" s="163">
        <f t="shared" si="386"/>
        <v>0</v>
      </c>
      <c r="AO674" s="163">
        <f t="shared" si="386"/>
        <v>0</v>
      </c>
      <c r="AP674" s="163">
        <f t="shared" si="386"/>
        <v>0</v>
      </c>
    </row>
    <row r="675" spans="1:42" x14ac:dyDescent="0.2">
      <c r="A675" s="4">
        <f t="shared" si="384"/>
        <v>5</v>
      </c>
      <c r="B675" s="178">
        <f t="shared" si="381"/>
        <v>0</v>
      </c>
      <c r="C675" s="163">
        <f t="shared" ref="C675:AP675" si="387">IF(C$2&gt;analysis_period,0,IF(C$2=equip2_reserve_freq*$A675,equip2_reserve_cost*system_capacity*1000*(1+inflation_rate/100)^B$2,0))</f>
        <v>0</v>
      </c>
      <c r="D675" s="163">
        <f t="shared" si="387"/>
        <v>0</v>
      </c>
      <c r="E675" s="163">
        <f t="shared" si="387"/>
        <v>0</v>
      </c>
      <c r="F675" s="163">
        <f t="shared" si="387"/>
        <v>0</v>
      </c>
      <c r="G675" s="163">
        <f t="shared" si="387"/>
        <v>0</v>
      </c>
      <c r="H675" s="163">
        <f t="shared" si="387"/>
        <v>0</v>
      </c>
      <c r="I675" s="163">
        <f t="shared" si="387"/>
        <v>0</v>
      </c>
      <c r="J675" s="163">
        <f t="shared" si="387"/>
        <v>0</v>
      </c>
      <c r="K675" s="163">
        <f t="shared" si="387"/>
        <v>0</v>
      </c>
      <c r="L675" s="163">
        <f t="shared" si="387"/>
        <v>0</v>
      </c>
      <c r="M675" s="163">
        <f t="shared" si="387"/>
        <v>0</v>
      </c>
      <c r="N675" s="163">
        <f t="shared" si="387"/>
        <v>0</v>
      </c>
      <c r="O675" s="163">
        <f t="shared" si="387"/>
        <v>0</v>
      </c>
      <c r="P675" s="163">
        <f t="shared" si="387"/>
        <v>0</v>
      </c>
      <c r="Q675" s="163">
        <f t="shared" si="387"/>
        <v>0</v>
      </c>
      <c r="R675" s="163">
        <f t="shared" si="387"/>
        <v>0</v>
      </c>
      <c r="S675" s="163">
        <f t="shared" si="387"/>
        <v>0</v>
      </c>
      <c r="T675" s="163">
        <f t="shared" si="387"/>
        <v>0</v>
      </c>
      <c r="U675" s="163">
        <f t="shared" si="387"/>
        <v>0</v>
      </c>
      <c r="V675" s="163">
        <f t="shared" si="387"/>
        <v>0</v>
      </c>
      <c r="W675" s="163">
        <f t="shared" si="387"/>
        <v>0</v>
      </c>
      <c r="X675" s="163">
        <f t="shared" si="387"/>
        <v>0</v>
      </c>
      <c r="Y675" s="163">
        <f t="shared" si="387"/>
        <v>0</v>
      </c>
      <c r="Z675" s="163">
        <f t="shared" si="387"/>
        <v>0</v>
      </c>
      <c r="AA675" s="163">
        <f t="shared" si="387"/>
        <v>0</v>
      </c>
      <c r="AB675" s="163">
        <f t="shared" si="387"/>
        <v>0</v>
      </c>
      <c r="AC675" s="163">
        <f t="shared" si="387"/>
        <v>0</v>
      </c>
      <c r="AD675" s="163">
        <f t="shared" si="387"/>
        <v>0</v>
      </c>
      <c r="AE675" s="163">
        <f t="shared" si="387"/>
        <v>0</v>
      </c>
      <c r="AF675" s="163">
        <f t="shared" si="387"/>
        <v>0</v>
      </c>
      <c r="AG675" s="163">
        <f t="shared" si="387"/>
        <v>0</v>
      </c>
      <c r="AH675" s="163">
        <f t="shared" si="387"/>
        <v>0</v>
      </c>
      <c r="AI675" s="163">
        <f t="shared" si="387"/>
        <v>0</v>
      </c>
      <c r="AJ675" s="163">
        <f t="shared" si="387"/>
        <v>0</v>
      </c>
      <c r="AK675" s="163">
        <f t="shared" si="387"/>
        <v>0</v>
      </c>
      <c r="AL675" s="163">
        <f t="shared" si="387"/>
        <v>0</v>
      </c>
      <c r="AM675" s="163">
        <f t="shared" si="387"/>
        <v>0</v>
      </c>
      <c r="AN675" s="163">
        <f t="shared" si="387"/>
        <v>0</v>
      </c>
      <c r="AO675" s="163">
        <f t="shared" si="387"/>
        <v>0</v>
      </c>
      <c r="AP675" s="163">
        <f t="shared" si="387"/>
        <v>0</v>
      </c>
    </row>
    <row r="676" spans="1:42" x14ac:dyDescent="0.2">
      <c r="A676" s="4">
        <f t="shared" si="384"/>
        <v>6</v>
      </c>
      <c r="B676" s="178">
        <f t="shared" si="381"/>
        <v>0</v>
      </c>
      <c r="C676" s="163">
        <f t="shared" ref="C676:AP676" si="388">IF(C$2&gt;analysis_period,0,IF(C$2=equip2_reserve_freq*$A676,equip2_reserve_cost*system_capacity*1000*(1+inflation_rate/100)^B$2,0))</f>
        <v>0</v>
      </c>
      <c r="D676" s="163">
        <f t="shared" si="388"/>
        <v>0</v>
      </c>
      <c r="E676" s="163">
        <f t="shared" si="388"/>
        <v>0</v>
      </c>
      <c r="F676" s="163">
        <f t="shared" si="388"/>
        <v>0</v>
      </c>
      <c r="G676" s="163">
        <f t="shared" si="388"/>
        <v>0</v>
      </c>
      <c r="H676" s="163">
        <f t="shared" si="388"/>
        <v>0</v>
      </c>
      <c r="I676" s="163">
        <f t="shared" si="388"/>
        <v>0</v>
      </c>
      <c r="J676" s="163">
        <f t="shared" si="388"/>
        <v>0</v>
      </c>
      <c r="K676" s="163">
        <f t="shared" si="388"/>
        <v>0</v>
      </c>
      <c r="L676" s="163">
        <f t="shared" si="388"/>
        <v>0</v>
      </c>
      <c r="M676" s="163">
        <f t="shared" si="388"/>
        <v>0</v>
      </c>
      <c r="N676" s="163">
        <f t="shared" si="388"/>
        <v>0</v>
      </c>
      <c r="O676" s="163">
        <f t="shared" si="388"/>
        <v>0</v>
      </c>
      <c r="P676" s="163">
        <f t="shared" si="388"/>
        <v>0</v>
      </c>
      <c r="Q676" s="163">
        <f t="shared" si="388"/>
        <v>0</v>
      </c>
      <c r="R676" s="163">
        <f t="shared" si="388"/>
        <v>0</v>
      </c>
      <c r="S676" s="163">
        <f t="shared" si="388"/>
        <v>0</v>
      </c>
      <c r="T676" s="163">
        <f t="shared" si="388"/>
        <v>0</v>
      </c>
      <c r="U676" s="163">
        <f t="shared" si="388"/>
        <v>0</v>
      </c>
      <c r="V676" s="163">
        <f t="shared" si="388"/>
        <v>0</v>
      </c>
      <c r="W676" s="163">
        <f t="shared" si="388"/>
        <v>0</v>
      </c>
      <c r="X676" s="163">
        <f t="shared" si="388"/>
        <v>0</v>
      </c>
      <c r="Y676" s="163">
        <f t="shared" si="388"/>
        <v>0</v>
      </c>
      <c r="Z676" s="163">
        <f t="shared" si="388"/>
        <v>0</v>
      </c>
      <c r="AA676" s="163">
        <f t="shared" si="388"/>
        <v>0</v>
      </c>
      <c r="AB676" s="163">
        <f t="shared" si="388"/>
        <v>0</v>
      </c>
      <c r="AC676" s="163">
        <f t="shared" si="388"/>
        <v>0</v>
      </c>
      <c r="AD676" s="163">
        <f t="shared" si="388"/>
        <v>0</v>
      </c>
      <c r="AE676" s="163">
        <f t="shared" si="388"/>
        <v>0</v>
      </c>
      <c r="AF676" s="163">
        <f t="shared" si="388"/>
        <v>0</v>
      </c>
      <c r="AG676" s="163">
        <f t="shared" si="388"/>
        <v>0</v>
      </c>
      <c r="AH676" s="163">
        <f t="shared" si="388"/>
        <v>0</v>
      </c>
      <c r="AI676" s="163">
        <f t="shared" si="388"/>
        <v>0</v>
      </c>
      <c r="AJ676" s="163">
        <f t="shared" si="388"/>
        <v>0</v>
      </c>
      <c r="AK676" s="163">
        <f t="shared" si="388"/>
        <v>0</v>
      </c>
      <c r="AL676" s="163">
        <f t="shared" si="388"/>
        <v>0</v>
      </c>
      <c r="AM676" s="163">
        <f t="shared" si="388"/>
        <v>0</v>
      </c>
      <c r="AN676" s="163">
        <f t="shared" si="388"/>
        <v>0</v>
      </c>
      <c r="AO676" s="163">
        <f t="shared" si="388"/>
        <v>0</v>
      </c>
      <c r="AP676" s="163">
        <f t="shared" si="388"/>
        <v>0</v>
      </c>
    </row>
    <row r="677" spans="1:42" x14ac:dyDescent="0.2">
      <c r="A677" s="4">
        <f t="shared" si="384"/>
        <v>7</v>
      </c>
      <c r="B677" s="178">
        <f t="shared" si="381"/>
        <v>0</v>
      </c>
      <c r="C677" s="163">
        <f t="shared" ref="C677:AP677" si="389">IF(C$2&gt;analysis_period,0,IF(C$2=equip2_reserve_freq*$A677,equip2_reserve_cost*system_capacity*1000*(1+inflation_rate/100)^B$2,0))</f>
        <v>0</v>
      </c>
      <c r="D677" s="163">
        <f t="shared" si="389"/>
        <v>0</v>
      </c>
      <c r="E677" s="163">
        <f t="shared" si="389"/>
        <v>0</v>
      </c>
      <c r="F677" s="163">
        <f t="shared" si="389"/>
        <v>0</v>
      </c>
      <c r="G677" s="163">
        <f t="shared" si="389"/>
        <v>0</v>
      </c>
      <c r="H677" s="163">
        <f t="shared" si="389"/>
        <v>0</v>
      </c>
      <c r="I677" s="163">
        <f t="shared" si="389"/>
        <v>0</v>
      </c>
      <c r="J677" s="163">
        <f t="shared" si="389"/>
        <v>0</v>
      </c>
      <c r="K677" s="163">
        <f t="shared" si="389"/>
        <v>0</v>
      </c>
      <c r="L677" s="163">
        <f t="shared" si="389"/>
        <v>0</v>
      </c>
      <c r="M677" s="163">
        <f t="shared" si="389"/>
        <v>0</v>
      </c>
      <c r="N677" s="163">
        <f t="shared" si="389"/>
        <v>0</v>
      </c>
      <c r="O677" s="163">
        <f t="shared" si="389"/>
        <v>0</v>
      </c>
      <c r="P677" s="163">
        <f t="shared" si="389"/>
        <v>0</v>
      </c>
      <c r="Q677" s="163">
        <f t="shared" si="389"/>
        <v>0</v>
      </c>
      <c r="R677" s="163">
        <f t="shared" si="389"/>
        <v>0</v>
      </c>
      <c r="S677" s="163">
        <f t="shared" si="389"/>
        <v>0</v>
      </c>
      <c r="T677" s="163">
        <f t="shared" si="389"/>
        <v>0</v>
      </c>
      <c r="U677" s="163">
        <f t="shared" si="389"/>
        <v>0</v>
      </c>
      <c r="V677" s="163">
        <f t="shared" si="389"/>
        <v>0</v>
      </c>
      <c r="W677" s="163">
        <f t="shared" si="389"/>
        <v>0</v>
      </c>
      <c r="X677" s="163">
        <f t="shared" si="389"/>
        <v>0</v>
      </c>
      <c r="Y677" s="163">
        <f t="shared" si="389"/>
        <v>0</v>
      </c>
      <c r="Z677" s="163">
        <f t="shared" si="389"/>
        <v>0</v>
      </c>
      <c r="AA677" s="163">
        <f t="shared" si="389"/>
        <v>0</v>
      </c>
      <c r="AB677" s="163">
        <f t="shared" si="389"/>
        <v>0</v>
      </c>
      <c r="AC677" s="163">
        <f t="shared" si="389"/>
        <v>0</v>
      </c>
      <c r="AD677" s="163">
        <f t="shared" si="389"/>
        <v>0</v>
      </c>
      <c r="AE677" s="163">
        <f t="shared" si="389"/>
        <v>0</v>
      </c>
      <c r="AF677" s="163">
        <f t="shared" si="389"/>
        <v>0</v>
      </c>
      <c r="AG677" s="163">
        <f t="shared" si="389"/>
        <v>0</v>
      </c>
      <c r="AH677" s="163">
        <f t="shared" si="389"/>
        <v>0</v>
      </c>
      <c r="AI677" s="163">
        <f t="shared" si="389"/>
        <v>0</v>
      </c>
      <c r="AJ677" s="163">
        <f t="shared" si="389"/>
        <v>0</v>
      </c>
      <c r="AK677" s="163">
        <f t="shared" si="389"/>
        <v>0</v>
      </c>
      <c r="AL677" s="163">
        <f t="shared" si="389"/>
        <v>0</v>
      </c>
      <c r="AM677" s="163">
        <f t="shared" si="389"/>
        <v>0</v>
      </c>
      <c r="AN677" s="163">
        <f t="shared" si="389"/>
        <v>0</v>
      </c>
      <c r="AO677" s="163">
        <f t="shared" si="389"/>
        <v>0</v>
      </c>
      <c r="AP677" s="163">
        <f t="shared" si="389"/>
        <v>0</v>
      </c>
    </row>
    <row r="678" spans="1:42" x14ac:dyDescent="0.2">
      <c r="A678" s="4">
        <f t="shared" si="384"/>
        <v>8</v>
      </c>
      <c r="B678" s="178">
        <f t="shared" si="381"/>
        <v>0</v>
      </c>
      <c r="C678" s="163">
        <f t="shared" ref="C678:AP678" si="390">IF(C$2&gt;analysis_period,0,IF(C$2=equip2_reserve_freq*$A678,equip2_reserve_cost*system_capacity*1000*(1+inflation_rate/100)^B$2,0))</f>
        <v>0</v>
      </c>
      <c r="D678" s="163">
        <f t="shared" si="390"/>
        <v>0</v>
      </c>
      <c r="E678" s="163">
        <f t="shared" si="390"/>
        <v>0</v>
      </c>
      <c r="F678" s="163">
        <f t="shared" si="390"/>
        <v>0</v>
      </c>
      <c r="G678" s="163">
        <f t="shared" si="390"/>
        <v>0</v>
      </c>
      <c r="H678" s="163">
        <f t="shared" si="390"/>
        <v>0</v>
      </c>
      <c r="I678" s="163">
        <f t="shared" si="390"/>
        <v>0</v>
      </c>
      <c r="J678" s="163">
        <f t="shared" si="390"/>
        <v>0</v>
      </c>
      <c r="K678" s="163">
        <f t="shared" si="390"/>
        <v>0</v>
      </c>
      <c r="L678" s="163">
        <f t="shared" si="390"/>
        <v>0</v>
      </c>
      <c r="M678" s="163">
        <f t="shared" si="390"/>
        <v>0</v>
      </c>
      <c r="N678" s="163">
        <f t="shared" si="390"/>
        <v>0</v>
      </c>
      <c r="O678" s="163">
        <f t="shared" si="390"/>
        <v>0</v>
      </c>
      <c r="P678" s="163">
        <f t="shared" si="390"/>
        <v>0</v>
      </c>
      <c r="Q678" s="163">
        <f t="shared" si="390"/>
        <v>0</v>
      </c>
      <c r="R678" s="163">
        <f t="shared" si="390"/>
        <v>0</v>
      </c>
      <c r="S678" s="163">
        <f t="shared" si="390"/>
        <v>0</v>
      </c>
      <c r="T678" s="163">
        <f t="shared" si="390"/>
        <v>0</v>
      </c>
      <c r="U678" s="163">
        <f t="shared" si="390"/>
        <v>0</v>
      </c>
      <c r="V678" s="163">
        <f t="shared" si="390"/>
        <v>0</v>
      </c>
      <c r="W678" s="163">
        <f t="shared" si="390"/>
        <v>0</v>
      </c>
      <c r="X678" s="163">
        <f t="shared" si="390"/>
        <v>0</v>
      </c>
      <c r="Y678" s="163">
        <f t="shared" si="390"/>
        <v>0</v>
      </c>
      <c r="Z678" s="163">
        <f t="shared" si="390"/>
        <v>0</v>
      </c>
      <c r="AA678" s="163">
        <f t="shared" si="390"/>
        <v>0</v>
      </c>
      <c r="AB678" s="163">
        <f t="shared" si="390"/>
        <v>0</v>
      </c>
      <c r="AC678" s="163">
        <f t="shared" si="390"/>
        <v>0</v>
      </c>
      <c r="AD678" s="163">
        <f t="shared" si="390"/>
        <v>0</v>
      </c>
      <c r="AE678" s="163">
        <f t="shared" si="390"/>
        <v>0</v>
      </c>
      <c r="AF678" s="163">
        <f t="shared" si="390"/>
        <v>0</v>
      </c>
      <c r="AG678" s="163">
        <f t="shared" si="390"/>
        <v>0</v>
      </c>
      <c r="AH678" s="163">
        <f t="shared" si="390"/>
        <v>0</v>
      </c>
      <c r="AI678" s="163">
        <f t="shared" si="390"/>
        <v>0</v>
      </c>
      <c r="AJ678" s="163">
        <f t="shared" si="390"/>
        <v>0</v>
      </c>
      <c r="AK678" s="163">
        <f t="shared" si="390"/>
        <v>0</v>
      </c>
      <c r="AL678" s="163">
        <f t="shared" si="390"/>
        <v>0</v>
      </c>
      <c r="AM678" s="163">
        <f t="shared" si="390"/>
        <v>0</v>
      </c>
      <c r="AN678" s="163">
        <f t="shared" si="390"/>
        <v>0</v>
      </c>
      <c r="AO678" s="163">
        <f t="shared" si="390"/>
        <v>0</v>
      </c>
      <c r="AP678" s="163">
        <f t="shared" si="390"/>
        <v>0</v>
      </c>
    </row>
    <row r="679" spans="1:42" x14ac:dyDescent="0.2">
      <c r="A679" s="4">
        <f>A678+1</f>
        <v>9</v>
      </c>
      <c r="B679" s="178">
        <f t="shared" si="381"/>
        <v>0</v>
      </c>
      <c r="C679" s="163">
        <f t="shared" ref="C679:AP679" si="391">IF(C$2&gt;analysis_period,0,IF(C$2=equip2_reserve_freq*$A679,equip2_reserve_cost*system_capacity*1000*(1+inflation_rate/100)^B$2,0))</f>
        <v>0</v>
      </c>
      <c r="D679" s="163">
        <f t="shared" si="391"/>
        <v>0</v>
      </c>
      <c r="E679" s="163">
        <f t="shared" si="391"/>
        <v>0</v>
      </c>
      <c r="F679" s="163">
        <f t="shared" si="391"/>
        <v>0</v>
      </c>
      <c r="G679" s="163">
        <f t="shared" si="391"/>
        <v>0</v>
      </c>
      <c r="H679" s="163">
        <f t="shared" si="391"/>
        <v>0</v>
      </c>
      <c r="I679" s="163">
        <f t="shared" si="391"/>
        <v>0</v>
      </c>
      <c r="J679" s="163">
        <f t="shared" si="391"/>
        <v>0</v>
      </c>
      <c r="K679" s="163">
        <f t="shared" si="391"/>
        <v>0</v>
      </c>
      <c r="L679" s="163">
        <f t="shared" si="391"/>
        <v>0</v>
      </c>
      <c r="M679" s="163">
        <f t="shared" si="391"/>
        <v>0</v>
      </c>
      <c r="N679" s="163">
        <f t="shared" si="391"/>
        <v>0</v>
      </c>
      <c r="O679" s="163">
        <f t="shared" si="391"/>
        <v>0</v>
      </c>
      <c r="P679" s="163">
        <f t="shared" si="391"/>
        <v>0</v>
      </c>
      <c r="Q679" s="163">
        <f t="shared" si="391"/>
        <v>0</v>
      </c>
      <c r="R679" s="163">
        <f t="shared" si="391"/>
        <v>0</v>
      </c>
      <c r="S679" s="163">
        <f t="shared" si="391"/>
        <v>0</v>
      </c>
      <c r="T679" s="163">
        <f t="shared" si="391"/>
        <v>0</v>
      </c>
      <c r="U679" s="163">
        <f t="shared" si="391"/>
        <v>0</v>
      </c>
      <c r="V679" s="163">
        <f t="shared" si="391"/>
        <v>0</v>
      </c>
      <c r="W679" s="163">
        <f t="shared" si="391"/>
        <v>0</v>
      </c>
      <c r="X679" s="163">
        <f t="shared" si="391"/>
        <v>0</v>
      </c>
      <c r="Y679" s="163">
        <f t="shared" si="391"/>
        <v>0</v>
      </c>
      <c r="Z679" s="163">
        <f t="shared" si="391"/>
        <v>0</v>
      </c>
      <c r="AA679" s="163">
        <f t="shared" si="391"/>
        <v>0</v>
      </c>
      <c r="AB679" s="163">
        <f t="shared" si="391"/>
        <v>0</v>
      </c>
      <c r="AC679" s="163">
        <f t="shared" si="391"/>
        <v>0</v>
      </c>
      <c r="AD679" s="163">
        <f t="shared" si="391"/>
        <v>0</v>
      </c>
      <c r="AE679" s="163">
        <f t="shared" si="391"/>
        <v>0</v>
      </c>
      <c r="AF679" s="163">
        <f t="shared" si="391"/>
        <v>0</v>
      </c>
      <c r="AG679" s="163">
        <f t="shared" si="391"/>
        <v>0</v>
      </c>
      <c r="AH679" s="163">
        <f t="shared" si="391"/>
        <v>0</v>
      </c>
      <c r="AI679" s="163">
        <f t="shared" si="391"/>
        <v>0</v>
      </c>
      <c r="AJ679" s="163">
        <f t="shared" si="391"/>
        <v>0</v>
      </c>
      <c r="AK679" s="163">
        <f t="shared" si="391"/>
        <v>0</v>
      </c>
      <c r="AL679" s="163">
        <f t="shared" si="391"/>
        <v>0</v>
      </c>
      <c r="AM679" s="163">
        <f t="shared" si="391"/>
        <v>0</v>
      </c>
      <c r="AN679" s="163">
        <f t="shared" si="391"/>
        <v>0</v>
      </c>
      <c r="AO679" s="163">
        <f t="shared" si="391"/>
        <v>0</v>
      </c>
      <c r="AP679" s="163">
        <f t="shared" si="391"/>
        <v>0</v>
      </c>
    </row>
    <row r="680" spans="1:42" x14ac:dyDescent="0.2">
      <c r="A680" s="4">
        <f t="shared" si="384"/>
        <v>10</v>
      </c>
      <c r="B680" s="178">
        <f t="shared" si="381"/>
        <v>0</v>
      </c>
      <c r="C680" s="163">
        <f t="shared" ref="C680:AP680" si="392">IF(C$2&gt;analysis_period,0,IF(C$2=equip2_reserve_freq*$A680,equip2_reserve_cost*system_capacity*1000*(1+inflation_rate/100)^B$2,0))</f>
        <v>0</v>
      </c>
      <c r="D680" s="163">
        <f t="shared" si="392"/>
        <v>0</v>
      </c>
      <c r="E680" s="163">
        <f t="shared" si="392"/>
        <v>0</v>
      </c>
      <c r="F680" s="163">
        <f t="shared" si="392"/>
        <v>0</v>
      </c>
      <c r="G680" s="163">
        <f t="shared" si="392"/>
        <v>0</v>
      </c>
      <c r="H680" s="163">
        <f t="shared" si="392"/>
        <v>0</v>
      </c>
      <c r="I680" s="163">
        <f t="shared" si="392"/>
        <v>0</v>
      </c>
      <c r="J680" s="163">
        <f t="shared" si="392"/>
        <v>0</v>
      </c>
      <c r="K680" s="163">
        <f t="shared" si="392"/>
        <v>0</v>
      </c>
      <c r="L680" s="163">
        <f t="shared" si="392"/>
        <v>0</v>
      </c>
      <c r="M680" s="163">
        <f t="shared" si="392"/>
        <v>0</v>
      </c>
      <c r="N680" s="163">
        <f t="shared" si="392"/>
        <v>0</v>
      </c>
      <c r="O680" s="163">
        <f t="shared" si="392"/>
        <v>0</v>
      </c>
      <c r="P680" s="163">
        <f t="shared" si="392"/>
        <v>0</v>
      </c>
      <c r="Q680" s="163">
        <f t="shared" si="392"/>
        <v>0</v>
      </c>
      <c r="R680" s="163">
        <f t="shared" si="392"/>
        <v>0</v>
      </c>
      <c r="S680" s="163">
        <f t="shared" si="392"/>
        <v>0</v>
      </c>
      <c r="T680" s="163">
        <f t="shared" si="392"/>
        <v>0</v>
      </c>
      <c r="U680" s="163">
        <f t="shared" si="392"/>
        <v>0</v>
      </c>
      <c r="V680" s="163">
        <f t="shared" si="392"/>
        <v>0</v>
      </c>
      <c r="W680" s="163">
        <f t="shared" si="392"/>
        <v>0</v>
      </c>
      <c r="X680" s="163">
        <f t="shared" si="392"/>
        <v>0</v>
      </c>
      <c r="Y680" s="163">
        <f t="shared" si="392"/>
        <v>0</v>
      </c>
      <c r="Z680" s="163">
        <f t="shared" si="392"/>
        <v>0</v>
      </c>
      <c r="AA680" s="163">
        <f t="shared" si="392"/>
        <v>0</v>
      </c>
      <c r="AB680" s="163">
        <f t="shared" si="392"/>
        <v>0</v>
      </c>
      <c r="AC680" s="163">
        <f t="shared" si="392"/>
        <v>0</v>
      </c>
      <c r="AD680" s="163">
        <f t="shared" si="392"/>
        <v>0</v>
      </c>
      <c r="AE680" s="163">
        <f t="shared" si="392"/>
        <v>0</v>
      </c>
      <c r="AF680" s="163">
        <f t="shared" si="392"/>
        <v>0</v>
      </c>
      <c r="AG680" s="163">
        <f t="shared" si="392"/>
        <v>0</v>
      </c>
      <c r="AH680" s="163">
        <f t="shared" si="392"/>
        <v>0</v>
      </c>
      <c r="AI680" s="163">
        <f t="shared" si="392"/>
        <v>0</v>
      </c>
      <c r="AJ680" s="163">
        <f t="shared" si="392"/>
        <v>0</v>
      </c>
      <c r="AK680" s="163">
        <f t="shared" si="392"/>
        <v>0</v>
      </c>
      <c r="AL680" s="163">
        <f t="shared" si="392"/>
        <v>0</v>
      </c>
      <c r="AM680" s="163">
        <f t="shared" si="392"/>
        <v>0</v>
      </c>
      <c r="AN680" s="163">
        <f t="shared" si="392"/>
        <v>0</v>
      </c>
      <c r="AO680" s="163">
        <f t="shared" si="392"/>
        <v>0</v>
      </c>
      <c r="AP680" s="163">
        <f t="shared" si="392"/>
        <v>0</v>
      </c>
    </row>
    <row r="681" spans="1:42" x14ac:dyDescent="0.2">
      <c r="A681" s="27" t="s">
        <v>13</v>
      </c>
      <c r="B681" s="15"/>
      <c r="C681" s="163">
        <f>SUM(C671:C680)</f>
        <v>0</v>
      </c>
      <c r="D681" s="163">
        <f t="shared" ref="D681:AP681" si="393">SUM(D671:D680)</f>
        <v>0</v>
      </c>
      <c r="E681" s="163">
        <f t="shared" si="393"/>
        <v>0</v>
      </c>
      <c r="F681" s="163">
        <f t="shared" si="393"/>
        <v>0</v>
      </c>
      <c r="G681" s="163">
        <f t="shared" si="393"/>
        <v>0</v>
      </c>
      <c r="H681" s="163">
        <f t="shared" si="393"/>
        <v>0</v>
      </c>
      <c r="I681" s="163">
        <f t="shared" si="393"/>
        <v>0</v>
      </c>
      <c r="J681" s="163">
        <f t="shared" si="393"/>
        <v>0</v>
      </c>
      <c r="K681" s="163">
        <f t="shared" si="393"/>
        <v>0</v>
      </c>
      <c r="L681" s="163">
        <f t="shared" si="393"/>
        <v>0</v>
      </c>
      <c r="M681" s="163">
        <f t="shared" si="393"/>
        <v>0</v>
      </c>
      <c r="N681" s="163">
        <f t="shared" si="393"/>
        <v>0</v>
      </c>
      <c r="O681" s="163">
        <f t="shared" si="393"/>
        <v>0</v>
      </c>
      <c r="P681" s="163">
        <f t="shared" si="393"/>
        <v>0</v>
      </c>
      <c r="Q681" s="163">
        <f t="shared" si="393"/>
        <v>0</v>
      </c>
      <c r="R681" s="163">
        <f t="shared" si="393"/>
        <v>0</v>
      </c>
      <c r="S681" s="163">
        <f t="shared" si="393"/>
        <v>0</v>
      </c>
      <c r="T681" s="163">
        <f t="shared" si="393"/>
        <v>0</v>
      </c>
      <c r="U681" s="163">
        <f t="shared" si="393"/>
        <v>0</v>
      </c>
      <c r="V681" s="163">
        <f t="shared" si="393"/>
        <v>0</v>
      </c>
      <c r="W681" s="163">
        <f t="shared" si="393"/>
        <v>0</v>
      </c>
      <c r="X681" s="163">
        <f t="shared" si="393"/>
        <v>0</v>
      </c>
      <c r="Y681" s="163">
        <f t="shared" si="393"/>
        <v>0</v>
      </c>
      <c r="Z681" s="163">
        <f t="shared" si="393"/>
        <v>0</v>
      </c>
      <c r="AA681" s="163">
        <f t="shared" si="393"/>
        <v>0</v>
      </c>
      <c r="AB681" s="163">
        <f t="shared" si="393"/>
        <v>0</v>
      </c>
      <c r="AC681" s="163">
        <f t="shared" si="393"/>
        <v>0</v>
      </c>
      <c r="AD681" s="163">
        <f t="shared" si="393"/>
        <v>0</v>
      </c>
      <c r="AE681" s="163">
        <f t="shared" si="393"/>
        <v>0</v>
      </c>
      <c r="AF681" s="163">
        <f t="shared" si="393"/>
        <v>0</v>
      </c>
      <c r="AG681" s="163">
        <f t="shared" si="393"/>
        <v>0</v>
      </c>
      <c r="AH681" s="163">
        <f t="shared" si="393"/>
        <v>0</v>
      </c>
      <c r="AI681" s="163">
        <f t="shared" si="393"/>
        <v>0</v>
      </c>
      <c r="AJ681" s="163">
        <f t="shared" si="393"/>
        <v>0</v>
      </c>
      <c r="AK681" s="163">
        <f t="shared" si="393"/>
        <v>0</v>
      </c>
      <c r="AL681" s="163">
        <f t="shared" si="393"/>
        <v>0</v>
      </c>
      <c r="AM681" s="163">
        <f t="shared" si="393"/>
        <v>0</v>
      </c>
      <c r="AN681" s="163">
        <f t="shared" si="393"/>
        <v>0</v>
      </c>
      <c r="AO681" s="163">
        <f t="shared" si="393"/>
        <v>0</v>
      </c>
      <c r="AP681" s="163">
        <f t="shared" si="393"/>
        <v>0</v>
      </c>
    </row>
    <row r="682" spans="1:42" x14ac:dyDescent="0.2">
      <c r="A682" s="4" t="s">
        <v>304</v>
      </c>
    </row>
    <row r="683" spans="1:42" x14ac:dyDescent="0.2">
      <c r="A683" s="4">
        <v>1</v>
      </c>
      <c r="B683" s="183">
        <f t="shared" ref="B683:B692" si="394">SUM(C683:AP683)</f>
        <v>0</v>
      </c>
      <c r="C683" s="163">
        <f t="shared" ref="C683:AP683" si="395">IF(C$2&lt;=equip2_reserve_freq*$A$671,$B$671/(equip2_reserve_freq),0)</f>
        <v>0</v>
      </c>
      <c r="D683" s="163">
        <f t="shared" si="395"/>
        <v>0</v>
      </c>
      <c r="E683" s="163">
        <f t="shared" si="395"/>
        <v>0</v>
      </c>
      <c r="F683" s="163">
        <f t="shared" si="395"/>
        <v>0</v>
      </c>
      <c r="G683" s="163">
        <f t="shared" si="395"/>
        <v>0</v>
      </c>
      <c r="H683" s="163">
        <f t="shared" si="395"/>
        <v>0</v>
      </c>
      <c r="I683" s="163">
        <f t="shared" si="395"/>
        <v>0</v>
      </c>
      <c r="J683" s="163">
        <f t="shared" si="395"/>
        <v>0</v>
      </c>
      <c r="K683" s="163">
        <f t="shared" si="395"/>
        <v>0</v>
      </c>
      <c r="L683" s="163">
        <f t="shared" si="395"/>
        <v>0</v>
      </c>
      <c r="M683" s="163">
        <f t="shared" si="395"/>
        <v>0</v>
      </c>
      <c r="N683" s="163">
        <f t="shared" si="395"/>
        <v>0</v>
      </c>
      <c r="O683" s="163">
        <f t="shared" si="395"/>
        <v>0</v>
      </c>
      <c r="P683" s="163">
        <f t="shared" si="395"/>
        <v>0</v>
      </c>
      <c r="Q683" s="163">
        <f t="shared" si="395"/>
        <v>0</v>
      </c>
      <c r="R683" s="163">
        <f t="shared" si="395"/>
        <v>0</v>
      </c>
      <c r="S683" s="163">
        <f t="shared" si="395"/>
        <v>0</v>
      </c>
      <c r="T683" s="163">
        <f t="shared" si="395"/>
        <v>0</v>
      </c>
      <c r="U683" s="163">
        <f t="shared" si="395"/>
        <v>0</v>
      </c>
      <c r="V683" s="163">
        <f t="shared" si="395"/>
        <v>0</v>
      </c>
      <c r="W683" s="163">
        <f t="shared" si="395"/>
        <v>0</v>
      </c>
      <c r="X683" s="163">
        <f t="shared" si="395"/>
        <v>0</v>
      </c>
      <c r="Y683" s="163">
        <f t="shared" si="395"/>
        <v>0</v>
      </c>
      <c r="Z683" s="163">
        <f t="shared" si="395"/>
        <v>0</v>
      </c>
      <c r="AA683" s="163">
        <f t="shared" si="395"/>
        <v>0</v>
      </c>
      <c r="AB683" s="163">
        <f t="shared" si="395"/>
        <v>0</v>
      </c>
      <c r="AC683" s="163">
        <f t="shared" si="395"/>
        <v>0</v>
      </c>
      <c r="AD683" s="163">
        <f t="shared" si="395"/>
        <v>0</v>
      </c>
      <c r="AE683" s="163">
        <f t="shared" si="395"/>
        <v>0</v>
      </c>
      <c r="AF683" s="163">
        <f t="shared" si="395"/>
        <v>0</v>
      </c>
      <c r="AG683" s="163">
        <f t="shared" si="395"/>
        <v>0</v>
      </c>
      <c r="AH683" s="163">
        <f t="shared" si="395"/>
        <v>0</v>
      </c>
      <c r="AI683" s="163">
        <f t="shared" si="395"/>
        <v>0</v>
      </c>
      <c r="AJ683" s="163">
        <f t="shared" si="395"/>
        <v>0</v>
      </c>
      <c r="AK683" s="163">
        <f t="shared" si="395"/>
        <v>0</v>
      </c>
      <c r="AL683" s="163">
        <f t="shared" si="395"/>
        <v>0</v>
      </c>
      <c r="AM683" s="163">
        <f t="shared" si="395"/>
        <v>0</v>
      </c>
      <c r="AN683" s="163">
        <f t="shared" si="395"/>
        <v>0</v>
      </c>
      <c r="AO683" s="163">
        <f t="shared" si="395"/>
        <v>0</v>
      </c>
      <c r="AP683" s="163">
        <f t="shared" si="395"/>
        <v>0</v>
      </c>
    </row>
    <row r="684" spans="1:42" x14ac:dyDescent="0.2">
      <c r="A684" s="4">
        <f>A683+1</f>
        <v>2</v>
      </c>
      <c r="B684" s="183">
        <f t="shared" si="394"/>
        <v>0</v>
      </c>
      <c r="C684" s="163">
        <f t="shared" ref="C684:AP684" si="396">IF(AND(C$2&gt;equip2_reserve_freq*$A671,C$2&lt;=equip2_reserve_freq*$A672),$B672/(equip2_reserve_freq),0)</f>
        <v>0</v>
      </c>
      <c r="D684" s="163">
        <f t="shared" si="396"/>
        <v>0</v>
      </c>
      <c r="E684" s="163">
        <f t="shared" si="396"/>
        <v>0</v>
      </c>
      <c r="F684" s="163">
        <f t="shared" si="396"/>
        <v>0</v>
      </c>
      <c r="G684" s="163">
        <f t="shared" si="396"/>
        <v>0</v>
      </c>
      <c r="H684" s="163">
        <f t="shared" si="396"/>
        <v>0</v>
      </c>
      <c r="I684" s="163">
        <f t="shared" si="396"/>
        <v>0</v>
      </c>
      <c r="J684" s="163">
        <f t="shared" si="396"/>
        <v>0</v>
      </c>
      <c r="K684" s="163">
        <f t="shared" si="396"/>
        <v>0</v>
      </c>
      <c r="L684" s="163">
        <f t="shared" si="396"/>
        <v>0</v>
      </c>
      <c r="M684" s="163">
        <f t="shared" si="396"/>
        <v>0</v>
      </c>
      <c r="N684" s="163">
        <f t="shared" si="396"/>
        <v>0</v>
      </c>
      <c r="O684" s="163">
        <f t="shared" si="396"/>
        <v>0</v>
      </c>
      <c r="P684" s="163">
        <f t="shared" si="396"/>
        <v>0</v>
      </c>
      <c r="Q684" s="163">
        <f t="shared" si="396"/>
        <v>0</v>
      </c>
      <c r="R684" s="163">
        <f t="shared" si="396"/>
        <v>0</v>
      </c>
      <c r="S684" s="163">
        <f t="shared" si="396"/>
        <v>0</v>
      </c>
      <c r="T684" s="163">
        <f t="shared" si="396"/>
        <v>0</v>
      </c>
      <c r="U684" s="163">
        <f t="shared" si="396"/>
        <v>0</v>
      </c>
      <c r="V684" s="163">
        <f t="shared" si="396"/>
        <v>0</v>
      </c>
      <c r="W684" s="163">
        <f t="shared" si="396"/>
        <v>0</v>
      </c>
      <c r="X684" s="163">
        <f t="shared" si="396"/>
        <v>0</v>
      </c>
      <c r="Y684" s="163">
        <f t="shared" si="396"/>
        <v>0</v>
      </c>
      <c r="Z684" s="163">
        <f t="shared" si="396"/>
        <v>0</v>
      </c>
      <c r="AA684" s="163">
        <f t="shared" si="396"/>
        <v>0</v>
      </c>
      <c r="AB684" s="163">
        <f t="shared" si="396"/>
        <v>0</v>
      </c>
      <c r="AC684" s="163">
        <f t="shared" si="396"/>
        <v>0</v>
      </c>
      <c r="AD684" s="163">
        <f t="shared" si="396"/>
        <v>0</v>
      </c>
      <c r="AE684" s="163">
        <f t="shared" si="396"/>
        <v>0</v>
      </c>
      <c r="AF684" s="163">
        <f t="shared" si="396"/>
        <v>0</v>
      </c>
      <c r="AG684" s="163">
        <f t="shared" si="396"/>
        <v>0</v>
      </c>
      <c r="AH684" s="163">
        <f t="shared" si="396"/>
        <v>0</v>
      </c>
      <c r="AI684" s="163">
        <f t="shared" si="396"/>
        <v>0</v>
      </c>
      <c r="AJ684" s="163">
        <f t="shared" si="396"/>
        <v>0</v>
      </c>
      <c r="AK684" s="163">
        <f t="shared" si="396"/>
        <v>0</v>
      </c>
      <c r="AL684" s="163">
        <f t="shared" si="396"/>
        <v>0</v>
      </c>
      <c r="AM684" s="163">
        <f t="shared" si="396"/>
        <v>0</v>
      </c>
      <c r="AN684" s="163">
        <f t="shared" si="396"/>
        <v>0</v>
      </c>
      <c r="AO684" s="163">
        <f t="shared" si="396"/>
        <v>0</v>
      </c>
      <c r="AP684" s="163">
        <f t="shared" si="396"/>
        <v>0</v>
      </c>
    </row>
    <row r="685" spans="1:42" x14ac:dyDescent="0.2">
      <c r="A685" s="4">
        <f t="shared" ref="A685:A690" si="397">A684+1</f>
        <v>3</v>
      </c>
      <c r="B685" s="183">
        <f t="shared" si="394"/>
        <v>0</v>
      </c>
      <c r="C685" s="163">
        <f t="shared" ref="C685:AP685" si="398">IF(AND(C$2&gt;equip2_reserve_freq*$A672,C$2&lt;=equip2_reserve_freq*$A673),$B673/(equip2_reserve_freq),0)</f>
        <v>0</v>
      </c>
      <c r="D685" s="163">
        <f t="shared" si="398"/>
        <v>0</v>
      </c>
      <c r="E685" s="163">
        <f t="shared" si="398"/>
        <v>0</v>
      </c>
      <c r="F685" s="163">
        <f t="shared" si="398"/>
        <v>0</v>
      </c>
      <c r="G685" s="163">
        <f t="shared" si="398"/>
        <v>0</v>
      </c>
      <c r="H685" s="163">
        <f t="shared" si="398"/>
        <v>0</v>
      </c>
      <c r="I685" s="163">
        <f t="shared" si="398"/>
        <v>0</v>
      </c>
      <c r="J685" s="163">
        <f t="shared" si="398"/>
        <v>0</v>
      </c>
      <c r="K685" s="163">
        <f t="shared" si="398"/>
        <v>0</v>
      </c>
      <c r="L685" s="163">
        <f t="shared" si="398"/>
        <v>0</v>
      </c>
      <c r="M685" s="163">
        <f t="shared" si="398"/>
        <v>0</v>
      </c>
      <c r="N685" s="163">
        <f t="shared" si="398"/>
        <v>0</v>
      </c>
      <c r="O685" s="163">
        <f t="shared" si="398"/>
        <v>0</v>
      </c>
      <c r="P685" s="163">
        <f t="shared" si="398"/>
        <v>0</v>
      </c>
      <c r="Q685" s="163">
        <f t="shared" si="398"/>
        <v>0</v>
      </c>
      <c r="R685" s="163">
        <f t="shared" si="398"/>
        <v>0</v>
      </c>
      <c r="S685" s="163">
        <f t="shared" si="398"/>
        <v>0</v>
      </c>
      <c r="T685" s="163">
        <f t="shared" si="398"/>
        <v>0</v>
      </c>
      <c r="U685" s="163">
        <f t="shared" si="398"/>
        <v>0</v>
      </c>
      <c r="V685" s="163">
        <f t="shared" si="398"/>
        <v>0</v>
      </c>
      <c r="W685" s="163">
        <f t="shared" si="398"/>
        <v>0</v>
      </c>
      <c r="X685" s="163">
        <f t="shared" si="398"/>
        <v>0</v>
      </c>
      <c r="Y685" s="163">
        <f t="shared" si="398"/>
        <v>0</v>
      </c>
      <c r="Z685" s="163">
        <f t="shared" si="398"/>
        <v>0</v>
      </c>
      <c r="AA685" s="163">
        <f t="shared" si="398"/>
        <v>0</v>
      </c>
      <c r="AB685" s="163">
        <f t="shared" si="398"/>
        <v>0</v>
      </c>
      <c r="AC685" s="163">
        <f t="shared" si="398"/>
        <v>0</v>
      </c>
      <c r="AD685" s="163">
        <f t="shared" si="398"/>
        <v>0</v>
      </c>
      <c r="AE685" s="163">
        <f t="shared" si="398"/>
        <v>0</v>
      </c>
      <c r="AF685" s="163">
        <f t="shared" si="398"/>
        <v>0</v>
      </c>
      <c r="AG685" s="163">
        <f t="shared" si="398"/>
        <v>0</v>
      </c>
      <c r="AH685" s="163">
        <f t="shared" si="398"/>
        <v>0</v>
      </c>
      <c r="AI685" s="163">
        <f t="shared" si="398"/>
        <v>0</v>
      </c>
      <c r="AJ685" s="163">
        <f t="shared" si="398"/>
        <v>0</v>
      </c>
      <c r="AK685" s="163">
        <f t="shared" si="398"/>
        <v>0</v>
      </c>
      <c r="AL685" s="163">
        <f t="shared" si="398"/>
        <v>0</v>
      </c>
      <c r="AM685" s="163">
        <f t="shared" si="398"/>
        <v>0</v>
      </c>
      <c r="AN685" s="163">
        <f t="shared" si="398"/>
        <v>0</v>
      </c>
      <c r="AO685" s="163">
        <f t="shared" si="398"/>
        <v>0</v>
      </c>
      <c r="AP685" s="163">
        <f t="shared" si="398"/>
        <v>0</v>
      </c>
    </row>
    <row r="686" spans="1:42" x14ac:dyDescent="0.2">
      <c r="A686" s="4">
        <f t="shared" si="397"/>
        <v>4</v>
      </c>
      <c r="B686" s="183">
        <f t="shared" si="394"/>
        <v>0</v>
      </c>
      <c r="C686" s="163">
        <f t="shared" ref="C686:AP686" si="399">IF(AND(C$2&gt;equip2_reserve_freq*$A673,C$2&lt;=equip2_reserve_freq*$A674),$B674/(equip2_reserve_freq),0)</f>
        <v>0</v>
      </c>
      <c r="D686" s="163">
        <f t="shared" si="399"/>
        <v>0</v>
      </c>
      <c r="E686" s="163">
        <f t="shared" si="399"/>
        <v>0</v>
      </c>
      <c r="F686" s="163">
        <f t="shared" si="399"/>
        <v>0</v>
      </c>
      <c r="G686" s="163">
        <f t="shared" si="399"/>
        <v>0</v>
      </c>
      <c r="H686" s="163">
        <f t="shared" si="399"/>
        <v>0</v>
      </c>
      <c r="I686" s="163">
        <f t="shared" si="399"/>
        <v>0</v>
      </c>
      <c r="J686" s="163">
        <f t="shared" si="399"/>
        <v>0</v>
      </c>
      <c r="K686" s="163">
        <f t="shared" si="399"/>
        <v>0</v>
      </c>
      <c r="L686" s="163">
        <f t="shared" si="399"/>
        <v>0</v>
      </c>
      <c r="M686" s="163">
        <f t="shared" si="399"/>
        <v>0</v>
      </c>
      <c r="N686" s="163">
        <f t="shared" si="399"/>
        <v>0</v>
      </c>
      <c r="O686" s="163">
        <f t="shared" si="399"/>
        <v>0</v>
      </c>
      <c r="P686" s="163">
        <f t="shared" si="399"/>
        <v>0</v>
      </c>
      <c r="Q686" s="163">
        <f t="shared" si="399"/>
        <v>0</v>
      </c>
      <c r="R686" s="163">
        <f t="shared" si="399"/>
        <v>0</v>
      </c>
      <c r="S686" s="163">
        <f t="shared" si="399"/>
        <v>0</v>
      </c>
      <c r="T686" s="163">
        <f t="shared" si="399"/>
        <v>0</v>
      </c>
      <c r="U686" s="163">
        <f t="shared" si="399"/>
        <v>0</v>
      </c>
      <c r="V686" s="163">
        <f t="shared" si="399"/>
        <v>0</v>
      </c>
      <c r="W686" s="163">
        <f t="shared" si="399"/>
        <v>0</v>
      </c>
      <c r="X686" s="163">
        <f t="shared" si="399"/>
        <v>0</v>
      </c>
      <c r="Y686" s="163">
        <f t="shared" si="399"/>
        <v>0</v>
      </c>
      <c r="Z686" s="163">
        <f t="shared" si="399"/>
        <v>0</v>
      </c>
      <c r="AA686" s="163">
        <f t="shared" si="399"/>
        <v>0</v>
      </c>
      <c r="AB686" s="163">
        <f t="shared" si="399"/>
        <v>0</v>
      </c>
      <c r="AC686" s="163">
        <f t="shared" si="399"/>
        <v>0</v>
      </c>
      <c r="AD686" s="163">
        <f t="shared" si="399"/>
        <v>0</v>
      </c>
      <c r="AE686" s="163">
        <f t="shared" si="399"/>
        <v>0</v>
      </c>
      <c r="AF686" s="163">
        <f t="shared" si="399"/>
        <v>0</v>
      </c>
      <c r="AG686" s="163">
        <f t="shared" si="399"/>
        <v>0</v>
      </c>
      <c r="AH686" s="163">
        <f t="shared" si="399"/>
        <v>0</v>
      </c>
      <c r="AI686" s="163">
        <f t="shared" si="399"/>
        <v>0</v>
      </c>
      <c r="AJ686" s="163">
        <f t="shared" si="399"/>
        <v>0</v>
      </c>
      <c r="AK686" s="163">
        <f t="shared" si="399"/>
        <v>0</v>
      </c>
      <c r="AL686" s="163">
        <f t="shared" si="399"/>
        <v>0</v>
      </c>
      <c r="AM686" s="163">
        <f t="shared" si="399"/>
        <v>0</v>
      </c>
      <c r="AN686" s="163">
        <f t="shared" si="399"/>
        <v>0</v>
      </c>
      <c r="AO686" s="163">
        <f t="shared" si="399"/>
        <v>0</v>
      </c>
      <c r="AP686" s="163">
        <f t="shared" si="399"/>
        <v>0</v>
      </c>
    </row>
    <row r="687" spans="1:42" x14ac:dyDescent="0.2">
      <c r="A687" s="4">
        <f t="shared" si="397"/>
        <v>5</v>
      </c>
      <c r="B687" s="183">
        <f t="shared" si="394"/>
        <v>0</v>
      </c>
      <c r="C687" s="163">
        <f t="shared" ref="C687:AP687" si="400">IF(AND(C$2&gt;equip2_reserve_freq*$A674,C$2&lt;=equip2_reserve_freq*$A675),$B675/(equip2_reserve_freq),0)</f>
        <v>0</v>
      </c>
      <c r="D687" s="163">
        <f t="shared" si="400"/>
        <v>0</v>
      </c>
      <c r="E687" s="163">
        <f t="shared" si="400"/>
        <v>0</v>
      </c>
      <c r="F687" s="163">
        <f t="shared" si="400"/>
        <v>0</v>
      </c>
      <c r="G687" s="163">
        <f t="shared" si="400"/>
        <v>0</v>
      </c>
      <c r="H687" s="163">
        <f t="shared" si="400"/>
        <v>0</v>
      </c>
      <c r="I687" s="163">
        <f t="shared" si="400"/>
        <v>0</v>
      </c>
      <c r="J687" s="163">
        <f t="shared" si="400"/>
        <v>0</v>
      </c>
      <c r="K687" s="163">
        <f t="shared" si="400"/>
        <v>0</v>
      </c>
      <c r="L687" s="163">
        <f t="shared" si="400"/>
        <v>0</v>
      </c>
      <c r="M687" s="163">
        <f t="shared" si="400"/>
        <v>0</v>
      </c>
      <c r="N687" s="163">
        <f t="shared" si="400"/>
        <v>0</v>
      </c>
      <c r="O687" s="163">
        <f t="shared" si="400"/>
        <v>0</v>
      </c>
      <c r="P687" s="163">
        <f t="shared" si="400"/>
        <v>0</v>
      </c>
      <c r="Q687" s="163">
        <f t="shared" si="400"/>
        <v>0</v>
      </c>
      <c r="R687" s="163">
        <f t="shared" si="400"/>
        <v>0</v>
      </c>
      <c r="S687" s="163">
        <f t="shared" si="400"/>
        <v>0</v>
      </c>
      <c r="T687" s="163">
        <f t="shared" si="400"/>
        <v>0</v>
      </c>
      <c r="U687" s="163">
        <f t="shared" si="400"/>
        <v>0</v>
      </c>
      <c r="V687" s="163">
        <f t="shared" si="400"/>
        <v>0</v>
      </c>
      <c r="W687" s="163">
        <f t="shared" si="400"/>
        <v>0</v>
      </c>
      <c r="X687" s="163">
        <f t="shared" si="400"/>
        <v>0</v>
      </c>
      <c r="Y687" s="163">
        <f t="shared" si="400"/>
        <v>0</v>
      </c>
      <c r="Z687" s="163">
        <f t="shared" si="400"/>
        <v>0</v>
      </c>
      <c r="AA687" s="163">
        <f t="shared" si="400"/>
        <v>0</v>
      </c>
      <c r="AB687" s="163">
        <f t="shared" si="400"/>
        <v>0</v>
      </c>
      <c r="AC687" s="163">
        <f t="shared" si="400"/>
        <v>0</v>
      </c>
      <c r="AD687" s="163">
        <f t="shared" si="400"/>
        <v>0</v>
      </c>
      <c r="AE687" s="163">
        <f t="shared" si="400"/>
        <v>0</v>
      </c>
      <c r="AF687" s="163">
        <f t="shared" si="400"/>
        <v>0</v>
      </c>
      <c r="AG687" s="163">
        <f t="shared" si="400"/>
        <v>0</v>
      </c>
      <c r="AH687" s="163">
        <f t="shared" si="400"/>
        <v>0</v>
      </c>
      <c r="AI687" s="163">
        <f t="shared" si="400"/>
        <v>0</v>
      </c>
      <c r="AJ687" s="163">
        <f t="shared" si="400"/>
        <v>0</v>
      </c>
      <c r="AK687" s="163">
        <f t="shared" si="400"/>
        <v>0</v>
      </c>
      <c r="AL687" s="163">
        <f t="shared" si="400"/>
        <v>0</v>
      </c>
      <c r="AM687" s="163">
        <f t="shared" si="400"/>
        <v>0</v>
      </c>
      <c r="AN687" s="163">
        <f t="shared" si="400"/>
        <v>0</v>
      </c>
      <c r="AO687" s="163">
        <f t="shared" si="400"/>
        <v>0</v>
      </c>
      <c r="AP687" s="163">
        <f t="shared" si="400"/>
        <v>0</v>
      </c>
    </row>
    <row r="688" spans="1:42" x14ac:dyDescent="0.2">
      <c r="A688" s="4">
        <f t="shared" si="397"/>
        <v>6</v>
      </c>
      <c r="B688" s="183">
        <f t="shared" si="394"/>
        <v>0</v>
      </c>
      <c r="C688" s="163">
        <f t="shared" ref="C688:AP688" si="401">IF(AND(C$2&gt;equip2_reserve_freq*$A675,C$2&lt;=equip2_reserve_freq*$A676),$B676/(equip2_reserve_freq),0)</f>
        <v>0</v>
      </c>
      <c r="D688" s="163">
        <f t="shared" si="401"/>
        <v>0</v>
      </c>
      <c r="E688" s="163">
        <f t="shared" si="401"/>
        <v>0</v>
      </c>
      <c r="F688" s="163">
        <f t="shared" si="401"/>
        <v>0</v>
      </c>
      <c r="G688" s="163">
        <f t="shared" si="401"/>
        <v>0</v>
      </c>
      <c r="H688" s="163">
        <f t="shared" si="401"/>
        <v>0</v>
      </c>
      <c r="I688" s="163">
        <f t="shared" si="401"/>
        <v>0</v>
      </c>
      <c r="J688" s="163">
        <f t="shared" si="401"/>
        <v>0</v>
      </c>
      <c r="K688" s="163">
        <f t="shared" si="401"/>
        <v>0</v>
      </c>
      <c r="L688" s="163">
        <f t="shared" si="401"/>
        <v>0</v>
      </c>
      <c r="M688" s="163">
        <f t="shared" si="401"/>
        <v>0</v>
      </c>
      <c r="N688" s="163">
        <f t="shared" si="401"/>
        <v>0</v>
      </c>
      <c r="O688" s="163">
        <f t="shared" si="401"/>
        <v>0</v>
      </c>
      <c r="P688" s="163">
        <f t="shared" si="401"/>
        <v>0</v>
      </c>
      <c r="Q688" s="163">
        <f t="shared" si="401"/>
        <v>0</v>
      </c>
      <c r="R688" s="163">
        <f t="shared" si="401"/>
        <v>0</v>
      </c>
      <c r="S688" s="163">
        <f t="shared" si="401"/>
        <v>0</v>
      </c>
      <c r="T688" s="163">
        <f t="shared" si="401"/>
        <v>0</v>
      </c>
      <c r="U688" s="163">
        <f t="shared" si="401"/>
        <v>0</v>
      </c>
      <c r="V688" s="163">
        <f t="shared" si="401"/>
        <v>0</v>
      </c>
      <c r="W688" s="163">
        <f t="shared" si="401"/>
        <v>0</v>
      </c>
      <c r="X688" s="163">
        <f t="shared" si="401"/>
        <v>0</v>
      </c>
      <c r="Y688" s="163">
        <f t="shared" si="401"/>
        <v>0</v>
      </c>
      <c r="Z688" s="163">
        <f t="shared" si="401"/>
        <v>0</v>
      </c>
      <c r="AA688" s="163">
        <f t="shared" si="401"/>
        <v>0</v>
      </c>
      <c r="AB688" s="163">
        <f t="shared" si="401"/>
        <v>0</v>
      </c>
      <c r="AC688" s="163">
        <f t="shared" si="401"/>
        <v>0</v>
      </c>
      <c r="AD688" s="163">
        <f t="shared" si="401"/>
        <v>0</v>
      </c>
      <c r="AE688" s="163">
        <f t="shared" si="401"/>
        <v>0</v>
      </c>
      <c r="AF688" s="163">
        <f t="shared" si="401"/>
        <v>0</v>
      </c>
      <c r="AG688" s="163">
        <f t="shared" si="401"/>
        <v>0</v>
      </c>
      <c r="AH688" s="163">
        <f t="shared" si="401"/>
        <v>0</v>
      </c>
      <c r="AI688" s="163">
        <f t="shared" si="401"/>
        <v>0</v>
      </c>
      <c r="AJ688" s="163">
        <f t="shared" si="401"/>
        <v>0</v>
      </c>
      <c r="AK688" s="163">
        <f t="shared" si="401"/>
        <v>0</v>
      </c>
      <c r="AL688" s="163">
        <f t="shared" si="401"/>
        <v>0</v>
      </c>
      <c r="AM688" s="163">
        <f t="shared" si="401"/>
        <v>0</v>
      </c>
      <c r="AN688" s="163">
        <f t="shared" si="401"/>
        <v>0</v>
      </c>
      <c r="AO688" s="163">
        <f t="shared" si="401"/>
        <v>0</v>
      </c>
      <c r="AP688" s="163">
        <f t="shared" si="401"/>
        <v>0</v>
      </c>
    </row>
    <row r="689" spans="1:42" x14ac:dyDescent="0.2">
      <c r="A689" s="4">
        <f t="shared" si="397"/>
        <v>7</v>
      </c>
      <c r="B689" s="183">
        <f t="shared" si="394"/>
        <v>0</v>
      </c>
      <c r="C689" s="163">
        <f t="shared" ref="C689:AP689" si="402">IF(AND(C$2&gt;equip2_reserve_freq*$A676,C$2&lt;=equip2_reserve_freq*$A677),$B677/(equip2_reserve_freq),0)</f>
        <v>0</v>
      </c>
      <c r="D689" s="163">
        <f t="shared" si="402"/>
        <v>0</v>
      </c>
      <c r="E689" s="163">
        <f t="shared" si="402"/>
        <v>0</v>
      </c>
      <c r="F689" s="163">
        <f t="shared" si="402"/>
        <v>0</v>
      </c>
      <c r="G689" s="163">
        <f t="shared" si="402"/>
        <v>0</v>
      </c>
      <c r="H689" s="163">
        <f t="shared" si="402"/>
        <v>0</v>
      </c>
      <c r="I689" s="163">
        <f t="shared" si="402"/>
        <v>0</v>
      </c>
      <c r="J689" s="163">
        <f t="shared" si="402"/>
        <v>0</v>
      </c>
      <c r="K689" s="163">
        <f t="shared" si="402"/>
        <v>0</v>
      </c>
      <c r="L689" s="163">
        <f t="shared" si="402"/>
        <v>0</v>
      </c>
      <c r="M689" s="163">
        <f t="shared" si="402"/>
        <v>0</v>
      </c>
      <c r="N689" s="163">
        <f t="shared" si="402"/>
        <v>0</v>
      </c>
      <c r="O689" s="163">
        <f t="shared" si="402"/>
        <v>0</v>
      </c>
      <c r="P689" s="163">
        <f t="shared" si="402"/>
        <v>0</v>
      </c>
      <c r="Q689" s="163">
        <f t="shared" si="402"/>
        <v>0</v>
      </c>
      <c r="R689" s="163">
        <f t="shared" si="402"/>
        <v>0</v>
      </c>
      <c r="S689" s="163">
        <f t="shared" si="402"/>
        <v>0</v>
      </c>
      <c r="T689" s="163">
        <f t="shared" si="402"/>
        <v>0</v>
      </c>
      <c r="U689" s="163">
        <f t="shared" si="402"/>
        <v>0</v>
      </c>
      <c r="V689" s="163">
        <f t="shared" si="402"/>
        <v>0</v>
      </c>
      <c r="W689" s="163">
        <f t="shared" si="402"/>
        <v>0</v>
      </c>
      <c r="X689" s="163">
        <f t="shared" si="402"/>
        <v>0</v>
      </c>
      <c r="Y689" s="163">
        <f t="shared" si="402"/>
        <v>0</v>
      </c>
      <c r="Z689" s="163">
        <f t="shared" si="402"/>
        <v>0</v>
      </c>
      <c r="AA689" s="163">
        <f t="shared" si="402"/>
        <v>0</v>
      </c>
      <c r="AB689" s="163">
        <f t="shared" si="402"/>
        <v>0</v>
      </c>
      <c r="AC689" s="163">
        <f t="shared" si="402"/>
        <v>0</v>
      </c>
      <c r="AD689" s="163">
        <f t="shared" si="402"/>
        <v>0</v>
      </c>
      <c r="AE689" s="163">
        <f t="shared" si="402"/>
        <v>0</v>
      </c>
      <c r="AF689" s="163">
        <f t="shared" si="402"/>
        <v>0</v>
      </c>
      <c r="AG689" s="163">
        <f t="shared" si="402"/>
        <v>0</v>
      </c>
      <c r="AH689" s="163">
        <f t="shared" si="402"/>
        <v>0</v>
      </c>
      <c r="AI689" s="163">
        <f t="shared" si="402"/>
        <v>0</v>
      </c>
      <c r="AJ689" s="163">
        <f t="shared" si="402"/>
        <v>0</v>
      </c>
      <c r="AK689" s="163">
        <f t="shared" si="402"/>
        <v>0</v>
      </c>
      <c r="AL689" s="163">
        <f t="shared" si="402"/>
        <v>0</v>
      </c>
      <c r="AM689" s="163">
        <f t="shared" si="402"/>
        <v>0</v>
      </c>
      <c r="AN689" s="163">
        <f t="shared" si="402"/>
        <v>0</v>
      </c>
      <c r="AO689" s="163">
        <f t="shared" si="402"/>
        <v>0</v>
      </c>
      <c r="AP689" s="163">
        <f t="shared" si="402"/>
        <v>0</v>
      </c>
    </row>
    <row r="690" spans="1:42" x14ac:dyDescent="0.2">
      <c r="A690" s="4">
        <f t="shared" si="397"/>
        <v>8</v>
      </c>
      <c r="B690" s="183">
        <f t="shared" si="394"/>
        <v>0</v>
      </c>
      <c r="C690" s="163">
        <f t="shared" ref="C690:AP690" si="403">IF(AND(C$2&gt;equip2_reserve_freq*$A677,C$2&lt;=equip2_reserve_freq*$A678),$B678/(equip2_reserve_freq),0)</f>
        <v>0</v>
      </c>
      <c r="D690" s="163">
        <f t="shared" si="403"/>
        <v>0</v>
      </c>
      <c r="E690" s="163">
        <f t="shared" si="403"/>
        <v>0</v>
      </c>
      <c r="F690" s="163">
        <f t="shared" si="403"/>
        <v>0</v>
      </c>
      <c r="G690" s="163">
        <f t="shared" si="403"/>
        <v>0</v>
      </c>
      <c r="H690" s="163">
        <f t="shared" si="403"/>
        <v>0</v>
      </c>
      <c r="I690" s="163">
        <f t="shared" si="403"/>
        <v>0</v>
      </c>
      <c r="J690" s="163">
        <f t="shared" si="403"/>
        <v>0</v>
      </c>
      <c r="K690" s="163">
        <f t="shared" si="403"/>
        <v>0</v>
      </c>
      <c r="L690" s="163">
        <f t="shared" si="403"/>
        <v>0</v>
      </c>
      <c r="M690" s="163">
        <f t="shared" si="403"/>
        <v>0</v>
      </c>
      <c r="N690" s="163">
        <f t="shared" si="403"/>
        <v>0</v>
      </c>
      <c r="O690" s="163">
        <f t="shared" si="403"/>
        <v>0</v>
      </c>
      <c r="P690" s="163">
        <f t="shared" si="403"/>
        <v>0</v>
      </c>
      <c r="Q690" s="163">
        <f t="shared" si="403"/>
        <v>0</v>
      </c>
      <c r="R690" s="163">
        <f t="shared" si="403"/>
        <v>0</v>
      </c>
      <c r="S690" s="163">
        <f t="shared" si="403"/>
        <v>0</v>
      </c>
      <c r="T690" s="163">
        <f t="shared" si="403"/>
        <v>0</v>
      </c>
      <c r="U690" s="163">
        <f t="shared" si="403"/>
        <v>0</v>
      </c>
      <c r="V690" s="163">
        <f t="shared" si="403"/>
        <v>0</v>
      </c>
      <c r="W690" s="163">
        <f t="shared" si="403"/>
        <v>0</v>
      </c>
      <c r="X690" s="163">
        <f t="shared" si="403"/>
        <v>0</v>
      </c>
      <c r="Y690" s="163">
        <f t="shared" si="403"/>
        <v>0</v>
      </c>
      <c r="Z690" s="163">
        <f t="shared" si="403"/>
        <v>0</v>
      </c>
      <c r="AA690" s="163">
        <f t="shared" si="403"/>
        <v>0</v>
      </c>
      <c r="AB690" s="163">
        <f t="shared" si="403"/>
        <v>0</v>
      </c>
      <c r="AC690" s="163">
        <f t="shared" si="403"/>
        <v>0</v>
      </c>
      <c r="AD690" s="163">
        <f t="shared" si="403"/>
        <v>0</v>
      </c>
      <c r="AE690" s="163">
        <f t="shared" si="403"/>
        <v>0</v>
      </c>
      <c r="AF690" s="163">
        <f t="shared" si="403"/>
        <v>0</v>
      </c>
      <c r="AG690" s="163">
        <f t="shared" si="403"/>
        <v>0</v>
      </c>
      <c r="AH690" s="163">
        <f t="shared" si="403"/>
        <v>0</v>
      </c>
      <c r="AI690" s="163">
        <f t="shared" si="403"/>
        <v>0</v>
      </c>
      <c r="AJ690" s="163">
        <f t="shared" si="403"/>
        <v>0</v>
      </c>
      <c r="AK690" s="163">
        <f t="shared" si="403"/>
        <v>0</v>
      </c>
      <c r="AL690" s="163">
        <f t="shared" si="403"/>
        <v>0</v>
      </c>
      <c r="AM690" s="163">
        <f t="shared" si="403"/>
        <v>0</v>
      </c>
      <c r="AN690" s="163">
        <f t="shared" si="403"/>
        <v>0</v>
      </c>
      <c r="AO690" s="163">
        <f t="shared" si="403"/>
        <v>0</v>
      </c>
      <c r="AP690" s="163">
        <f t="shared" si="403"/>
        <v>0</v>
      </c>
    </row>
    <row r="691" spans="1:42" x14ac:dyDescent="0.2">
      <c r="A691" s="4">
        <f>A690+1</f>
        <v>9</v>
      </c>
      <c r="B691" s="183">
        <f t="shared" si="394"/>
        <v>0</v>
      </c>
      <c r="C691" s="163">
        <f t="shared" ref="C691:AP691" si="404">IF(AND(C$2&gt;equip2_reserve_freq*$A678,C$2&lt;=equip2_reserve_freq*$A679),$B679/(equip2_reserve_freq),0)</f>
        <v>0</v>
      </c>
      <c r="D691" s="163">
        <f t="shared" si="404"/>
        <v>0</v>
      </c>
      <c r="E691" s="163">
        <f t="shared" si="404"/>
        <v>0</v>
      </c>
      <c r="F691" s="163">
        <f t="shared" si="404"/>
        <v>0</v>
      </c>
      <c r="G691" s="163">
        <f t="shared" si="404"/>
        <v>0</v>
      </c>
      <c r="H691" s="163">
        <f t="shared" si="404"/>
        <v>0</v>
      </c>
      <c r="I691" s="163">
        <f t="shared" si="404"/>
        <v>0</v>
      </c>
      <c r="J691" s="163">
        <f t="shared" si="404"/>
        <v>0</v>
      </c>
      <c r="K691" s="163">
        <f t="shared" si="404"/>
        <v>0</v>
      </c>
      <c r="L691" s="163">
        <f t="shared" si="404"/>
        <v>0</v>
      </c>
      <c r="M691" s="163">
        <f t="shared" si="404"/>
        <v>0</v>
      </c>
      <c r="N691" s="163">
        <f t="shared" si="404"/>
        <v>0</v>
      </c>
      <c r="O691" s="163">
        <f t="shared" si="404"/>
        <v>0</v>
      </c>
      <c r="P691" s="163">
        <f t="shared" si="404"/>
        <v>0</v>
      </c>
      <c r="Q691" s="163">
        <f t="shared" si="404"/>
        <v>0</v>
      </c>
      <c r="R691" s="163">
        <f t="shared" si="404"/>
        <v>0</v>
      </c>
      <c r="S691" s="163">
        <f t="shared" si="404"/>
        <v>0</v>
      </c>
      <c r="T691" s="163">
        <f t="shared" si="404"/>
        <v>0</v>
      </c>
      <c r="U691" s="163">
        <f t="shared" si="404"/>
        <v>0</v>
      </c>
      <c r="V691" s="163">
        <f t="shared" si="404"/>
        <v>0</v>
      </c>
      <c r="W691" s="163">
        <f t="shared" si="404"/>
        <v>0</v>
      </c>
      <c r="X691" s="163">
        <f t="shared" si="404"/>
        <v>0</v>
      </c>
      <c r="Y691" s="163">
        <f t="shared" si="404"/>
        <v>0</v>
      </c>
      <c r="Z691" s="163">
        <f t="shared" si="404"/>
        <v>0</v>
      </c>
      <c r="AA691" s="163">
        <f t="shared" si="404"/>
        <v>0</v>
      </c>
      <c r="AB691" s="163">
        <f t="shared" si="404"/>
        <v>0</v>
      </c>
      <c r="AC691" s="163">
        <f t="shared" si="404"/>
        <v>0</v>
      </c>
      <c r="AD691" s="163">
        <f t="shared" si="404"/>
        <v>0</v>
      </c>
      <c r="AE691" s="163">
        <f t="shared" si="404"/>
        <v>0</v>
      </c>
      <c r="AF691" s="163">
        <f t="shared" si="404"/>
        <v>0</v>
      </c>
      <c r="AG691" s="163">
        <f t="shared" si="404"/>
        <v>0</v>
      </c>
      <c r="AH691" s="163">
        <f t="shared" si="404"/>
        <v>0</v>
      </c>
      <c r="AI691" s="163">
        <f t="shared" si="404"/>
        <v>0</v>
      </c>
      <c r="AJ691" s="163">
        <f t="shared" si="404"/>
        <v>0</v>
      </c>
      <c r="AK691" s="163">
        <f t="shared" si="404"/>
        <v>0</v>
      </c>
      <c r="AL691" s="163">
        <f t="shared" si="404"/>
        <v>0</v>
      </c>
      <c r="AM691" s="163">
        <f t="shared" si="404"/>
        <v>0</v>
      </c>
      <c r="AN691" s="163">
        <f t="shared" si="404"/>
        <v>0</v>
      </c>
      <c r="AO691" s="163">
        <f t="shared" si="404"/>
        <v>0</v>
      </c>
      <c r="AP691" s="163">
        <f t="shared" si="404"/>
        <v>0</v>
      </c>
    </row>
    <row r="692" spans="1:42" x14ac:dyDescent="0.2">
      <c r="A692" s="4">
        <f t="shared" ref="A692" si="405">A691+1</f>
        <v>10</v>
      </c>
      <c r="B692" s="183">
        <f t="shared" si="394"/>
        <v>0</v>
      </c>
      <c r="C692" s="164">
        <f t="shared" ref="C692:AP692" si="406">IF(AND(C$2&gt;equip2_reserve_freq*$A679,C$2&lt;=equip2_reserve_freq*$A680),$B680/(equip2_reserve_freq),0)</f>
        <v>0</v>
      </c>
      <c r="D692" s="164">
        <f t="shared" si="406"/>
        <v>0</v>
      </c>
      <c r="E692" s="164">
        <f t="shared" si="406"/>
        <v>0</v>
      </c>
      <c r="F692" s="164">
        <f t="shared" si="406"/>
        <v>0</v>
      </c>
      <c r="G692" s="164">
        <f t="shared" si="406"/>
        <v>0</v>
      </c>
      <c r="H692" s="164">
        <f t="shared" si="406"/>
        <v>0</v>
      </c>
      <c r="I692" s="164">
        <f t="shared" si="406"/>
        <v>0</v>
      </c>
      <c r="J692" s="164">
        <f t="shared" si="406"/>
        <v>0</v>
      </c>
      <c r="K692" s="164">
        <f t="shared" si="406"/>
        <v>0</v>
      </c>
      <c r="L692" s="164">
        <f t="shared" si="406"/>
        <v>0</v>
      </c>
      <c r="M692" s="164">
        <f t="shared" si="406"/>
        <v>0</v>
      </c>
      <c r="N692" s="164">
        <f t="shared" si="406"/>
        <v>0</v>
      </c>
      <c r="O692" s="164">
        <f t="shared" si="406"/>
        <v>0</v>
      </c>
      <c r="P692" s="164">
        <f t="shared" si="406"/>
        <v>0</v>
      </c>
      <c r="Q692" s="164">
        <f t="shared" si="406"/>
        <v>0</v>
      </c>
      <c r="R692" s="164">
        <f t="shared" si="406"/>
        <v>0</v>
      </c>
      <c r="S692" s="164">
        <f t="shared" si="406"/>
        <v>0</v>
      </c>
      <c r="T692" s="164">
        <f t="shared" si="406"/>
        <v>0</v>
      </c>
      <c r="U692" s="164">
        <f t="shared" si="406"/>
        <v>0</v>
      </c>
      <c r="V692" s="164">
        <f t="shared" si="406"/>
        <v>0</v>
      </c>
      <c r="W692" s="164">
        <f t="shared" si="406"/>
        <v>0</v>
      </c>
      <c r="X692" s="164">
        <f t="shared" si="406"/>
        <v>0</v>
      </c>
      <c r="Y692" s="164">
        <f t="shared" si="406"/>
        <v>0</v>
      </c>
      <c r="Z692" s="164">
        <f t="shared" si="406"/>
        <v>0</v>
      </c>
      <c r="AA692" s="164">
        <f t="shared" si="406"/>
        <v>0</v>
      </c>
      <c r="AB692" s="164">
        <f t="shared" si="406"/>
        <v>0</v>
      </c>
      <c r="AC692" s="164">
        <f t="shared" si="406"/>
        <v>0</v>
      </c>
      <c r="AD692" s="164">
        <f t="shared" si="406"/>
        <v>0</v>
      </c>
      <c r="AE692" s="164">
        <f t="shared" si="406"/>
        <v>0</v>
      </c>
      <c r="AF692" s="164">
        <f t="shared" si="406"/>
        <v>0</v>
      </c>
      <c r="AG692" s="164">
        <f t="shared" si="406"/>
        <v>0</v>
      </c>
      <c r="AH692" s="164">
        <f t="shared" si="406"/>
        <v>0</v>
      </c>
      <c r="AI692" s="164">
        <f t="shared" si="406"/>
        <v>0</v>
      </c>
      <c r="AJ692" s="164">
        <f t="shared" si="406"/>
        <v>0</v>
      </c>
      <c r="AK692" s="164">
        <f t="shared" si="406"/>
        <v>0</v>
      </c>
      <c r="AL692" s="164">
        <f t="shared" si="406"/>
        <v>0</v>
      </c>
      <c r="AM692" s="164">
        <f t="shared" si="406"/>
        <v>0</v>
      </c>
      <c r="AN692" s="164">
        <f t="shared" si="406"/>
        <v>0</v>
      </c>
      <c r="AO692" s="164">
        <f t="shared" si="406"/>
        <v>0</v>
      </c>
      <c r="AP692" s="164">
        <f t="shared" si="406"/>
        <v>0</v>
      </c>
    </row>
    <row r="693" spans="1:42" x14ac:dyDescent="0.2">
      <c r="A693" s="27" t="s">
        <v>13</v>
      </c>
      <c r="B693" s="15"/>
      <c r="C693" s="163">
        <f>SUM(C683:C692)</f>
        <v>0</v>
      </c>
      <c r="D693" s="163">
        <f t="shared" ref="D693:AP693" si="407">SUM(D683:D692)</f>
        <v>0</v>
      </c>
      <c r="E693" s="163">
        <f t="shared" si="407"/>
        <v>0</v>
      </c>
      <c r="F693" s="163">
        <f t="shared" si="407"/>
        <v>0</v>
      </c>
      <c r="G693" s="163">
        <f t="shared" si="407"/>
        <v>0</v>
      </c>
      <c r="H693" s="163">
        <f t="shared" si="407"/>
        <v>0</v>
      </c>
      <c r="I693" s="163">
        <f t="shared" si="407"/>
        <v>0</v>
      </c>
      <c r="J693" s="163">
        <f t="shared" si="407"/>
        <v>0</v>
      </c>
      <c r="K693" s="163">
        <f t="shared" si="407"/>
        <v>0</v>
      </c>
      <c r="L693" s="163">
        <f t="shared" si="407"/>
        <v>0</v>
      </c>
      <c r="M693" s="163">
        <f t="shared" si="407"/>
        <v>0</v>
      </c>
      <c r="N693" s="163">
        <f t="shared" si="407"/>
        <v>0</v>
      </c>
      <c r="O693" s="163">
        <f t="shared" si="407"/>
        <v>0</v>
      </c>
      <c r="P693" s="163">
        <f t="shared" si="407"/>
        <v>0</v>
      </c>
      <c r="Q693" s="163">
        <f t="shared" si="407"/>
        <v>0</v>
      </c>
      <c r="R693" s="163">
        <f t="shared" si="407"/>
        <v>0</v>
      </c>
      <c r="S693" s="163">
        <f t="shared" si="407"/>
        <v>0</v>
      </c>
      <c r="T693" s="163">
        <f t="shared" si="407"/>
        <v>0</v>
      </c>
      <c r="U693" s="163">
        <f t="shared" si="407"/>
        <v>0</v>
      </c>
      <c r="V693" s="163">
        <f t="shared" si="407"/>
        <v>0</v>
      </c>
      <c r="W693" s="163">
        <f t="shared" si="407"/>
        <v>0</v>
      </c>
      <c r="X693" s="163">
        <f t="shared" si="407"/>
        <v>0</v>
      </c>
      <c r="Y693" s="163">
        <f t="shared" si="407"/>
        <v>0</v>
      </c>
      <c r="Z693" s="163">
        <f t="shared" si="407"/>
        <v>0</v>
      </c>
      <c r="AA693" s="163">
        <f t="shared" si="407"/>
        <v>0</v>
      </c>
      <c r="AB693" s="163">
        <f t="shared" si="407"/>
        <v>0</v>
      </c>
      <c r="AC693" s="163">
        <f t="shared" si="407"/>
        <v>0</v>
      </c>
      <c r="AD693" s="163">
        <f t="shared" si="407"/>
        <v>0</v>
      </c>
      <c r="AE693" s="163">
        <f t="shared" si="407"/>
        <v>0</v>
      </c>
      <c r="AF693" s="163">
        <f t="shared" si="407"/>
        <v>0</v>
      </c>
      <c r="AG693" s="163">
        <f t="shared" si="407"/>
        <v>0</v>
      </c>
      <c r="AH693" s="163">
        <f t="shared" si="407"/>
        <v>0</v>
      </c>
      <c r="AI693" s="163">
        <f t="shared" si="407"/>
        <v>0</v>
      </c>
      <c r="AJ693" s="163">
        <f t="shared" si="407"/>
        <v>0</v>
      </c>
      <c r="AK693" s="163">
        <f t="shared" si="407"/>
        <v>0</v>
      </c>
      <c r="AL693" s="163">
        <f t="shared" si="407"/>
        <v>0</v>
      </c>
      <c r="AM693" s="163">
        <f t="shared" si="407"/>
        <v>0</v>
      </c>
      <c r="AN693" s="163">
        <f t="shared" si="407"/>
        <v>0</v>
      </c>
      <c r="AO693" s="163">
        <f t="shared" si="407"/>
        <v>0</v>
      </c>
      <c r="AP693" s="163">
        <f t="shared" si="407"/>
        <v>0</v>
      </c>
    </row>
    <row r="695" spans="1:42" x14ac:dyDescent="0.2">
      <c r="A695" s="20" t="s">
        <v>308</v>
      </c>
    </row>
    <row r="696" spans="1:42" x14ac:dyDescent="0.2">
      <c r="A696" s="4" t="s">
        <v>299</v>
      </c>
      <c r="B696" s="163">
        <v>0</v>
      </c>
      <c r="C696" s="163">
        <f>B699</f>
        <v>0</v>
      </c>
      <c r="D696" s="163">
        <f t="shared" ref="D696:AP696" si="408">C699</f>
        <v>0</v>
      </c>
      <c r="E696" s="163">
        <f t="shared" si="408"/>
        <v>0</v>
      </c>
      <c r="F696" s="163">
        <f t="shared" si="408"/>
        <v>0</v>
      </c>
      <c r="G696" s="163">
        <f t="shared" si="408"/>
        <v>0</v>
      </c>
      <c r="H696" s="163">
        <f t="shared" si="408"/>
        <v>0</v>
      </c>
      <c r="I696" s="163">
        <f t="shared" si="408"/>
        <v>0</v>
      </c>
      <c r="J696" s="163">
        <f t="shared" si="408"/>
        <v>0</v>
      </c>
      <c r="K696" s="163">
        <f t="shared" si="408"/>
        <v>0</v>
      </c>
      <c r="L696" s="163">
        <f t="shared" si="408"/>
        <v>0</v>
      </c>
      <c r="M696" s="163">
        <f t="shared" si="408"/>
        <v>0</v>
      </c>
      <c r="N696" s="163">
        <f t="shared" si="408"/>
        <v>0</v>
      </c>
      <c r="O696" s="163">
        <f t="shared" si="408"/>
        <v>0</v>
      </c>
      <c r="P696" s="163">
        <f t="shared" si="408"/>
        <v>0</v>
      </c>
      <c r="Q696" s="163">
        <f t="shared" si="408"/>
        <v>0</v>
      </c>
      <c r="R696" s="163">
        <f t="shared" si="408"/>
        <v>0</v>
      </c>
      <c r="S696" s="163">
        <f t="shared" si="408"/>
        <v>0</v>
      </c>
      <c r="T696" s="163">
        <f t="shared" si="408"/>
        <v>0</v>
      </c>
      <c r="U696" s="163">
        <f t="shared" si="408"/>
        <v>0</v>
      </c>
      <c r="V696" s="163">
        <f t="shared" si="408"/>
        <v>0</v>
      </c>
      <c r="W696" s="163">
        <f t="shared" si="408"/>
        <v>0</v>
      </c>
      <c r="X696" s="163">
        <f t="shared" si="408"/>
        <v>0</v>
      </c>
      <c r="Y696" s="163">
        <f t="shared" si="408"/>
        <v>0</v>
      </c>
      <c r="Z696" s="163">
        <f t="shared" si="408"/>
        <v>0</v>
      </c>
      <c r="AA696" s="163">
        <f t="shared" si="408"/>
        <v>0</v>
      </c>
      <c r="AB696" s="163">
        <f t="shared" si="408"/>
        <v>0</v>
      </c>
      <c r="AC696" s="163">
        <f t="shared" si="408"/>
        <v>0</v>
      </c>
      <c r="AD696" s="163">
        <f t="shared" si="408"/>
        <v>0</v>
      </c>
      <c r="AE696" s="163">
        <f t="shared" si="408"/>
        <v>0</v>
      </c>
      <c r="AF696" s="163">
        <f t="shared" si="408"/>
        <v>0</v>
      </c>
      <c r="AG696" s="163">
        <f t="shared" si="408"/>
        <v>0</v>
      </c>
      <c r="AH696" s="163">
        <f t="shared" si="408"/>
        <v>0</v>
      </c>
      <c r="AI696" s="163">
        <f t="shared" si="408"/>
        <v>0</v>
      </c>
      <c r="AJ696" s="163">
        <f t="shared" si="408"/>
        <v>0</v>
      </c>
      <c r="AK696" s="163">
        <f t="shared" si="408"/>
        <v>0</v>
      </c>
      <c r="AL696" s="163">
        <f t="shared" si="408"/>
        <v>0</v>
      </c>
      <c r="AM696" s="163">
        <f t="shared" si="408"/>
        <v>0</v>
      </c>
      <c r="AN696" s="163">
        <f t="shared" si="408"/>
        <v>0</v>
      </c>
      <c r="AO696" s="163">
        <f t="shared" si="408"/>
        <v>0</v>
      </c>
      <c r="AP696" s="163">
        <f t="shared" si="408"/>
        <v>0</v>
      </c>
    </row>
    <row r="697" spans="1:42" x14ac:dyDescent="0.2">
      <c r="A697" s="4" t="s">
        <v>73</v>
      </c>
      <c r="B697" s="163">
        <v>0</v>
      </c>
      <c r="C697" s="163">
        <f>C725</f>
        <v>0</v>
      </c>
      <c r="D697" s="163">
        <f t="shared" ref="D697:AP697" si="409">D725</f>
        <v>0</v>
      </c>
      <c r="E697" s="163">
        <f t="shared" si="409"/>
        <v>0</v>
      </c>
      <c r="F697" s="163">
        <f t="shared" si="409"/>
        <v>0</v>
      </c>
      <c r="G697" s="163">
        <f t="shared" si="409"/>
        <v>0</v>
      </c>
      <c r="H697" s="163">
        <f t="shared" si="409"/>
        <v>0</v>
      </c>
      <c r="I697" s="163">
        <f t="shared" si="409"/>
        <v>0</v>
      </c>
      <c r="J697" s="163">
        <f t="shared" si="409"/>
        <v>0</v>
      </c>
      <c r="K697" s="163">
        <f t="shared" si="409"/>
        <v>0</v>
      </c>
      <c r="L697" s="163">
        <f t="shared" si="409"/>
        <v>0</v>
      </c>
      <c r="M697" s="163">
        <f t="shared" si="409"/>
        <v>0</v>
      </c>
      <c r="N697" s="163">
        <f t="shared" si="409"/>
        <v>0</v>
      </c>
      <c r="O697" s="163">
        <f t="shared" si="409"/>
        <v>0</v>
      </c>
      <c r="P697" s="163">
        <f t="shared" si="409"/>
        <v>0</v>
      </c>
      <c r="Q697" s="163">
        <f t="shared" si="409"/>
        <v>0</v>
      </c>
      <c r="R697" s="163">
        <f t="shared" si="409"/>
        <v>0</v>
      </c>
      <c r="S697" s="163">
        <f t="shared" si="409"/>
        <v>0</v>
      </c>
      <c r="T697" s="163">
        <f t="shared" si="409"/>
        <v>0</v>
      </c>
      <c r="U697" s="163">
        <f t="shared" si="409"/>
        <v>0</v>
      </c>
      <c r="V697" s="163">
        <f t="shared" si="409"/>
        <v>0</v>
      </c>
      <c r="W697" s="163">
        <f t="shared" si="409"/>
        <v>0</v>
      </c>
      <c r="X697" s="163">
        <f t="shared" si="409"/>
        <v>0</v>
      </c>
      <c r="Y697" s="163">
        <f t="shared" si="409"/>
        <v>0</v>
      </c>
      <c r="Z697" s="163">
        <f t="shared" si="409"/>
        <v>0</v>
      </c>
      <c r="AA697" s="163">
        <f t="shared" si="409"/>
        <v>0</v>
      </c>
      <c r="AB697" s="163">
        <f t="shared" si="409"/>
        <v>0</v>
      </c>
      <c r="AC697" s="163">
        <f t="shared" si="409"/>
        <v>0</v>
      </c>
      <c r="AD697" s="163">
        <f t="shared" si="409"/>
        <v>0</v>
      </c>
      <c r="AE697" s="163">
        <f t="shared" si="409"/>
        <v>0</v>
      </c>
      <c r="AF697" s="163">
        <f t="shared" si="409"/>
        <v>0</v>
      </c>
      <c r="AG697" s="163">
        <f t="shared" si="409"/>
        <v>0</v>
      </c>
      <c r="AH697" s="163">
        <f t="shared" si="409"/>
        <v>0</v>
      </c>
      <c r="AI697" s="163">
        <f t="shared" si="409"/>
        <v>0</v>
      </c>
      <c r="AJ697" s="163">
        <f t="shared" si="409"/>
        <v>0</v>
      </c>
      <c r="AK697" s="163">
        <f t="shared" si="409"/>
        <v>0</v>
      </c>
      <c r="AL697" s="163">
        <f t="shared" si="409"/>
        <v>0</v>
      </c>
      <c r="AM697" s="163">
        <f t="shared" si="409"/>
        <v>0</v>
      </c>
      <c r="AN697" s="163">
        <f t="shared" si="409"/>
        <v>0</v>
      </c>
      <c r="AO697" s="163">
        <f t="shared" si="409"/>
        <v>0</v>
      </c>
      <c r="AP697" s="163">
        <f t="shared" si="409"/>
        <v>0</v>
      </c>
    </row>
    <row r="698" spans="1:42" x14ac:dyDescent="0.2">
      <c r="A698" s="4" t="s">
        <v>300</v>
      </c>
      <c r="B698" s="164">
        <v>0</v>
      </c>
      <c r="C698" s="164">
        <f>-C713</f>
        <v>0</v>
      </c>
      <c r="D698" s="164">
        <f t="shared" ref="D698:AP698" si="410">-D713</f>
        <v>0</v>
      </c>
      <c r="E698" s="164">
        <f t="shared" si="410"/>
        <v>0</v>
      </c>
      <c r="F698" s="164">
        <f t="shared" si="410"/>
        <v>0</v>
      </c>
      <c r="G698" s="164">
        <f t="shared" si="410"/>
        <v>0</v>
      </c>
      <c r="H698" s="164">
        <f t="shared" si="410"/>
        <v>0</v>
      </c>
      <c r="I698" s="164">
        <f t="shared" si="410"/>
        <v>0</v>
      </c>
      <c r="J698" s="164">
        <f t="shared" si="410"/>
        <v>0</v>
      </c>
      <c r="K698" s="164">
        <f t="shared" si="410"/>
        <v>0</v>
      </c>
      <c r="L698" s="164">
        <f t="shared" si="410"/>
        <v>0</v>
      </c>
      <c r="M698" s="164">
        <f t="shared" si="410"/>
        <v>0</v>
      </c>
      <c r="N698" s="164">
        <f t="shared" si="410"/>
        <v>0</v>
      </c>
      <c r="O698" s="164">
        <f t="shared" si="410"/>
        <v>0</v>
      </c>
      <c r="P698" s="164">
        <f t="shared" si="410"/>
        <v>0</v>
      </c>
      <c r="Q698" s="164">
        <f t="shared" si="410"/>
        <v>0</v>
      </c>
      <c r="R698" s="164">
        <f t="shared" si="410"/>
        <v>0</v>
      </c>
      <c r="S698" s="164">
        <f t="shared" si="410"/>
        <v>0</v>
      </c>
      <c r="T698" s="164">
        <f t="shared" si="410"/>
        <v>0</v>
      </c>
      <c r="U698" s="164">
        <f t="shared" si="410"/>
        <v>0</v>
      </c>
      <c r="V698" s="164">
        <f t="shared" si="410"/>
        <v>0</v>
      </c>
      <c r="W698" s="164">
        <f t="shared" si="410"/>
        <v>0</v>
      </c>
      <c r="X698" s="164">
        <f t="shared" si="410"/>
        <v>0</v>
      </c>
      <c r="Y698" s="164">
        <f t="shared" si="410"/>
        <v>0</v>
      </c>
      <c r="Z698" s="164">
        <f t="shared" si="410"/>
        <v>0</v>
      </c>
      <c r="AA698" s="164">
        <f t="shared" si="410"/>
        <v>0</v>
      </c>
      <c r="AB698" s="164">
        <f t="shared" si="410"/>
        <v>0</v>
      </c>
      <c r="AC698" s="164">
        <f t="shared" si="410"/>
        <v>0</v>
      </c>
      <c r="AD698" s="164">
        <f t="shared" si="410"/>
        <v>0</v>
      </c>
      <c r="AE698" s="164">
        <f t="shared" si="410"/>
        <v>0</v>
      </c>
      <c r="AF698" s="164">
        <f t="shared" si="410"/>
        <v>0</v>
      </c>
      <c r="AG698" s="164">
        <f t="shared" si="410"/>
        <v>0</v>
      </c>
      <c r="AH698" s="164">
        <f t="shared" si="410"/>
        <v>0</v>
      </c>
      <c r="AI698" s="164">
        <f t="shared" si="410"/>
        <v>0</v>
      </c>
      <c r="AJ698" s="164">
        <f t="shared" si="410"/>
        <v>0</v>
      </c>
      <c r="AK698" s="164">
        <f t="shared" si="410"/>
        <v>0</v>
      </c>
      <c r="AL698" s="164">
        <f t="shared" si="410"/>
        <v>0</v>
      </c>
      <c r="AM698" s="164">
        <f t="shared" si="410"/>
        <v>0</v>
      </c>
      <c r="AN698" s="164">
        <f t="shared" si="410"/>
        <v>0</v>
      </c>
      <c r="AO698" s="164">
        <f t="shared" si="410"/>
        <v>0</v>
      </c>
      <c r="AP698" s="164">
        <f t="shared" si="410"/>
        <v>0</v>
      </c>
    </row>
    <row r="699" spans="1:42" x14ac:dyDescent="0.2">
      <c r="A699" s="4" t="s">
        <v>262</v>
      </c>
      <c r="B699" s="163">
        <f>SUM(B696:B698)</f>
        <v>0</v>
      </c>
      <c r="C699" s="163">
        <f>SUM(C696:C698)</f>
        <v>0</v>
      </c>
      <c r="D699" s="163">
        <f t="shared" ref="D699:AP699" si="411">SUM(D696:D698)</f>
        <v>0</v>
      </c>
      <c r="E699" s="163">
        <f t="shared" si="411"/>
        <v>0</v>
      </c>
      <c r="F699" s="163">
        <f t="shared" si="411"/>
        <v>0</v>
      </c>
      <c r="G699" s="163">
        <f t="shared" si="411"/>
        <v>0</v>
      </c>
      <c r="H699" s="163">
        <f t="shared" si="411"/>
        <v>0</v>
      </c>
      <c r="I699" s="163">
        <f t="shared" si="411"/>
        <v>0</v>
      </c>
      <c r="J699" s="163">
        <f t="shared" si="411"/>
        <v>0</v>
      </c>
      <c r="K699" s="163">
        <f t="shared" si="411"/>
        <v>0</v>
      </c>
      <c r="L699" s="163">
        <f t="shared" si="411"/>
        <v>0</v>
      </c>
      <c r="M699" s="163">
        <f t="shared" si="411"/>
        <v>0</v>
      </c>
      <c r="N699" s="163">
        <f t="shared" si="411"/>
        <v>0</v>
      </c>
      <c r="O699" s="163">
        <f t="shared" si="411"/>
        <v>0</v>
      </c>
      <c r="P699" s="163">
        <f t="shared" si="411"/>
        <v>0</v>
      </c>
      <c r="Q699" s="163">
        <f t="shared" si="411"/>
        <v>0</v>
      </c>
      <c r="R699" s="163">
        <f t="shared" si="411"/>
        <v>0</v>
      </c>
      <c r="S699" s="163">
        <f t="shared" si="411"/>
        <v>0</v>
      </c>
      <c r="T699" s="163">
        <f t="shared" si="411"/>
        <v>0</v>
      </c>
      <c r="U699" s="163">
        <f t="shared" si="411"/>
        <v>0</v>
      </c>
      <c r="V699" s="163">
        <f t="shared" si="411"/>
        <v>0</v>
      </c>
      <c r="W699" s="163">
        <f t="shared" si="411"/>
        <v>0</v>
      </c>
      <c r="X699" s="163">
        <f t="shared" si="411"/>
        <v>0</v>
      </c>
      <c r="Y699" s="163">
        <f t="shared" si="411"/>
        <v>0</v>
      </c>
      <c r="Z699" s="163">
        <f t="shared" si="411"/>
        <v>0</v>
      </c>
      <c r="AA699" s="163">
        <f t="shared" si="411"/>
        <v>0</v>
      </c>
      <c r="AB699" s="163">
        <f t="shared" si="411"/>
        <v>0</v>
      </c>
      <c r="AC699" s="163">
        <f t="shared" si="411"/>
        <v>0</v>
      </c>
      <c r="AD699" s="163">
        <f t="shared" si="411"/>
        <v>0</v>
      </c>
      <c r="AE699" s="163">
        <f t="shared" si="411"/>
        <v>0</v>
      </c>
      <c r="AF699" s="163">
        <f t="shared" si="411"/>
        <v>0</v>
      </c>
      <c r="AG699" s="163">
        <f t="shared" si="411"/>
        <v>0</v>
      </c>
      <c r="AH699" s="163">
        <f t="shared" si="411"/>
        <v>0</v>
      </c>
      <c r="AI699" s="163">
        <f t="shared" si="411"/>
        <v>0</v>
      </c>
      <c r="AJ699" s="163">
        <f t="shared" si="411"/>
        <v>0</v>
      </c>
      <c r="AK699" s="163">
        <f t="shared" si="411"/>
        <v>0</v>
      </c>
      <c r="AL699" s="163">
        <f t="shared" si="411"/>
        <v>0</v>
      </c>
      <c r="AM699" s="163">
        <f t="shared" si="411"/>
        <v>0</v>
      </c>
      <c r="AN699" s="163">
        <f t="shared" si="411"/>
        <v>0</v>
      </c>
      <c r="AO699" s="163">
        <f t="shared" si="411"/>
        <v>0</v>
      </c>
      <c r="AP699" s="163">
        <f t="shared" si="411"/>
        <v>0</v>
      </c>
    </row>
    <row r="701" spans="1:42" x14ac:dyDescent="0.2">
      <c r="A701" s="4" t="s">
        <v>302</v>
      </c>
    </row>
    <row r="702" spans="1:42" x14ac:dyDescent="0.2">
      <c r="A702" s="4" t="s">
        <v>303</v>
      </c>
    </row>
    <row r="703" spans="1:42" x14ac:dyDescent="0.2">
      <c r="A703" s="4">
        <v>1</v>
      </c>
      <c r="B703" s="183">
        <f t="shared" ref="B703:B712" si="412">SUM(C703:AP703)</f>
        <v>0</v>
      </c>
      <c r="C703" s="163">
        <f t="shared" ref="C703:AP703" si="413">IF(C$2&gt;analysis_period,0,IF(C$2=equip3_reserve_freq*$A703,equip3_reserve_cost*system_capacity*1000*(1+inflation_rate/100)^B$2,0))</f>
        <v>0</v>
      </c>
      <c r="D703" s="163">
        <f t="shared" si="413"/>
        <v>0</v>
      </c>
      <c r="E703" s="163">
        <f t="shared" si="413"/>
        <v>0</v>
      </c>
      <c r="F703" s="163">
        <f t="shared" si="413"/>
        <v>0</v>
      </c>
      <c r="G703" s="163">
        <f t="shared" si="413"/>
        <v>0</v>
      </c>
      <c r="H703" s="163">
        <f t="shared" si="413"/>
        <v>0</v>
      </c>
      <c r="I703" s="163">
        <f t="shared" si="413"/>
        <v>0</v>
      </c>
      <c r="J703" s="163">
        <f t="shared" si="413"/>
        <v>0</v>
      </c>
      <c r="K703" s="163">
        <f t="shared" si="413"/>
        <v>0</v>
      </c>
      <c r="L703" s="163">
        <f t="shared" si="413"/>
        <v>0</v>
      </c>
      <c r="M703" s="163">
        <f t="shared" si="413"/>
        <v>0</v>
      </c>
      <c r="N703" s="163">
        <f t="shared" si="413"/>
        <v>0</v>
      </c>
      <c r="O703" s="163">
        <f t="shared" si="413"/>
        <v>0</v>
      </c>
      <c r="P703" s="163">
        <f t="shared" si="413"/>
        <v>0</v>
      </c>
      <c r="Q703" s="163">
        <f t="shared" si="413"/>
        <v>0</v>
      </c>
      <c r="R703" s="163">
        <f t="shared" si="413"/>
        <v>0</v>
      </c>
      <c r="S703" s="163">
        <f t="shared" si="413"/>
        <v>0</v>
      </c>
      <c r="T703" s="163">
        <f t="shared" si="413"/>
        <v>0</v>
      </c>
      <c r="U703" s="163">
        <f t="shared" si="413"/>
        <v>0</v>
      </c>
      <c r="V703" s="163">
        <f t="shared" si="413"/>
        <v>0</v>
      </c>
      <c r="W703" s="163">
        <f t="shared" si="413"/>
        <v>0</v>
      </c>
      <c r="X703" s="163">
        <f t="shared" si="413"/>
        <v>0</v>
      </c>
      <c r="Y703" s="163">
        <f t="shared" si="413"/>
        <v>0</v>
      </c>
      <c r="Z703" s="163">
        <f t="shared" si="413"/>
        <v>0</v>
      </c>
      <c r="AA703" s="163">
        <f t="shared" si="413"/>
        <v>0</v>
      </c>
      <c r="AB703" s="163">
        <f t="shared" si="413"/>
        <v>0</v>
      </c>
      <c r="AC703" s="163">
        <f t="shared" si="413"/>
        <v>0</v>
      </c>
      <c r="AD703" s="163">
        <f t="shared" si="413"/>
        <v>0</v>
      </c>
      <c r="AE703" s="163">
        <f t="shared" si="413"/>
        <v>0</v>
      </c>
      <c r="AF703" s="163">
        <f t="shared" si="413"/>
        <v>0</v>
      </c>
      <c r="AG703" s="163">
        <f t="shared" si="413"/>
        <v>0</v>
      </c>
      <c r="AH703" s="163">
        <f t="shared" si="413"/>
        <v>0</v>
      </c>
      <c r="AI703" s="163">
        <f t="shared" si="413"/>
        <v>0</v>
      </c>
      <c r="AJ703" s="163">
        <f t="shared" si="413"/>
        <v>0</v>
      </c>
      <c r="AK703" s="163">
        <f t="shared" si="413"/>
        <v>0</v>
      </c>
      <c r="AL703" s="163">
        <f t="shared" si="413"/>
        <v>0</v>
      </c>
      <c r="AM703" s="163">
        <f t="shared" si="413"/>
        <v>0</v>
      </c>
      <c r="AN703" s="163">
        <f t="shared" si="413"/>
        <v>0</v>
      </c>
      <c r="AO703" s="163">
        <f t="shared" si="413"/>
        <v>0</v>
      </c>
      <c r="AP703" s="163">
        <f t="shared" si="413"/>
        <v>0</v>
      </c>
    </row>
    <row r="704" spans="1:42" x14ac:dyDescent="0.2">
      <c r="A704" s="4">
        <f>A703+1</f>
        <v>2</v>
      </c>
      <c r="B704" s="183">
        <f t="shared" si="412"/>
        <v>0</v>
      </c>
      <c r="C704" s="163">
        <f t="shared" ref="C704:AP704" si="414">IF(C$2&gt;analysis_period,0,IF(C$2=equip3_reserve_freq*$A704,equip3_reserve_cost*system_capacity*1000*(1+inflation_rate/100)^B$2,0))</f>
        <v>0</v>
      </c>
      <c r="D704" s="163">
        <f t="shared" si="414"/>
        <v>0</v>
      </c>
      <c r="E704" s="163">
        <f t="shared" si="414"/>
        <v>0</v>
      </c>
      <c r="F704" s="163">
        <f t="shared" si="414"/>
        <v>0</v>
      </c>
      <c r="G704" s="163">
        <f t="shared" si="414"/>
        <v>0</v>
      </c>
      <c r="H704" s="163">
        <f t="shared" si="414"/>
        <v>0</v>
      </c>
      <c r="I704" s="163">
        <f t="shared" si="414"/>
        <v>0</v>
      </c>
      <c r="J704" s="163">
        <f t="shared" si="414"/>
        <v>0</v>
      </c>
      <c r="K704" s="163">
        <f t="shared" si="414"/>
        <v>0</v>
      </c>
      <c r="L704" s="163">
        <f t="shared" si="414"/>
        <v>0</v>
      </c>
      <c r="M704" s="163">
        <f t="shared" si="414"/>
        <v>0</v>
      </c>
      <c r="N704" s="163">
        <f t="shared" si="414"/>
        <v>0</v>
      </c>
      <c r="O704" s="163">
        <f t="shared" si="414"/>
        <v>0</v>
      </c>
      <c r="P704" s="163">
        <f t="shared" si="414"/>
        <v>0</v>
      </c>
      <c r="Q704" s="163">
        <f t="shared" si="414"/>
        <v>0</v>
      </c>
      <c r="R704" s="163">
        <f t="shared" si="414"/>
        <v>0</v>
      </c>
      <c r="S704" s="163">
        <f t="shared" si="414"/>
        <v>0</v>
      </c>
      <c r="T704" s="163">
        <f t="shared" si="414"/>
        <v>0</v>
      </c>
      <c r="U704" s="163">
        <f t="shared" si="414"/>
        <v>0</v>
      </c>
      <c r="V704" s="163">
        <f t="shared" si="414"/>
        <v>0</v>
      </c>
      <c r="W704" s="163">
        <f t="shared" si="414"/>
        <v>0</v>
      </c>
      <c r="X704" s="163">
        <f t="shared" si="414"/>
        <v>0</v>
      </c>
      <c r="Y704" s="163">
        <f t="shared" si="414"/>
        <v>0</v>
      </c>
      <c r="Z704" s="163">
        <f t="shared" si="414"/>
        <v>0</v>
      </c>
      <c r="AA704" s="163">
        <f t="shared" si="414"/>
        <v>0</v>
      </c>
      <c r="AB704" s="163">
        <f t="shared" si="414"/>
        <v>0</v>
      </c>
      <c r="AC704" s="163">
        <f t="shared" si="414"/>
        <v>0</v>
      </c>
      <c r="AD704" s="163">
        <f t="shared" si="414"/>
        <v>0</v>
      </c>
      <c r="AE704" s="163">
        <f t="shared" si="414"/>
        <v>0</v>
      </c>
      <c r="AF704" s="163">
        <f t="shared" si="414"/>
        <v>0</v>
      </c>
      <c r="AG704" s="163">
        <f t="shared" si="414"/>
        <v>0</v>
      </c>
      <c r="AH704" s="163">
        <f t="shared" si="414"/>
        <v>0</v>
      </c>
      <c r="AI704" s="163">
        <f t="shared" si="414"/>
        <v>0</v>
      </c>
      <c r="AJ704" s="163">
        <f t="shared" si="414"/>
        <v>0</v>
      </c>
      <c r="AK704" s="163">
        <f t="shared" si="414"/>
        <v>0</v>
      </c>
      <c r="AL704" s="163">
        <f t="shared" si="414"/>
        <v>0</v>
      </c>
      <c r="AM704" s="163">
        <f t="shared" si="414"/>
        <v>0</v>
      </c>
      <c r="AN704" s="163">
        <f t="shared" si="414"/>
        <v>0</v>
      </c>
      <c r="AO704" s="163">
        <f t="shared" si="414"/>
        <v>0</v>
      </c>
      <c r="AP704" s="163">
        <f t="shared" si="414"/>
        <v>0</v>
      </c>
    </row>
    <row r="705" spans="1:42" x14ac:dyDescent="0.2">
      <c r="A705" s="4">
        <f t="shared" ref="A705:A712" si="415">A704+1</f>
        <v>3</v>
      </c>
      <c r="B705" s="183">
        <f t="shared" si="412"/>
        <v>0</v>
      </c>
      <c r="C705" s="163">
        <f t="shared" ref="C705:AP705" si="416">IF(C$2&gt;analysis_period,0,IF(C$2=equip3_reserve_freq*$A705,equip3_reserve_cost*system_capacity*1000*(1+inflation_rate/100)^B$2,0))</f>
        <v>0</v>
      </c>
      <c r="D705" s="163">
        <f t="shared" si="416"/>
        <v>0</v>
      </c>
      <c r="E705" s="163">
        <f t="shared" si="416"/>
        <v>0</v>
      </c>
      <c r="F705" s="163">
        <f t="shared" si="416"/>
        <v>0</v>
      </c>
      <c r="G705" s="163">
        <f t="shared" si="416"/>
        <v>0</v>
      </c>
      <c r="H705" s="163">
        <f t="shared" si="416"/>
        <v>0</v>
      </c>
      <c r="I705" s="163">
        <f t="shared" si="416"/>
        <v>0</v>
      </c>
      <c r="J705" s="163">
        <f t="shared" si="416"/>
        <v>0</v>
      </c>
      <c r="K705" s="163">
        <f t="shared" si="416"/>
        <v>0</v>
      </c>
      <c r="L705" s="163">
        <f t="shared" si="416"/>
        <v>0</v>
      </c>
      <c r="M705" s="163">
        <f t="shared" si="416"/>
        <v>0</v>
      </c>
      <c r="N705" s="163">
        <f t="shared" si="416"/>
        <v>0</v>
      </c>
      <c r="O705" s="163">
        <f t="shared" si="416"/>
        <v>0</v>
      </c>
      <c r="P705" s="163">
        <f t="shared" si="416"/>
        <v>0</v>
      </c>
      <c r="Q705" s="163">
        <f t="shared" si="416"/>
        <v>0</v>
      </c>
      <c r="R705" s="163">
        <f t="shared" si="416"/>
        <v>0</v>
      </c>
      <c r="S705" s="163">
        <f t="shared" si="416"/>
        <v>0</v>
      </c>
      <c r="T705" s="163">
        <f t="shared" si="416"/>
        <v>0</v>
      </c>
      <c r="U705" s="163">
        <f t="shared" si="416"/>
        <v>0</v>
      </c>
      <c r="V705" s="163">
        <f t="shared" si="416"/>
        <v>0</v>
      </c>
      <c r="W705" s="163">
        <f t="shared" si="416"/>
        <v>0</v>
      </c>
      <c r="X705" s="163">
        <f t="shared" si="416"/>
        <v>0</v>
      </c>
      <c r="Y705" s="163">
        <f t="shared" si="416"/>
        <v>0</v>
      </c>
      <c r="Z705" s="163">
        <f t="shared" si="416"/>
        <v>0</v>
      </c>
      <c r="AA705" s="163">
        <f t="shared" si="416"/>
        <v>0</v>
      </c>
      <c r="AB705" s="163">
        <f t="shared" si="416"/>
        <v>0</v>
      </c>
      <c r="AC705" s="163">
        <f t="shared" si="416"/>
        <v>0</v>
      </c>
      <c r="AD705" s="163">
        <f t="shared" si="416"/>
        <v>0</v>
      </c>
      <c r="AE705" s="163">
        <f t="shared" si="416"/>
        <v>0</v>
      </c>
      <c r="AF705" s="163">
        <f t="shared" si="416"/>
        <v>0</v>
      </c>
      <c r="AG705" s="163">
        <f t="shared" si="416"/>
        <v>0</v>
      </c>
      <c r="AH705" s="163">
        <f t="shared" si="416"/>
        <v>0</v>
      </c>
      <c r="AI705" s="163">
        <f t="shared" si="416"/>
        <v>0</v>
      </c>
      <c r="AJ705" s="163">
        <f t="shared" si="416"/>
        <v>0</v>
      </c>
      <c r="AK705" s="163">
        <f t="shared" si="416"/>
        <v>0</v>
      </c>
      <c r="AL705" s="163">
        <f t="shared" si="416"/>
        <v>0</v>
      </c>
      <c r="AM705" s="163">
        <f t="shared" si="416"/>
        <v>0</v>
      </c>
      <c r="AN705" s="163">
        <f t="shared" si="416"/>
        <v>0</v>
      </c>
      <c r="AO705" s="163">
        <f t="shared" si="416"/>
        <v>0</v>
      </c>
      <c r="AP705" s="163">
        <f t="shared" si="416"/>
        <v>0</v>
      </c>
    </row>
    <row r="706" spans="1:42" x14ac:dyDescent="0.2">
      <c r="A706" s="4">
        <f t="shared" si="415"/>
        <v>4</v>
      </c>
      <c r="B706" s="183">
        <f t="shared" si="412"/>
        <v>0</v>
      </c>
      <c r="C706" s="163">
        <f t="shared" ref="C706:AP706" si="417">IF(C$2&gt;analysis_period,0,IF(C$2=equip3_reserve_freq*$A706,equip3_reserve_cost*system_capacity*1000*(1+inflation_rate/100)^B$2,0))</f>
        <v>0</v>
      </c>
      <c r="D706" s="163">
        <f t="shared" si="417"/>
        <v>0</v>
      </c>
      <c r="E706" s="163">
        <f t="shared" si="417"/>
        <v>0</v>
      </c>
      <c r="F706" s="163">
        <f t="shared" si="417"/>
        <v>0</v>
      </c>
      <c r="G706" s="163">
        <f t="shared" si="417"/>
        <v>0</v>
      </c>
      <c r="H706" s="163">
        <f t="shared" si="417"/>
        <v>0</v>
      </c>
      <c r="I706" s="163">
        <f t="shared" si="417"/>
        <v>0</v>
      </c>
      <c r="J706" s="163">
        <f t="shared" si="417"/>
        <v>0</v>
      </c>
      <c r="K706" s="163">
        <f t="shared" si="417"/>
        <v>0</v>
      </c>
      <c r="L706" s="163">
        <f t="shared" si="417"/>
        <v>0</v>
      </c>
      <c r="M706" s="163">
        <f t="shared" si="417"/>
        <v>0</v>
      </c>
      <c r="N706" s="163">
        <f t="shared" si="417"/>
        <v>0</v>
      </c>
      <c r="O706" s="163">
        <f t="shared" si="417"/>
        <v>0</v>
      </c>
      <c r="P706" s="163">
        <f t="shared" si="417"/>
        <v>0</v>
      </c>
      <c r="Q706" s="163">
        <f t="shared" si="417"/>
        <v>0</v>
      </c>
      <c r="R706" s="163">
        <f t="shared" si="417"/>
        <v>0</v>
      </c>
      <c r="S706" s="163">
        <f t="shared" si="417"/>
        <v>0</v>
      </c>
      <c r="T706" s="163">
        <f t="shared" si="417"/>
        <v>0</v>
      </c>
      <c r="U706" s="163">
        <f t="shared" si="417"/>
        <v>0</v>
      </c>
      <c r="V706" s="163">
        <f t="shared" si="417"/>
        <v>0</v>
      </c>
      <c r="W706" s="163">
        <f t="shared" si="417"/>
        <v>0</v>
      </c>
      <c r="X706" s="163">
        <f t="shared" si="417"/>
        <v>0</v>
      </c>
      <c r="Y706" s="163">
        <f t="shared" si="417"/>
        <v>0</v>
      </c>
      <c r="Z706" s="163">
        <f t="shared" si="417"/>
        <v>0</v>
      </c>
      <c r="AA706" s="163">
        <f t="shared" si="417"/>
        <v>0</v>
      </c>
      <c r="AB706" s="163">
        <f t="shared" si="417"/>
        <v>0</v>
      </c>
      <c r="AC706" s="163">
        <f t="shared" si="417"/>
        <v>0</v>
      </c>
      <c r="AD706" s="163">
        <f t="shared" si="417"/>
        <v>0</v>
      </c>
      <c r="AE706" s="163">
        <f t="shared" si="417"/>
        <v>0</v>
      </c>
      <c r="AF706" s="163">
        <f t="shared" si="417"/>
        <v>0</v>
      </c>
      <c r="AG706" s="163">
        <f t="shared" si="417"/>
        <v>0</v>
      </c>
      <c r="AH706" s="163">
        <f t="shared" si="417"/>
        <v>0</v>
      </c>
      <c r="AI706" s="163">
        <f t="shared" si="417"/>
        <v>0</v>
      </c>
      <c r="AJ706" s="163">
        <f t="shared" si="417"/>
        <v>0</v>
      </c>
      <c r="AK706" s="163">
        <f t="shared" si="417"/>
        <v>0</v>
      </c>
      <c r="AL706" s="163">
        <f t="shared" si="417"/>
        <v>0</v>
      </c>
      <c r="AM706" s="163">
        <f t="shared" si="417"/>
        <v>0</v>
      </c>
      <c r="AN706" s="163">
        <f t="shared" si="417"/>
        <v>0</v>
      </c>
      <c r="AO706" s="163">
        <f t="shared" si="417"/>
        <v>0</v>
      </c>
      <c r="AP706" s="163">
        <f t="shared" si="417"/>
        <v>0</v>
      </c>
    </row>
    <row r="707" spans="1:42" x14ac:dyDescent="0.2">
      <c r="A707" s="4">
        <f t="shared" si="415"/>
        <v>5</v>
      </c>
      <c r="B707" s="183">
        <f t="shared" si="412"/>
        <v>0</v>
      </c>
      <c r="C707" s="163">
        <f t="shared" ref="C707:AP707" si="418">IF(C$2&gt;analysis_period,0,IF(C$2=equip3_reserve_freq*$A707,equip3_reserve_cost*system_capacity*1000*(1+inflation_rate/100)^B$2,0))</f>
        <v>0</v>
      </c>
      <c r="D707" s="163">
        <f t="shared" si="418"/>
        <v>0</v>
      </c>
      <c r="E707" s="163">
        <f t="shared" si="418"/>
        <v>0</v>
      </c>
      <c r="F707" s="163">
        <f t="shared" si="418"/>
        <v>0</v>
      </c>
      <c r="G707" s="163">
        <f t="shared" si="418"/>
        <v>0</v>
      </c>
      <c r="H707" s="163">
        <f t="shared" si="418"/>
        <v>0</v>
      </c>
      <c r="I707" s="163">
        <f t="shared" si="418"/>
        <v>0</v>
      </c>
      <c r="J707" s="163">
        <f t="shared" si="418"/>
        <v>0</v>
      </c>
      <c r="K707" s="163">
        <f t="shared" si="418"/>
        <v>0</v>
      </c>
      <c r="L707" s="163">
        <f t="shared" si="418"/>
        <v>0</v>
      </c>
      <c r="M707" s="163">
        <f t="shared" si="418"/>
        <v>0</v>
      </c>
      <c r="N707" s="163">
        <f t="shared" si="418"/>
        <v>0</v>
      </c>
      <c r="O707" s="163">
        <f t="shared" si="418"/>
        <v>0</v>
      </c>
      <c r="P707" s="163">
        <f t="shared" si="418"/>
        <v>0</v>
      </c>
      <c r="Q707" s="163">
        <f t="shared" si="418"/>
        <v>0</v>
      </c>
      <c r="R707" s="163">
        <f t="shared" si="418"/>
        <v>0</v>
      </c>
      <c r="S707" s="163">
        <f t="shared" si="418"/>
        <v>0</v>
      </c>
      <c r="T707" s="163">
        <f t="shared" si="418"/>
        <v>0</v>
      </c>
      <c r="U707" s="163">
        <f t="shared" si="418"/>
        <v>0</v>
      </c>
      <c r="V707" s="163">
        <f t="shared" si="418"/>
        <v>0</v>
      </c>
      <c r="W707" s="163">
        <f t="shared" si="418"/>
        <v>0</v>
      </c>
      <c r="X707" s="163">
        <f t="shared" si="418"/>
        <v>0</v>
      </c>
      <c r="Y707" s="163">
        <f t="shared" si="418"/>
        <v>0</v>
      </c>
      <c r="Z707" s="163">
        <f t="shared" si="418"/>
        <v>0</v>
      </c>
      <c r="AA707" s="163">
        <f t="shared" si="418"/>
        <v>0</v>
      </c>
      <c r="AB707" s="163">
        <f t="shared" si="418"/>
        <v>0</v>
      </c>
      <c r="AC707" s="163">
        <f t="shared" si="418"/>
        <v>0</v>
      </c>
      <c r="AD707" s="163">
        <f t="shared" si="418"/>
        <v>0</v>
      </c>
      <c r="AE707" s="163">
        <f t="shared" si="418"/>
        <v>0</v>
      </c>
      <c r="AF707" s="163">
        <f t="shared" si="418"/>
        <v>0</v>
      </c>
      <c r="AG707" s="163">
        <f t="shared" si="418"/>
        <v>0</v>
      </c>
      <c r="AH707" s="163">
        <f t="shared" si="418"/>
        <v>0</v>
      </c>
      <c r="AI707" s="163">
        <f t="shared" si="418"/>
        <v>0</v>
      </c>
      <c r="AJ707" s="163">
        <f t="shared" si="418"/>
        <v>0</v>
      </c>
      <c r="AK707" s="163">
        <f t="shared" si="418"/>
        <v>0</v>
      </c>
      <c r="AL707" s="163">
        <f t="shared" si="418"/>
        <v>0</v>
      </c>
      <c r="AM707" s="163">
        <f t="shared" si="418"/>
        <v>0</v>
      </c>
      <c r="AN707" s="163">
        <f t="shared" si="418"/>
        <v>0</v>
      </c>
      <c r="AO707" s="163">
        <f t="shared" si="418"/>
        <v>0</v>
      </c>
      <c r="AP707" s="163">
        <f t="shared" si="418"/>
        <v>0</v>
      </c>
    </row>
    <row r="708" spans="1:42" x14ac:dyDescent="0.2">
      <c r="A708" s="4">
        <f t="shared" si="415"/>
        <v>6</v>
      </c>
      <c r="B708" s="183">
        <f t="shared" si="412"/>
        <v>0</v>
      </c>
      <c r="C708" s="163">
        <f t="shared" ref="C708:AP708" si="419">IF(C$2&gt;analysis_period,0,IF(C$2=equip3_reserve_freq*$A708,equip3_reserve_cost*system_capacity*1000*(1+inflation_rate/100)^B$2,0))</f>
        <v>0</v>
      </c>
      <c r="D708" s="163">
        <f t="shared" si="419"/>
        <v>0</v>
      </c>
      <c r="E708" s="163">
        <f t="shared" si="419"/>
        <v>0</v>
      </c>
      <c r="F708" s="163">
        <f t="shared" si="419"/>
        <v>0</v>
      </c>
      <c r="G708" s="163">
        <f t="shared" si="419"/>
        <v>0</v>
      </c>
      <c r="H708" s="163">
        <f t="shared" si="419"/>
        <v>0</v>
      </c>
      <c r="I708" s="163">
        <f t="shared" si="419"/>
        <v>0</v>
      </c>
      <c r="J708" s="163">
        <f t="shared" si="419"/>
        <v>0</v>
      </c>
      <c r="K708" s="163">
        <f t="shared" si="419"/>
        <v>0</v>
      </c>
      <c r="L708" s="163">
        <f t="shared" si="419"/>
        <v>0</v>
      </c>
      <c r="M708" s="163">
        <f t="shared" si="419"/>
        <v>0</v>
      </c>
      <c r="N708" s="163">
        <f t="shared" si="419"/>
        <v>0</v>
      </c>
      <c r="O708" s="163">
        <f t="shared" si="419"/>
        <v>0</v>
      </c>
      <c r="P708" s="163">
        <f t="shared" si="419"/>
        <v>0</v>
      </c>
      <c r="Q708" s="163">
        <f t="shared" si="419"/>
        <v>0</v>
      </c>
      <c r="R708" s="163">
        <f t="shared" si="419"/>
        <v>0</v>
      </c>
      <c r="S708" s="163">
        <f t="shared" si="419"/>
        <v>0</v>
      </c>
      <c r="T708" s="163">
        <f t="shared" si="419"/>
        <v>0</v>
      </c>
      <c r="U708" s="163">
        <f t="shared" si="419"/>
        <v>0</v>
      </c>
      <c r="V708" s="163">
        <f t="shared" si="419"/>
        <v>0</v>
      </c>
      <c r="W708" s="163">
        <f t="shared" si="419"/>
        <v>0</v>
      </c>
      <c r="X708" s="163">
        <f t="shared" si="419"/>
        <v>0</v>
      </c>
      <c r="Y708" s="163">
        <f t="shared" si="419"/>
        <v>0</v>
      </c>
      <c r="Z708" s="163">
        <f t="shared" si="419"/>
        <v>0</v>
      </c>
      <c r="AA708" s="163">
        <f t="shared" si="419"/>
        <v>0</v>
      </c>
      <c r="AB708" s="163">
        <f t="shared" si="419"/>
        <v>0</v>
      </c>
      <c r="AC708" s="163">
        <f t="shared" si="419"/>
        <v>0</v>
      </c>
      <c r="AD708" s="163">
        <f t="shared" si="419"/>
        <v>0</v>
      </c>
      <c r="AE708" s="163">
        <f t="shared" si="419"/>
        <v>0</v>
      </c>
      <c r="AF708" s="163">
        <f t="shared" si="419"/>
        <v>0</v>
      </c>
      <c r="AG708" s="163">
        <f t="shared" si="419"/>
        <v>0</v>
      </c>
      <c r="AH708" s="163">
        <f t="shared" si="419"/>
        <v>0</v>
      </c>
      <c r="AI708" s="163">
        <f t="shared" si="419"/>
        <v>0</v>
      </c>
      <c r="AJ708" s="163">
        <f t="shared" si="419"/>
        <v>0</v>
      </c>
      <c r="AK708" s="163">
        <f t="shared" si="419"/>
        <v>0</v>
      </c>
      <c r="AL708" s="163">
        <f t="shared" si="419"/>
        <v>0</v>
      </c>
      <c r="AM708" s="163">
        <f t="shared" si="419"/>
        <v>0</v>
      </c>
      <c r="AN708" s="163">
        <f t="shared" si="419"/>
        <v>0</v>
      </c>
      <c r="AO708" s="163">
        <f t="shared" si="419"/>
        <v>0</v>
      </c>
      <c r="AP708" s="163">
        <f t="shared" si="419"/>
        <v>0</v>
      </c>
    </row>
    <row r="709" spans="1:42" x14ac:dyDescent="0.2">
      <c r="A709" s="4">
        <f t="shared" si="415"/>
        <v>7</v>
      </c>
      <c r="B709" s="183">
        <f t="shared" si="412"/>
        <v>0</v>
      </c>
      <c r="C709" s="163">
        <f t="shared" ref="C709:AP709" si="420">IF(C$2&gt;analysis_period,0,IF(C$2=equip3_reserve_freq*$A709,equip3_reserve_cost*system_capacity*1000*(1+inflation_rate/100)^B$2,0))</f>
        <v>0</v>
      </c>
      <c r="D709" s="163">
        <f t="shared" si="420"/>
        <v>0</v>
      </c>
      <c r="E709" s="163">
        <f t="shared" si="420"/>
        <v>0</v>
      </c>
      <c r="F709" s="163">
        <f t="shared" si="420"/>
        <v>0</v>
      </c>
      <c r="G709" s="163">
        <f t="shared" si="420"/>
        <v>0</v>
      </c>
      <c r="H709" s="163">
        <f t="shared" si="420"/>
        <v>0</v>
      </c>
      <c r="I709" s="163">
        <f t="shared" si="420"/>
        <v>0</v>
      </c>
      <c r="J709" s="163">
        <f t="shared" si="420"/>
        <v>0</v>
      </c>
      <c r="K709" s="163">
        <f t="shared" si="420"/>
        <v>0</v>
      </c>
      <c r="L709" s="163">
        <f t="shared" si="420"/>
        <v>0</v>
      </c>
      <c r="M709" s="163">
        <f t="shared" si="420"/>
        <v>0</v>
      </c>
      <c r="N709" s="163">
        <f t="shared" si="420"/>
        <v>0</v>
      </c>
      <c r="O709" s="163">
        <f t="shared" si="420"/>
        <v>0</v>
      </c>
      <c r="P709" s="163">
        <f t="shared" si="420"/>
        <v>0</v>
      </c>
      <c r="Q709" s="163">
        <f t="shared" si="420"/>
        <v>0</v>
      </c>
      <c r="R709" s="163">
        <f t="shared" si="420"/>
        <v>0</v>
      </c>
      <c r="S709" s="163">
        <f t="shared" si="420"/>
        <v>0</v>
      </c>
      <c r="T709" s="163">
        <f t="shared" si="420"/>
        <v>0</v>
      </c>
      <c r="U709" s="163">
        <f t="shared" si="420"/>
        <v>0</v>
      </c>
      <c r="V709" s="163">
        <f t="shared" si="420"/>
        <v>0</v>
      </c>
      <c r="W709" s="163">
        <f t="shared" si="420"/>
        <v>0</v>
      </c>
      <c r="X709" s="163">
        <f t="shared" si="420"/>
        <v>0</v>
      </c>
      <c r="Y709" s="163">
        <f t="shared" si="420"/>
        <v>0</v>
      </c>
      <c r="Z709" s="163">
        <f t="shared" si="420"/>
        <v>0</v>
      </c>
      <c r="AA709" s="163">
        <f t="shared" si="420"/>
        <v>0</v>
      </c>
      <c r="AB709" s="163">
        <f t="shared" si="420"/>
        <v>0</v>
      </c>
      <c r="AC709" s="163">
        <f t="shared" si="420"/>
        <v>0</v>
      </c>
      <c r="AD709" s="163">
        <f t="shared" si="420"/>
        <v>0</v>
      </c>
      <c r="AE709" s="163">
        <f t="shared" si="420"/>
        <v>0</v>
      </c>
      <c r="AF709" s="163">
        <f t="shared" si="420"/>
        <v>0</v>
      </c>
      <c r="AG709" s="163">
        <f t="shared" si="420"/>
        <v>0</v>
      </c>
      <c r="AH709" s="163">
        <f t="shared" si="420"/>
        <v>0</v>
      </c>
      <c r="AI709" s="163">
        <f t="shared" si="420"/>
        <v>0</v>
      </c>
      <c r="AJ709" s="163">
        <f t="shared" si="420"/>
        <v>0</v>
      </c>
      <c r="AK709" s="163">
        <f t="shared" si="420"/>
        <v>0</v>
      </c>
      <c r="AL709" s="163">
        <f t="shared" si="420"/>
        <v>0</v>
      </c>
      <c r="AM709" s="163">
        <f t="shared" si="420"/>
        <v>0</v>
      </c>
      <c r="AN709" s="163">
        <f t="shared" si="420"/>
        <v>0</v>
      </c>
      <c r="AO709" s="163">
        <f t="shared" si="420"/>
        <v>0</v>
      </c>
      <c r="AP709" s="163">
        <f t="shared" si="420"/>
        <v>0</v>
      </c>
    </row>
    <row r="710" spans="1:42" x14ac:dyDescent="0.2">
      <c r="A710" s="4">
        <f t="shared" si="415"/>
        <v>8</v>
      </c>
      <c r="B710" s="183">
        <f t="shared" si="412"/>
        <v>0</v>
      </c>
      <c r="C710" s="163">
        <f t="shared" ref="C710:AP710" si="421">IF(C$2&gt;analysis_period,0,IF(C$2=equip3_reserve_freq*$A710,equip3_reserve_cost*system_capacity*1000*(1+inflation_rate/100)^B$2,0))</f>
        <v>0</v>
      </c>
      <c r="D710" s="163">
        <f t="shared" si="421"/>
        <v>0</v>
      </c>
      <c r="E710" s="163">
        <f t="shared" si="421"/>
        <v>0</v>
      </c>
      <c r="F710" s="163">
        <f t="shared" si="421"/>
        <v>0</v>
      </c>
      <c r="G710" s="163">
        <f t="shared" si="421"/>
        <v>0</v>
      </c>
      <c r="H710" s="163">
        <f t="shared" si="421"/>
        <v>0</v>
      </c>
      <c r="I710" s="163">
        <f t="shared" si="421"/>
        <v>0</v>
      </c>
      <c r="J710" s="163">
        <f t="shared" si="421"/>
        <v>0</v>
      </c>
      <c r="K710" s="163">
        <f t="shared" si="421"/>
        <v>0</v>
      </c>
      <c r="L710" s="163">
        <f t="shared" si="421"/>
        <v>0</v>
      </c>
      <c r="M710" s="163">
        <f t="shared" si="421"/>
        <v>0</v>
      </c>
      <c r="N710" s="163">
        <f t="shared" si="421"/>
        <v>0</v>
      </c>
      <c r="O710" s="163">
        <f t="shared" si="421"/>
        <v>0</v>
      </c>
      <c r="P710" s="163">
        <f t="shared" si="421"/>
        <v>0</v>
      </c>
      <c r="Q710" s="163">
        <f t="shared" si="421"/>
        <v>0</v>
      </c>
      <c r="R710" s="163">
        <f t="shared" si="421"/>
        <v>0</v>
      </c>
      <c r="S710" s="163">
        <f t="shared" si="421"/>
        <v>0</v>
      </c>
      <c r="T710" s="163">
        <f t="shared" si="421"/>
        <v>0</v>
      </c>
      <c r="U710" s="163">
        <f t="shared" si="421"/>
        <v>0</v>
      </c>
      <c r="V710" s="163">
        <f t="shared" si="421"/>
        <v>0</v>
      </c>
      <c r="W710" s="163">
        <f t="shared" si="421"/>
        <v>0</v>
      </c>
      <c r="X710" s="163">
        <f t="shared" si="421"/>
        <v>0</v>
      </c>
      <c r="Y710" s="163">
        <f t="shared" si="421"/>
        <v>0</v>
      </c>
      <c r="Z710" s="163">
        <f t="shared" si="421"/>
        <v>0</v>
      </c>
      <c r="AA710" s="163">
        <f t="shared" si="421"/>
        <v>0</v>
      </c>
      <c r="AB710" s="163">
        <f t="shared" si="421"/>
        <v>0</v>
      </c>
      <c r="AC710" s="163">
        <f t="shared" si="421"/>
        <v>0</v>
      </c>
      <c r="AD710" s="163">
        <f t="shared" si="421"/>
        <v>0</v>
      </c>
      <c r="AE710" s="163">
        <f t="shared" si="421"/>
        <v>0</v>
      </c>
      <c r="AF710" s="163">
        <f t="shared" si="421"/>
        <v>0</v>
      </c>
      <c r="AG710" s="163">
        <f t="shared" si="421"/>
        <v>0</v>
      </c>
      <c r="AH710" s="163">
        <f t="shared" si="421"/>
        <v>0</v>
      </c>
      <c r="AI710" s="163">
        <f t="shared" si="421"/>
        <v>0</v>
      </c>
      <c r="AJ710" s="163">
        <f t="shared" si="421"/>
        <v>0</v>
      </c>
      <c r="AK710" s="163">
        <f t="shared" si="421"/>
        <v>0</v>
      </c>
      <c r="AL710" s="163">
        <f t="shared" si="421"/>
        <v>0</v>
      </c>
      <c r="AM710" s="163">
        <f t="shared" si="421"/>
        <v>0</v>
      </c>
      <c r="AN710" s="163">
        <f t="shared" si="421"/>
        <v>0</v>
      </c>
      <c r="AO710" s="163">
        <f t="shared" si="421"/>
        <v>0</v>
      </c>
      <c r="AP710" s="163">
        <f t="shared" si="421"/>
        <v>0</v>
      </c>
    </row>
    <row r="711" spans="1:42" x14ac:dyDescent="0.2">
      <c r="A711" s="4">
        <f>A710+1</f>
        <v>9</v>
      </c>
      <c r="B711" s="183">
        <f t="shared" si="412"/>
        <v>0</v>
      </c>
      <c r="C711" s="163">
        <f t="shared" ref="C711:AP711" si="422">IF(C$2&gt;analysis_period,0,IF(C$2=equip3_reserve_freq*$A711,equip3_reserve_cost*system_capacity*1000*(1+inflation_rate/100)^B$2,0))</f>
        <v>0</v>
      </c>
      <c r="D711" s="163">
        <f t="shared" si="422"/>
        <v>0</v>
      </c>
      <c r="E711" s="163">
        <f t="shared" si="422"/>
        <v>0</v>
      </c>
      <c r="F711" s="163">
        <f t="shared" si="422"/>
        <v>0</v>
      </c>
      <c r="G711" s="163">
        <f t="shared" si="422"/>
        <v>0</v>
      </c>
      <c r="H711" s="163">
        <f t="shared" si="422"/>
        <v>0</v>
      </c>
      <c r="I711" s="163">
        <f t="shared" si="422"/>
        <v>0</v>
      </c>
      <c r="J711" s="163">
        <f t="shared" si="422"/>
        <v>0</v>
      </c>
      <c r="K711" s="163">
        <f t="shared" si="422"/>
        <v>0</v>
      </c>
      <c r="L711" s="163">
        <f t="shared" si="422"/>
        <v>0</v>
      </c>
      <c r="M711" s="163">
        <f t="shared" si="422"/>
        <v>0</v>
      </c>
      <c r="N711" s="163">
        <f t="shared" si="422"/>
        <v>0</v>
      </c>
      <c r="O711" s="163">
        <f t="shared" si="422"/>
        <v>0</v>
      </c>
      <c r="P711" s="163">
        <f t="shared" si="422"/>
        <v>0</v>
      </c>
      <c r="Q711" s="163">
        <f t="shared" si="422"/>
        <v>0</v>
      </c>
      <c r="R711" s="163">
        <f t="shared" si="422"/>
        <v>0</v>
      </c>
      <c r="S711" s="163">
        <f t="shared" si="422"/>
        <v>0</v>
      </c>
      <c r="T711" s="163">
        <f t="shared" si="422"/>
        <v>0</v>
      </c>
      <c r="U711" s="163">
        <f t="shared" si="422"/>
        <v>0</v>
      </c>
      <c r="V711" s="163">
        <f t="shared" si="422"/>
        <v>0</v>
      </c>
      <c r="W711" s="163">
        <f t="shared" si="422"/>
        <v>0</v>
      </c>
      <c r="X711" s="163">
        <f t="shared" si="422"/>
        <v>0</v>
      </c>
      <c r="Y711" s="163">
        <f t="shared" si="422"/>
        <v>0</v>
      </c>
      <c r="Z711" s="163">
        <f t="shared" si="422"/>
        <v>0</v>
      </c>
      <c r="AA711" s="163">
        <f t="shared" si="422"/>
        <v>0</v>
      </c>
      <c r="AB711" s="163">
        <f t="shared" si="422"/>
        <v>0</v>
      </c>
      <c r="AC711" s="163">
        <f t="shared" si="422"/>
        <v>0</v>
      </c>
      <c r="AD711" s="163">
        <f t="shared" si="422"/>
        <v>0</v>
      </c>
      <c r="AE711" s="163">
        <f t="shared" si="422"/>
        <v>0</v>
      </c>
      <c r="AF711" s="163">
        <f t="shared" si="422"/>
        <v>0</v>
      </c>
      <c r="AG711" s="163">
        <f t="shared" si="422"/>
        <v>0</v>
      </c>
      <c r="AH711" s="163">
        <f t="shared" si="422"/>
        <v>0</v>
      </c>
      <c r="AI711" s="163">
        <f t="shared" si="422"/>
        <v>0</v>
      </c>
      <c r="AJ711" s="163">
        <f t="shared" si="422"/>
        <v>0</v>
      </c>
      <c r="AK711" s="163">
        <f t="shared" si="422"/>
        <v>0</v>
      </c>
      <c r="AL711" s="163">
        <f t="shared" si="422"/>
        <v>0</v>
      </c>
      <c r="AM711" s="163">
        <f t="shared" si="422"/>
        <v>0</v>
      </c>
      <c r="AN711" s="163">
        <f t="shared" si="422"/>
        <v>0</v>
      </c>
      <c r="AO711" s="163">
        <f t="shared" si="422"/>
        <v>0</v>
      </c>
      <c r="AP711" s="163">
        <f t="shared" si="422"/>
        <v>0</v>
      </c>
    </row>
    <row r="712" spans="1:42" x14ac:dyDescent="0.2">
      <c r="A712" s="4">
        <f t="shared" si="415"/>
        <v>10</v>
      </c>
      <c r="B712" s="183">
        <f t="shared" si="412"/>
        <v>0</v>
      </c>
      <c r="C712" s="163">
        <f t="shared" ref="C712:AP712" si="423">IF(C$2&gt;analysis_period,0,IF(C$2=equip3_reserve_freq*$A712,equip3_reserve_cost*system_capacity*1000*(1+inflation_rate/100)^B$2,0))</f>
        <v>0</v>
      </c>
      <c r="D712" s="163">
        <f t="shared" si="423"/>
        <v>0</v>
      </c>
      <c r="E712" s="163">
        <f t="shared" si="423"/>
        <v>0</v>
      </c>
      <c r="F712" s="163">
        <f t="shared" si="423"/>
        <v>0</v>
      </c>
      <c r="G712" s="163">
        <f t="shared" si="423"/>
        <v>0</v>
      </c>
      <c r="H712" s="163">
        <f t="shared" si="423"/>
        <v>0</v>
      </c>
      <c r="I712" s="163">
        <f t="shared" si="423"/>
        <v>0</v>
      </c>
      <c r="J712" s="163">
        <f t="shared" si="423"/>
        <v>0</v>
      </c>
      <c r="K712" s="163">
        <f t="shared" si="423"/>
        <v>0</v>
      </c>
      <c r="L712" s="163">
        <f t="shared" si="423"/>
        <v>0</v>
      </c>
      <c r="M712" s="163">
        <f t="shared" si="423"/>
        <v>0</v>
      </c>
      <c r="N712" s="163">
        <f t="shared" si="423"/>
        <v>0</v>
      </c>
      <c r="O712" s="163">
        <f t="shared" si="423"/>
        <v>0</v>
      </c>
      <c r="P712" s="163">
        <f t="shared" si="423"/>
        <v>0</v>
      </c>
      <c r="Q712" s="163">
        <f t="shared" si="423"/>
        <v>0</v>
      </c>
      <c r="R712" s="163">
        <f t="shared" si="423"/>
        <v>0</v>
      </c>
      <c r="S712" s="163">
        <f t="shared" si="423"/>
        <v>0</v>
      </c>
      <c r="T712" s="163">
        <f t="shared" si="423"/>
        <v>0</v>
      </c>
      <c r="U712" s="163">
        <f t="shared" si="423"/>
        <v>0</v>
      </c>
      <c r="V712" s="163">
        <f t="shared" si="423"/>
        <v>0</v>
      </c>
      <c r="W712" s="163">
        <f t="shared" si="423"/>
        <v>0</v>
      </c>
      <c r="X712" s="163">
        <f t="shared" si="423"/>
        <v>0</v>
      </c>
      <c r="Y712" s="163">
        <f t="shared" si="423"/>
        <v>0</v>
      </c>
      <c r="Z712" s="163">
        <f t="shared" si="423"/>
        <v>0</v>
      </c>
      <c r="AA712" s="163">
        <f t="shared" si="423"/>
        <v>0</v>
      </c>
      <c r="AB712" s="163">
        <f t="shared" si="423"/>
        <v>0</v>
      </c>
      <c r="AC712" s="163">
        <f t="shared" si="423"/>
        <v>0</v>
      </c>
      <c r="AD712" s="163">
        <f t="shared" si="423"/>
        <v>0</v>
      </c>
      <c r="AE712" s="163">
        <f t="shared" si="423"/>
        <v>0</v>
      </c>
      <c r="AF712" s="163">
        <f t="shared" si="423"/>
        <v>0</v>
      </c>
      <c r="AG712" s="163">
        <f t="shared" si="423"/>
        <v>0</v>
      </c>
      <c r="AH712" s="163">
        <f t="shared" si="423"/>
        <v>0</v>
      </c>
      <c r="AI712" s="163">
        <f t="shared" si="423"/>
        <v>0</v>
      </c>
      <c r="AJ712" s="163">
        <f t="shared" si="423"/>
        <v>0</v>
      </c>
      <c r="AK712" s="163">
        <f t="shared" si="423"/>
        <v>0</v>
      </c>
      <c r="AL712" s="163">
        <f t="shared" si="423"/>
        <v>0</v>
      </c>
      <c r="AM712" s="163">
        <f t="shared" si="423"/>
        <v>0</v>
      </c>
      <c r="AN712" s="163">
        <f t="shared" si="423"/>
        <v>0</v>
      </c>
      <c r="AO712" s="163">
        <f t="shared" si="423"/>
        <v>0</v>
      </c>
      <c r="AP712" s="163">
        <f t="shared" si="423"/>
        <v>0</v>
      </c>
    </row>
    <row r="713" spans="1:42" x14ac:dyDescent="0.2">
      <c r="A713" s="27" t="s">
        <v>13</v>
      </c>
      <c r="B713" s="15"/>
      <c r="C713" s="163">
        <f>SUM(C703:C712)</f>
        <v>0</v>
      </c>
      <c r="D713" s="163">
        <f t="shared" ref="D713:AP713" si="424">SUM(D703:D712)</f>
        <v>0</v>
      </c>
      <c r="E713" s="163">
        <f t="shared" si="424"/>
        <v>0</v>
      </c>
      <c r="F713" s="163">
        <f t="shared" si="424"/>
        <v>0</v>
      </c>
      <c r="G713" s="163">
        <f t="shared" si="424"/>
        <v>0</v>
      </c>
      <c r="H713" s="163">
        <f t="shared" si="424"/>
        <v>0</v>
      </c>
      <c r="I713" s="163">
        <f t="shared" si="424"/>
        <v>0</v>
      </c>
      <c r="J713" s="163">
        <f t="shared" si="424"/>
        <v>0</v>
      </c>
      <c r="K713" s="163">
        <f t="shared" si="424"/>
        <v>0</v>
      </c>
      <c r="L713" s="163">
        <f t="shared" si="424"/>
        <v>0</v>
      </c>
      <c r="M713" s="163">
        <f t="shared" si="424"/>
        <v>0</v>
      </c>
      <c r="N713" s="163">
        <f t="shared" si="424"/>
        <v>0</v>
      </c>
      <c r="O713" s="163">
        <f t="shared" si="424"/>
        <v>0</v>
      </c>
      <c r="P713" s="163">
        <f t="shared" si="424"/>
        <v>0</v>
      </c>
      <c r="Q713" s="163">
        <f t="shared" si="424"/>
        <v>0</v>
      </c>
      <c r="R713" s="163">
        <f t="shared" si="424"/>
        <v>0</v>
      </c>
      <c r="S713" s="163">
        <f t="shared" si="424"/>
        <v>0</v>
      </c>
      <c r="T713" s="163">
        <f t="shared" si="424"/>
        <v>0</v>
      </c>
      <c r="U713" s="163">
        <f t="shared" si="424"/>
        <v>0</v>
      </c>
      <c r="V713" s="163">
        <f t="shared" si="424"/>
        <v>0</v>
      </c>
      <c r="W713" s="163">
        <f t="shared" si="424"/>
        <v>0</v>
      </c>
      <c r="X713" s="163">
        <f t="shared" si="424"/>
        <v>0</v>
      </c>
      <c r="Y713" s="163">
        <f t="shared" si="424"/>
        <v>0</v>
      </c>
      <c r="Z713" s="163">
        <f t="shared" si="424"/>
        <v>0</v>
      </c>
      <c r="AA713" s="163">
        <f t="shared" si="424"/>
        <v>0</v>
      </c>
      <c r="AB713" s="163">
        <f t="shared" si="424"/>
        <v>0</v>
      </c>
      <c r="AC713" s="163">
        <f t="shared" si="424"/>
        <v>0</v>
      </c>
      <c r="AD713" s="163">
        <f t="shared" si="424"/>
        <v>0</v>
      </c>
      <c r="AE713" s="163">
        <f t="shared" si="424"/>
        <v>0</v>
      </c>
      <c r="AF713" s="163">
        <f t="shared" si="424"/>
        <v>0</v>
      </c>
      <c r="AG713" s="163">
        <f t="shared" si="424"/>
        <v>0</v>
      </c>
      <c r="AH713" s="163">
        <f t="shared" si="424"/>
        <v>0</v>
      </c>
      <c r="AI713" s="163">
        <f t="shared" si="424"/>
        <v>0</v>
      </c>
      <c r="AJ713" s="163">
        <f t="shared" si="424"/>
        <v>0</v>
      </c>
      <c r="AK713" s="163">
        <f t="shared" si="424"/>
        <v>0</v>
      </c>
      <c r="AL713" s="163">
        <f t="shared" si="424"/>
        <v>0</v>
      </c>
      <c r="AM713" s="163">
        <f t="shared" si="424"/>
        <v>0</v>
      </c>
      <c r="AN713" s="163">
        <f t="shared" si="424"/>
        <v>0</v>
      </c>
      <c r="AO713" s="163">
        <f t="shared" si="424"/>
        <v>0</v>
      </c>
      <c r="AP713" s="163">
        <f t="shared" si="424"/>
        <v>0</v>
      </c>
    </row>
    <row r="714" spans="1:42" x14ac:dyDescent="0.2">
      <c r="A714" s="4" t="s">
        <v>304</v>
      </c>
    </row>
    <row r="715" spans="1:42" x14ac:dyDescent="0.2">
      <c r="A715" s="4">
        <v>1</v>
      </c>
      <c r="B715" s="183">
        <f t="shared" ref="B715:B724" si="425">SUM(C715:AP715)</f>
        <v>0</v>
      </c>
      <c r="C715" s="163">
        <f t="shared" ref="C715:AP715" si="426">IF(C$2&lt;=equip3_reserve_freq*$A$703,$B$703/(equip3_reserve_freq),0)</f>
        <v>0</v>
      </c>
      <c r="D715" s="163">
        <f t="shared" si="426"/>
        <v>0</v>
      </c>
      <c r="E715" s="163">
        <f t="shared" si="426"/>
        <v>0</v>
      </c>
      <c r="F715" s="163">
        <f t="shared" si="426"/>
        <v>0</v>
      </c>
      <c r="G715" s="163">
        <f t="shared" si="426"/>
        <v>0</v>
      </c>
      <c r="H715" s="163">
        <f t="shared" si="426"/>
        <v>0</v>
      </c>
      <c r="I715" s="163">
        <f t="shared" si="426"/>
        <v>0</v>
      </c>
      <c r="J715" s="163">
        <f t="shared" si="426"/>
        <v>0</v>
      </c>
      <c r="K715" s="163">
        <f t="shared" si="426"/>
        <v>0</v>
      </c>
      <c r="L715" s="163">
        <f t="shared" si="426"/>
        <v>0</v>
      </c>
      <c r="M715" s="163">
        <f t="shared" si="426"/>
        <v>0</v>
      </c>
      <c r="N715" s="163">
        <f t="shared" si="426"/>
        <v>0</v>
      </c>
      <c r="O715" s="163">
        <f t="shared" si="426"/>
        <v>0</v>
      </c>
      <c r="P715" s="163">
        <f t="shared" si="426"/>
        <v>0</v>
      </c>
      <c r="Q715" s="163">
        <f t="shared" si="426"/>
        <v>0</v>
      </c>
      <c r="R715" s="163">
        <f t="shared" si="426"/>
        <v>0</v>
      </c>
      <c r="S715" s="163">
        <f t="shared" si="426"/>
        <v>0</v>
      </c>
      <c r="T715" s="163">
        <f t="shared" si="426"/>
        <v>0</v>
      </c>
      <c r="U715" s="163">
        <f t="shared" si="426"/>
        <v>0</v>
      </c>
      <c r="V715" s="163">
        <f t="shared" si="426"/>
        <v>0</v>
      </c>
      <c r="W715" s="163">
        <f t="shared" si="426"/>
        <v>0</v>
      </c>
      <c r="X715" s="163">
        <f t="shared" si="426"/>
        <v>0</v>
      </c>
      <c r="Y715" s="163">
        <f t="shared" si="426"/>
        <v>0</v>
      </c>
      <c r="Z715" s="163">
        <f t="shared" si="426"/>
        <v>0</v>
      </c>
      <c r="AA715" s="163">
        <f t="shared" si="426"/>
        <v>0</v>
      </c>
      <c r="AB715" s="163">
        <f t="shared" si="426"/>
        <v>0</v>
      </c>
      <c r="AC715" s="163">
        <f t="shared" si="426"/>
        <v>0</v>
      </c>
      <c r="AD715" s="163">
        <f t="shared" si="426"/>
        <v>0</v>
      </c>
      <c r="AE715" s="163">
        <f t="shared" si="426"/>
        <v>0</v>
      </c>
      <c r="AF715" s="163">
        <f t="shared" si="426"/>
        <v>0</v>
      </c>
      <c r="AG715" s="163">
        <f t="shared" si="426"/>
        <v>0</v>
      </c>
      <c r="AH715" s="163">
        <f t="shared" si="426"/>
        <v>0</v>
      </c>
      <c r="AI715" s="163">
        <f t="shared" si="426"/>
        <v>0</v>
      </c>
      <c r="AJ715" s="163">
        <f t="shared" si="426"/>
        <v>0</v>
      </c>
      <c r="AK715" s="163">
        <f t="shared" si="426"/>
        <v>0</v>
      </c>
      <c r="AL715" s="163">
        <f t="shared" si="426"/>
        <v>0</v>
      </c>
      <c r="AM715" s="163">
        <f t="shared" si="426"/>
        <v>0</v>
      </c>
      <c r="AN715" s="163">
        <f t="shared" si="426"/>
        <v>0</v>
      </c>
      <c r="AO715" s="163">
        <f t="shared" si="426"/>
        <v>0</v>
      </c>
      <c r="AP715" s="163">
        <f t="shared" si="426"/>
        <v>0</v>
      </c>
    </row>
    <row r="716" spans="1:42" x14ac:dyDescent="0.2">
      <c r="A716" s="4">
        <f>A715+1</f>
        <v>2</v>
      </c>
      <c r="B716" s="183">
        <f t="shared" si="425"/>
        <v>0</v>
      </c>
      <c r="C716" s="163">
        <f t="shared" ref="C716:AP716" si="427">IF(AND(C$2&gt;equip3_reserve_freq*$A703,C$2&lt;=equip3_reserve_freq*$A704),$B704/(equip3_reserve_freq),0)</f>
        <v>0</v>
      </c>
      <c r="D716" s="163">
        <f t="shared" si="427"/>
        <v>0</v>
      </c>
      <c r="E716" s="163">
        <f t="shared" si="427"/>
        <v>0</v>
      </c>
      <c r="F716" s="163">
        <f t="shared" si="427"/>
        <v>0</v>
      </c>
      <c r="G716" s="163">
        <f t="shared" si="427"/>
        <v>0</v>
      </c>
      <c r="H716" s="163">
        <f t="shared" si="427"/>
        <v>0</v>
      </c>
      <c r="I716" s="163">
        <f t="shared" si="427"/>
        <v>0</v>
      </c>
      <c r="J716" s="163">
        <f t="shared" si="427"/>
        <v>0</v>
      </c>
      <c r="K716" s="163">
        <f t="shared" si="427"/>
        <v>0</v>
      </c>
      <c r="L716" s="163">
        <f t="shared" si="427"/>
        <v>0</v>
      </c>
      <c r="M716" s="163">
        <f t="shared" si="427"/>
        <v>0</v>
      </c>
      <c r="N716" s="163">
        <f t="shared" si="427"/>
        <v>0</v>
      </c>
      <c r="O716" s="163">
        <f t="shared" si="427"/>
        <v>0</v>
      </c>
      <c r="P716" s="163">
        <f t="shared" si="427"/>
        <v>0</v>
      </c>
      <c r="Q716" s="163">
        <f t="shared" si="427"/>
        <v>0</v>
      </c>
      <c r="R716" s="163">
        <f t="shared" si="427"/>
        <v>0</v>
      </c>
      <c r="S716" s="163">
        <f t="shared" si="427"/>
        <v>0</v>
      </c>
      <c r="T716" s="163">
        <f t="shared" si="427"/>
        <v>0</v>
      </c>
      <c r="U716" s="163">
        <f t="shared" si="427"/>
        <v>0</v>
      </c>
      <c r="V716" s="163">
        <f t="shared" si="427"/>
        <v>0</v>
      </c>
      <c r="W716" s="163">
        <f t="shared" si="427"/>
        <v>0</v>
      </c>
      <c r="X716" s="163">
        <f t="shared" si="427"/>
        <v>0</v>
      </c>
      <c r="Y716" s="163">
        <f t="shared" si="427"/>
        <v>0</v>
      </c>
      <c r="Z716" s="163">
        <f t="shared" si="427"/>
        <v>0</v>
      </c>
      <c r="AA716" s="163">
        <f t="shared" si="427"/>
        <v>0</v>
      </c>
      <c r="AB716" s="163">
        <f t="shared" si="427"/>
        <v>0</v>
      </c>
      <c r="AC716" s="163">
        <f t="shared" si="427"/>
        <v>0</v>
      </c>
      <c r="AD716" s="163">
        <f t="shared" si="427"/>
        <v>0</v>
      </c>
      <c r="AE716" s="163">
        <f t="shared" si="427"/>
        <v>0</v>
      </c>
      <c r="AF716" s="163">
        <f t="shared" si="427"/>
        <v>0</v>
      </c>
      <c r="AG716" s="163">
        <f t="shared" si="427"/>
        <v>0</v>
      </c>
      <c r="AH716" s="163">
        <f t="shared" si="427"/>
        <v>0</v>
      </c>
      <c r="AI716" s="163">
        <f t="shared" si="427"/>
        <v>0</v>
      </c>
      <c r="AJ716" s="163">
        <f t="shared" si="427"/>
        <v>0</v>
      </c>
      <c r="AK716" s="163">
        <f t="shared" si="427"/>
        <v>0</v>
      </c>
      <c r="AL716" s="163">
        <f t="shared" si="427"/>
        <v>0</v>
      </c>
      <c r="AM716" s="163">
        <f t="shared" si="427"/>
        <v>0</v>
      </c>
      <c r="AN716" s="163">
        <f t="shared" si="427"/>
        <v>0</v>
      </c>
      <c r="AO716" s="163">
        <f t="shared" si="427"/>
        <v>0</v>
      </c>
      <c r="AP716" s="163">
        <f t="shared" si="427"/>
        <v>0</v>
      </c>
    </row>
    <row r="717" spans="1:42" x14ac:dyDescent="0.2">
      <c r="A717" s="4">
        <f t="shared" ref="A717:A722" si="428">A716+1</f>
        <v>3</v>
      </c>
      <c r="B717" s="183">
        <f t="shared" si="425"/>
        <v>0</v>
      </c>
      <c r="C717" s="163">
        <f t="shared" ref="C717:AP717" si="429">IF(AND(C$2&gt;equip3_reserve_freq*$A704,C$2&lt;=equip3_reserve_freq*$A705),$B705/(equip3_reserve_freq),0)</f>
        <v>0</v>
      </c>
      <c r="D717" s="163">
        <f t="shared" si="429"/>
        <v>0</v>
      </c>
      <c r="E717" s="163">
        <f t="shared" si="429"/>
        <v>0</v>
      </c>
      <c r="F717" s="163">
        <f t="shared" si="429"/>
        <v>0</v>
      </c>
      <c r="G717" s="163">
        <f t="shared" si="429"/>
        <v>0</v>
      </c>
      <c r="H717" s="163">
        <f t="shared" si="429"/>
        <v>0</v>
      </c>
      <c r="I717" s="163">
        <f t="shared" si="429"/>
        <v>0</v>
      </c>
      <c r="J717" s="163">
        <f t="shared" si="429"/>
        <v>0</v>
      </c>
      <c r="K717" s="163">
        <f t="shared" si="429"/>
        <v>0</v>
      </c>
      <c r="L717" s="163">
        <f t="shared" si="429"/>
        <v>0</v>
      </c>
      <c r="M717" s="163">
        <f t="shared" si="429"/>
        <v>0</v>
      </c>
      <c r="N717" s="163">
        <f t="shared" si="429"/>
        <v>0</v>
      </c>
      <c r="O717" s="163">
        <f t="shared" si="429"/>
        <v>0</v>
      </c>
      <c r="P717" s="163">
        <f t="shared" si="429"/>
        <v>0</v>
      </c>
      <c r="Q717" s="163">
        <f t="shared" si="429"/>
        <v>0</v>
      </c>
      <c r="R717" s="163">
        <f t="shared" si="429"/>
        <v>0</v>
      </c>
      <c r="S717" s="163">
        <f t="shared" si="429"/>
        <v>0</v>
      </c>
      <c r="T717" s="163">
        <f t="shared" si="429"/>
        <v>0</v>
      </c>
      <c r="U717" s="163">
        <f t="shared" si="429"/>
        <v>0</v>
      </c>
      <c r="V717" s="163">
        <f t="shared" si="429"/>
        <v>0</v>
      </c>
      <c r="W717" s="163">
        <f t="shared" si="429"/>
        <v>0</v>
      </c>
      <c r="X717" s="163">
        <f t="shared" si="429"/>
        <v>0</v>
      </c>
      <c r="Y717" s="163">
        <f t="shared" si="429"/>
        <v>0</v>
      </c>
      <c r="Z717" s="163">
        <f t="shared" si="429"/>
        <v>0</v>
      </c>
      <c r="AA717" s="163">
        <f t="shared" si="429"/>
        <v>0</v>
      </c>
      <c r="AB717" s="163">
        <f t="shared" si="429"/>
        <v>0</v>
      </c>
      <c r="AC717" s="163">
        <f t="shared" si="429"/>
        <v>0</v>
      </c>
      <c r="AD717" s="163">
        <f t="shared" si="429"/>
        <v>0</v>
      </c>
      <c r="AE717" s="163">
        <f t="shared" si="429"/>
        <v>0</v>
      </c>
      <c r="AF717" s="163">
        <f t="shared" si="429"/>
        <v>0</v>
      </c>
      <c r="AG717" s="163">
        <f t="shared" si="429"/>
        <v>0</v>
      </c>
      <c r="AH717" s="163">
        <f t="shared" si="429"/>
        <v>0</v>
      </c>
      <c r="AI717" s="163">
        <f t="shared" si="429"/>
        <v>0</v>
      </c>
      <c r="AJ717" s="163">
        <f t="shared" si="429"/>
        <v>0</v>
      </c>
      <c r="AK717" s="163">
        <f t="shared" si="429"/>
        <v>0</v>
      </c>
      <c r="AL717" s="163">
        <f t="shared" si="429"/>
        <v>0</v>
      </c>
      <c r="AM717" s="163">
        <f t="shared" si="429"/>
        <v>0</v>
      </c>
      <c r="AN717" s="163">
        <f t="shared" si="429"/>
        <v>0</v>
      </c>
      <c r="AO717" s="163">
        <f t="shared" si="429"/>
        <v>0</v>
      </c>
      <c r="AP717" s="163">
        <f t="shared" si="429"/>
        <v>0</v>
      </c>
    </row>
    <row r="718" spans="1:42" x14ac:dyDescent="0.2">
      <c r="A718" s="4">
        <f t="shared" si="428"/>
        <v>4</v>
      </c>
      <c r="B718" s="183">
        <f t="shared" si="425"/>
        <v>0</v>
      </c>
      <c r="C718" s="163">
        <f t="shared" ref="C718:AP718" si="430">IF(AND(C$2&gt;equip3_reserve_freq*$A705,C$2&lt;=equip3_reserve_freq*$A706),$B706/(equip3_reserve_freq),0)</f>
        <v>0</v>
      </c>
      <c r="D718" s="163">
        <f t="shared" si="430"/>
        <v>0</v>
      </c>
      <c r="E718" s="163">
        <f t="shared" si="430"/>
        <v>0</v>
      </c>
      <c r="F718" s="163">
        <f t="shared" si="430"/>
        <v>0</v>
      </c>
      <c r="G718" s="163">
        <f t="shared" si="430"/>
        <v>0</v>
      </c>
      <c r="H718" s="163">
        <f t="shared" si="430"/>
        <v>0</v>
      </c>
      <c r="I718" s="163">
        <f t="shared" si="430"/>
        <v>0</v>
      </c>
      <c r="J718" s="163">
        <f t="shared" si="430"/>
        <v>0</v>
      </c>
      <c r="K718" s="163">
        <f t="shared" si="430"/>
        <v>0</v>
      </c>
      <c r="L718" s="163">
        <f t="shared" si="430"/>
        <v>0</v>
      </c>
      <c r="M718" s="163">
        <f t="shared" si="430"/>
        <v>0</v>
      </c>
      <c r="N718" s="163">
        <f t="shared" si="430"/>
        <v>0</v>
      </c>
      <c r="O718" s="163">
        <f t="shared" si="430"/>
        <v>0</v>
      </c>
      <c r="P718" s="163">
        <f t="shared" si="430"/>
        <v>0</v>
      </c>
      <c r="Q718" s="163">
        <f t="shared" si="430"/>
        <v>0</v>
      </c>
      <c r="R718" s="163">
        <f t="shared" si="430"/>
        <v>0</v>
      </c>
      <c r="S718" s="163">
        <f t="shared" si="430"/>
        <v>0</v>
      </c>
      <c r="T718" s="163">
        <f t="shared" si="430"/>
        <v>0</v>
      </c>
      <c r="U718" s="163">
        <f t="shared" si="430"/>
        <v>0</v>
      </c>
      <c r="V718" s="163">
        <f t="shared" si="430"/>
        <v>0</v>
      </c>
      <c r="W718" s="163">
        <f t="shared" si="430"/>
        <v>0</v>
      </c>
      <c r="X718" s="163">
        <f t="shared" si="430"/>
        <v>0</v>
      </c>
      <c r="Y718" s="163">
        <f t="shared" si="430"/>
        <v>0</v>
      </c>
      <c r="Z718" s="163">
        <f t="shared" si="430"/>
        <v>0</v>
      </c>
      <c r="AA718" s="163">
        <f t="shared" si="430"/>
        <v>0</v>
      </c>
      <c r="AB718" s="163">
        <f t="shared" si="430"/>
        <v>0</v>
      </c>
      <c r="AC718" s="163">
        <f t="shared" si="430"/>
        <v>0</v>
      </c>
      <c r="AD718" s="163">
        <f t="shared" si="430"/>
        <v>0</v>
      </c>
      <c r="AE718" s="163">
        <f t="shared" si="430"/>
        <v>0</v>
      </c>
      <c r="AF718" s="163">
        <f t="shared" si="430"/>
        <v>0</v>
      </c>
      <c r="AG718" s="163">
        <f t="shared" si="430"/>
        <v>0</v>
      </c>
      <c r="AH718" s="163">
        <f t="shared" si="430"/>
        <v>0</v>
      </c>
      <c r="AI718" s="163">
        <f t="shared" si="430"/>
        <v>0</v>
      </c>
      <c r="AJ718" s="163">
        <f t="shared" si="430"/>
        <v>0</v>
      </c>
      <c r="AK718" s="163">
        <f t="shared" si="430"/>
        <v>0</v>
      </c>
      <c r="AL718" s="163">
        <f t="shared" si="430"/>
        <v>0</v>
      </c>
      <c r="AM718" s="163">
        <f t="shared" si="430"/>
        <v>0</v>
      </c>
      <c r="AN718" s="163">
        <f t="shared" si="430"/>
        <v>0</v>
      </c>
      <c r="AO718" s="163">
        <f t="shared" si="430"/>
        <v>0</v>
      </c>
      <c r="AP718" s="163">
        <f t="shared" si="430"/>
        <v>0</v>
      </c>
    </row>
    <row r="719" spans="1:42" x14ac:dyDescent="0.2">
      <c r="A719" s="4">
        <f t="shared" si="428"/>
        <v>5</v>
      </c>
      <c r="B719" s="183">
        <f t="shared" si="425"/>
        <v>0</v>
      </c>
      <c r="C719" s="163">
        <f t="shared" ref="C719:AP719" si="431">IF(AND(C$2&gt;equip3_reserve_freq*$A706,C$2&lt;=equip3_reserve_freq*$A707),$B707/(equip3_reserve_freq),0)</f>
        <v>0</v>
      </c>
      <c r="D719" s="163">
        <f t="shared" si="431"/>
        <v>0</v>
      </c>
      <c r="E719" s="163">
        <f t="shared" si="431"/>
        <v>0</v>
      </c>
      <c r="F719" s="163">
        <f t="shared" si="431"/>
        <v>0</v>
      </c>
      <c r="G719" s="163">
        <f t="shared" si="431"/>
        <v>0</v>
      </c>
      <c r="H719" s="163">
        <f t="shared" si="431"/>
        <v>0</v>
      </c>
      <c r="I719" s="163">
        <f t="shared" si="431"/>
        <v>0</v>
      </c>
      <c r="J719" s="163">
        <f t="shared" si="431"/>
        <v>0</v>
      </c>
      <c r="K719" s="163">
        <f t="shared" si="431"/>
        <v>0</v>
      </c>
      <c r="L719" s="163">
        <f t="shared" si="431"/>
        <v>0</v>
      </c>
      <c r="M719" s="163">
        <f t="shared" si="431"/>
        <v>0</v>
      </c>
      <c r="N719" s="163">
        <f t="shared" si="431"/>
        <v>0</v>
      </c>
      <c r="O719" s="163">
        <f t="shared" si="431"/>
        <v>0</v>
      </c>
      <c r="P719" s="163">
        <f t="shared" si="431"/>
        <v>0</v>
      </c>
      <c r="Q719" s="163">
        <f t="shared" si="431"/>
        <v>0</v>
      </c>
      <c r="R719" s="163">
        <f t="shared" si="431"/>
        <v>0</v>
      </c>
      <c r="S719" s="163">
        <f t="shared" si="431"/>
        <v>0</v>
      </c>
      <c r="T719" s="163">
        <f t="shared" si="431"/>
        <v>0</v>
      </c>
      <c r="U719" s="163">
        <f t="shared" si="431"/>
        <v>0</v>
      </c>
      <c r="V719" s="163">
        <f t="shared" si="431"/>
        <v>0</v>
      </c>
      <c r="W719" s="163">
        <f t="shared" si="431"/>
        <v>0</v>
      </c>
      <c r="X719" s="163">
        <f t="shared" si="431"/>
        <v>0</v>
      </c>
      <c r="Y719" s="163">
        <f t="shared" si="431"/>
        <v>0</v>
      </c>
      <c r="Z719" s="163">
        <f t="shared" si="431"/>
        <v>0</v>
      </c>
      <c r="AA719" s="163">
        <f t="shared" si="431"/>
        <v>0</v>
      </c>
      <c r="AB719" s="163">
        <f t="shared" si="431"/>
        <v>0</v>
      </c>
      <c r="AC719" s="163">
        <f t="shared" si="431"/>
        <v>0</v>
      </c>
      <c r="AD719" s="163">
        <f t="shared" si="431"/>
        <v>0</v>
      </c>
      <c r="AE719" s="163">
        <f t="shared" si="431"/>
        <v>0</v>
      </c>
      <c r="AF719" s="163">
        <f t="shared" si="431"/>
        <v>0</v>
      </c>
      <c r="AG719" s="163">
        <f t="shared" si="431"/>
        <v>0</v>
      </c>
      <c r="AH719" s="163">
        <f t="shared" si="431"/>
        <v>0</v>
      </c>
      <c r="AI719" s="163">
        <f t="shared" si="431"/>
        <v>0</v>
      </c>
      <c r="AJ719" s="163">
        <f t="shared" si="431"/>
        <v>0</v>
      </c>
      <c r="AK719" s="163">
        <f t="shared" si="431"/>
        <v>0</v>
      </c>
      <c r="AL719" s="163">
        <f t="shared" si="431"/>
        <v>0</v>
      </c>
      <c r="AM719" s="163">
        <f t="shared" si="431"/>
        <v>0</v>
      </c>
      <c r="AN719" s="163">
        <f t="shared" si="431"/>
        <v>0</v>
      </c>
      <c r="AO719" s="163">
        <f t="shared" si="431"/>
        <v>0</v>
      </c>
      <c r="AP719" s="163">
        <f t="shared" si="431"/>
        <v>0</v>
      </c>
    </row>
    <row r="720" spans="1:42" x14ac:dyDescent="0.2">
      <c r="A720" s="4">
        <f t="shared" si="428"/>
        <v>6</v>
      </c>
      <c r="B720" s="183">
        <f t="shared" si="425"/>
        <v>0</v>
      </c>
      <c r="C720" s="163">
        <f t="shared" ref="C720:AP720" si="432">IF(AND(C$2&gt;equip3_reserve_freq*$A707,C$2&lt;=equip3_reserve_freq*$A708),$B708/(equip3_reserve_freq),0)</f>
        <v>0</v>
      </c>
      <c r="D720" s="163">
        <f t="shared" si="432"/>
        <v>0</v>
      </c>
      <c r="E720" s="163">
        <f t="shared" si="432"/>
        <v>0</v>
      </c>
      <c r="F720" s="163">
        <f t="shared" si="432"/>
        <v>0</v>
      </c>
      <c r="G720" s="163">
        <f t="shared" si="432"/>
        <v>0</v>
      </c>
      <c r="H720" s="163">
        <f t="shared" si="432"/>
        <v>0</v>
      </c>
      <c r="I720" s="163">
        <f t="shared" si="432"/>
        <v>0</v>
      </c>
      <c r="J720" s="163">
        <f t="shared" si="432"/>
        <v>0</v>
      </c>
      <c r="K720" s="163">
        <f t="shared" si="432"/>
        <v>0</v>
      </c>
      <c r="L720" s="163">
        <f t="shared" si="432"/>
        <v>0</v>
      </c>
      <c r="M720" s="163">
        <f t="shared" si="432"/>
        <v>0</v>
      </c>
      <c r="N720" s="163">
        <f t="shared" si="432"/>
        <v>0</v>
      </c>
      <c r="O720" s="163">
        <f t="shared" si="432"/>
        <v>0</v>
      </c>
      <c r="P720" s="163">
        <f t="shared" si="432"/>
        <v>0</v>
      </c>
      <c r="Q720" s="163">
        <f t="shared" si="432"/>
        <v>0</v>
      </c>
      <c r="R720" s="163">
        <f t="shared" si="432"/>
        <v>0</v>
      </c>
      <c r="S720" s="163">
        <f t="shared" si="432"/>
        <v>0</v>
      </c>
      <c r="T720" s="163">
        <f t="shared" si="432"/>
        <v>0</v>
      </c>
      <c r="U720" s="163">
        <f t="shared" si="432"/>
        <v>0</v>
      </c>
      <c r="V720" s="163">
        <f t="shared" si="432"/>
        <v>0</v>
      </c>
      <c r="W720" s="163">
        <f t="shared" si="432"/>
        <v>0</v>
      </c>
      <c r="X720" s="163">
        <f t="shared" si="432"/>
        <v>0</v>
      </c>
      <c r="Y720" s="163">
        <f t="shared" si="432"/>
        <v>0</v>
      </c>
      <c r="Z720" s="163">
        <f t="shared" si="432"/>
        <v>0</v>
      </c>
      <c r="AA720" s="163">
        <f t="shared" si="432"/>
        <v>0</v>
      </c>
      <c r="AB720" s="163">
        <f t="shared" si="432"/>
        <v>0</v>
      </c>
      <c r="AC720" s="163">
        <f t="shared" si="432"/>
        <v>0</v>
      </c>
      <c r="AD720" s="163">
        <f t="shared" si="432"/>
        <v>0</v>
      </c>
      <c r="AE720" s="163">
        <f t="shared" si="432"/>
        <v>0</v>
      </c>
      <c r="AF720" s="163">
        <f t="shared" si="432"/>
        <v>0</v>
      </c>
      <c r="AG720" s="163">
        <f t="shared" si="432"/>
        <v>0</v>
      </c>
      <c r="AH720" s="163">
        <f t="shared" si="432"/>
        <v>0</v>
      </c>
      <c r="AI720" s="163">
        <f t="shared" si="432"/>
        <v>0</v>
      </c>
      <c r="AJ720" s="163">
        <f t="shared" si="432"/>
        <v>0</v>
      </c>
      <c r="AK720" s="163">
        <f t="shared" si="432"/>
        <v>0</v>
      </c>
      <c r="AL720" s="163">
        <f t="shared" si="432"/>
        <v>0</v>
      </c>
      <c r="AM720" s="163">
        <f t="shared" si="432"/>
        <v>0</v>
      </c>
      <c r="AN720" s="163">
        <f t="shared" si="432"/>
        <v>0</v>
      </c>
      <c r="AO720" s="163">
        <f t="shared" si="432"/>
        <v>0</v>
      </c>
      <c r="AP720" s="163">
        <f t="shared" si="432"/>
        <v>0</v>
      </c>
    </row>
    <row r="721" spans="1:42" x14ac:dyDescent="0.2">
      <c r="A721" s="4">
        <f t="shared" si="428"/>
        <v>7</v>
      </c>
      <c r="B721" s="183">
        <f t="shared" si="425"/>
        <v>0</v>
      </c>
      <c r="C721" s="163">
        <f t="shared" ref="C721:AP721" si="433">IF(AND(C$2&gt;equip3_reserve_freq*$A708,C$2&lt;=equip3_reserve_freq*$A709),$B709/(equip3_reserve_freq),0)</f>
        <v>0</v>
      </c>
      <c r="D721" s="163">
        <f t="shared" si="433"/>
        <v>0</v>
      </c>
      <c r="E721" s="163">
        <f t="shared" si="433"/>
        <v>0</v>
      </c>
      <c r="F721" s="163">
        <f t="shared" si="433"/>
        <v>0</v>
      </c>
      <c r="G721" s="163">
        <f t="shared" si="433"/>
        <v>0</v>
      </c>
      <c r="H721" s="163">
        <f t="shared" si="433"/>
        <v>0</v>
      </c>
      <c r="I721" s="163">
        <f t="shared" si="433"/>
        <v>0</v>
      </c>
      <c r="J721" s="163">
        <f t="shared" si="433"/>
        <v>0</v>
      </c>
      <c r="K721" s="163">
        <f t="shared" si="433"/>
        <v>0</v>
      </c>
      <c r="L721" s="163">
        <f t="shared" si="433"/>
        <v>0</v>
      </c>
      <c r="M721" s="163">
        <f t="shared" si="433"/>
        <v>0</v>
      </c>
      <c r="N721" s="163">
        <f t="shared" si="433"/>
        <v>0</v>
      </c>
      <c r="O721" s="163">
        <f t="shared" si="433"/>
        <v>0</v>
      </c>
      <c r="P721" s="163">
        <f t="shared" si="433"/>
        <v>0</v>
      </c>
      <c r="Q721" s="163">
        <f t="shared" si="433"/>
        <v>0</v>
      </c>
      <c r="R721" s="163">
        <f t="shared" si="433"/>
        <v>0</v>
      </c>
      <c r="S721" s="163">
        <f t="shared" si="433"/>
        <v>0</v>
      </c>
      <c r="T721" s="163">
        <f t="shared" si="433"/>
        <v>0</v>
      </c>
      <c r="U721" s="163">
        <f t="shared" si="433"/>
        <v>0</v>
      </c>
      <c r="V721" s="163">
        <f t="shared" si="433"/>
        <v>0</v>
      </c>
      <c r="W721" s="163">
        <f t="shared" si="433"/>
        <v>0</v>
      </c>
      <c r="X721" s="163">
        <f t="shared" si="433"/>
        <v>0</v>
      </c>
      <c r="Y721" s="163">
        <f t="shared" si="433"/>
        <v>0</v>
      </c>
      <c r="Z721" s="163">
        <f t="shared" si="433"/>
        <v>0</v>
      </c>
      <c r="AA721" s="163">
        <f t="shared" si="433"/>
        <v>0</v>
      </c>
      <c r="AB721" s="163">
        <f t="shared" si="433"/>
        <v>0</v>
      </c>
      <c r="AC721" s="163">
        <f t="shared" si="433"/>
        <v>0</v>
      </c>
      <c r="AD721" s="163">
        <f t="shared" si="433"/>
        <v>0</v>
      </c>
      <c r="AE721" s="163">
        <f t="shared" si="433"/>
        <v>0</v>
      </c>
      <c r="AF721" s="163">
        <f t="shared" si="433"/>
        <v>0</v>
      </c>
      <c r="AG721" s="163">
        <f t="shared" si="433"/>
        <v>0</v>
      </c>
      <c r="AH721" s="163">
        <f t="shared" si="433"/>
        <v>0</v>
      </c>
      <c r="AI721" s="163">
        <f t="shared" si="433"/>
        <v>0</v>
      </c>
      <c r="AJ721" s="163">
        <f t="shared" si="433"/>
        <v>0</v>
      </c>
      <c r="AK721" s="163">
        <f t="shared" si="433"/>
        <v>0</v>
      </c>
      <c r="AL721" s="163">
        <f t="shared" si="433"/>
        <v>0</v>
      </c>
      <c r="AM721" s="163">
        <f t="shared" si="433"/>
        <v>0</v>
      </c>
      <c r="AN721" s="163">
        <f t="shared" si="433"/>
        <v>0</v>
      </c>
      <c r="AO721" s="163">
        <f t="shared" si="433"/>
        <v>0</v>
      </c>
      <c r="AP721" s="163">
        <f t="shared" si="433"/>
        <v>0</v>
      </c>
    </row>
    <row r="722" spans="1:42" x14ac:dyDescent="0.2">
      <c r="A722" s="4">
        <f t="shared" si="428"/>
        <v>8</v>
      </c>
      <c r="B722" s="183">
        <f t="shared" si="425"/>
        <v>0</v>
      </c>
      <c r="C722" s="163">
        <f t="shared" ref="C722:AP722" si="434">IF(AND(C$2&gt;equip3_reserve_freq*$A709,C$2&lt;=equip3_reserve_freq*$A710),$B710/(equip3_reserve_freq),0)</f>
        <v>0</v>
      </c>
      <c r="D722" s="163">
        <f t="shared" si="434"/>
        <v>0</v>
      </c>
      <c r="E722" s="163">
        <f t="shared" si="434"/>
        <v>0</v>
      </c>
      <c r="F722" s="163">
        <f t="shared" si="434"/>
        <v>0</v>
      </c>
      <c r="G722" s="163">
        <f t="shared" si="434"/>
        <v>0</v>
      </c>
      <c r="H722" s="163">
        <f t="shared" si="434"/>
        <v>0</v>
      </c>
      <c r="I722" s="163">
        <f t="shared" si="434"/>
        <v>0</v>
      </c>
      <c r="J722" s="163">
        <f t="shared" si="434"/>
        <v>0</v>
      </c>
      <c r="K722" s="163">
        <f t="shared" si="434"/>
        <v>0</v>
      </c>
      <c r="L722" s="163">
        <f t="shared" si="434"/>
        <v>0</v>
      </c>
      <c r="M722" s="163">
        <f t="shared" si="434"/>
        <v>0</v>
      </c>
      <c r="N722" s="163">
        <f t="shared" si="434"/>
        <v>0</v>
      </c>
      <c r="O722" s="163">
        <f t="shared" si="434"/>
        <v>0</v>
      </c>
      <c r="P722" s="163">
        <f t="shared" si="434"/>
        <v>0</v>
      </c>
      <c r="Q722" s="163">
        <f t="shared" si="434"/>
        <v>0</v>
      </c>
      <c r="R722" s="163">
        <f t="shared" si="434"/>
        <v>0</v>
      </c>
      <c r="S722" s="163">
        <f t="shared" si="434"/>
        <v>0</v>
      </c>
      <c r="T722" s="163">
        <f t="shared" si="434"/>
        <v>0</v>
      </c>
      <c r="U722" s="163">
        <f t="shared" si="434"/>
        <v>0</v>
      </c>
      <c r="V722" s="163">
        <f t="shared" si="434"/>
        <v>0</v>
      </c>
      <c r="W722" s="163">
        <f t="shared" si="434"/>
        <v>0</v>
      </c>
      <c r="X722" s="163">
        <f t="shared" si="434"/>
        <v>0</v>
      </c>
      <c r="Y722" s="163">
        <f t="shared" si="434"/>
        <v>0</v>
      </c>
      <c r="Z722" s="163">
        <f t="shared" si="434"/>
        <v>0</v>
      </c>
      <c r="AA722" s="163">
        <f t="shared" si="434"/>
        <v>0</v>
      </c>
      <c r="AB722" s="163">
        <f t="shared" si="434"/>
        <v>0</v>
      </c>
      <c r="AC722" s="163">
        <f t="shared" si="434"/>
        <v>0</v>
      </c>
      <c r="AD722" s="163">
        <f t="shared" si="434"/>
        <v>0</v>
      </c>
      <c r="AE722" s="163">
        <f t="shared" si="434"/>
        <v>0</v>
      </c>
      <c r="AF722" s="163">
        <f t="shared" si="434"/>
        <v>0</v>
      </c>
      <c r="AG722" s="163">
        <f t="shared" si="434"/>
        <v>0</v>
      </c>
      <c r="AH722" s="163">
        <f t="shared" si="434"/>
        <v>0</v>
      </c>
      <c r="AI722" s="163">
        <f t="shared" si="434"/>
        <v>0</v>
      </c>
      <c r="AJ722" s="163">
        <f t="shared" si="434"/>
        <v>0</v>
      </c>
      <c r="AK722" s="163">
        <f t="shared" si="434"/>
        <v>0</v>
      </c>
      <c r="AL722" s="163">
        <f t="shared" si="434"/>
        <v>0</v>
      </c>
      <c r="AM722" s="163">
        <f t="shared" si="434"/>
        <v>0</v>
      </c>
      <c r="AN722" s="163">
        <f t="shared" si="434"/>
        <v>0</v>
      </c>
      <c r="AO722" s="163">
        <f t="shared" si="434"/>
        <v>0</v>
      </c>
      <c r="AP722" s="163">
        <f t="shared" si="434"/>
        <v>0</v>
      </c>
    </row>
    <row r="723" spans="1:42" x14ac:dyDescent="0.2">
      <c r="A723" s="4">
        <f>A722+1</f>
        <v>9</v>
      </c>
      <c r="B723" s="183">
        <f t="shared" si="425"/>
        <v>0</v>
      </c>
      <c r="C723" s="163">
        <f t="shared" ref="C723:AP723" si="435">IF(AND(C$2&gt;equip3_reserve_freq*$A710,C$2&lt;=equip3_reserve_freq*$A711),$B711/(equip3_reserve_freq),0)</f>
        <v>0</v>
      </c>
      <c r="D723" s="163">
        <f t="shared" si="435"/>
        <v>0</v>
      </c>
      <c r="E723" s="163">
        <f t="shared" si="435"/>
        <v>0</v>
      </c>
      <c r="F723" s="163">
        <f t="shared" si="435"/>
        <v>0</v>
      </c>
      <c r="G723" s="163">
        <f t="shared" si="435"/>
        <v>0</v>
      </c>
      <c r="H723" s="163">
        <f t="shared" si="435"/>
        <v>0</v>
      </c>
      <c r="I723" s="163">
        <f t="shared" si="435"/>
        <v>0</v>
      </c>
      <c r="J723" s="163">
        <f t="shared" si="435"/>
        <v>0</v>
      </c>
      <c r="K723" s="163">
        <f t="shared" si="435"/>
        <v>0</v>
      </c>
      <c r="L723" s="163">
        <f t="shared" si="435"/>
        <v>0</v>
      </c>
      <c r="M723" s="163">
        <f t="shared" si="435"/>
        <v>0</v>
      </c>
      <c r="N723" s="163">
        <f t="shared" si="435"/>
        <v>0</v>
      </c>
      <c r="O723" s="163">
        <f t="shared" si="435"/>
        <v>0</v>
      </c>
      <c r="P723" s="163">
        <f t="shared" si="435"/>
        <v>0</v>
      </c>
      <c r="Q723" s="163">
        <f t="shared" si="435"/>
        <v>0</v>
      </c>
      <c r="R723" s="163">
        <f t="shared" si="435"/>
        <v>0</v>
      </c>
      <c r="S723" s="163">
        <f t="shared" si="435"/>
        <v>0</v>
      </c>
      <c r="T723" s="163">
        <f t="shared" si="435"/>
        <v>0</v>
      </c>
      <c r="U723" s="163">
        <f t="shared" si="435"/>
        <v>0</v>
      </c>
      <c r="V723" s="163">
        <f t="shared" si="435"/>
        <v>0</v>
      </c>
      <c r="W723" s="163">
        <f t="shared" si="435"/>
        <v>0</v>
      </c>
      <c r="X723" s="163">
        <f t="shared" si="435"/>
        <v>0</v>
      </c>
      <c r="Y723" s="163">
        <f t="shared" si="435"/>
        <v>0</v>
      </c>
      <c r="Z723" s="163">
        <f t="shared" si="435"/>
        <v>0</v>
      </c>
      <c r="AA723" s="163">
        <f t="shared" si="435"/>
        <v>0</v>
      </c>
      <c r="AB723" s="163">
        <f t="shared" si="435"/>
        <v>0</v>
      </c>
      <c r="AC723" s="163">
        <f t="shared" si="435"/>
        <v>0</v>
      </c>
      <c r="AD723" s="163">
        <f t="shared" si="435"/>
        <v>0</v>
      </c>
      <c r="AE723" s="163">
        <f t="shared" si="435"/>
        <v>0</v>
      </c>
      <c r="AF723" s="163">
        <f t="shared" si="435"/>
        <v>0</v>
      </c>
      <c r="AG723" s="163">
        <f t="shared" si="435"/>
        <v>0</v>
      </c>
      <c r="AH723" s="163">
        <f t="shared" si="435"/>
        <v>0</v>
      </c>
      <c r="AI723" s="163">
        <f t="shared" si="435"/>
        <v>0</v>
      </c>
      <c r="AJ723" s="163">
        <f t="shared" si="435"/>
        <v>0</v>
      </c>
      <c r="AK723" s="163">
        <f t="shared" si="435"/>
        <v>0</v>
      </c>
      <c r="AL723" s="163">
        <f t="shared" si="435"/>
        <v>0</v>
      </c>
      <c r="AM723" s="163">
        <f t="shared" si="435"/>
        <v>0</v>
      </c>
      <c r="AN723" s="163">
        <f t="shared" si="435"/>
        <v>0</v>
      </c>
      <c r="AO723" s="163">
        <f t="shared" si="435"/>
        <v>0</v>
      </c>
      <c r="AP723" s="163">
        <f t="shared" si="435"/>
        <v>0</v>
      </c>
    </row>
    <row r="724" spans="1:42" x14ac:dyDescent="0.2">
      <c r="A724" s="4">
        <f t="shared" ref="A724" si="436">A723+1</f>
        <v>10</v>
      </c>
      <c r="B724" s="183">
        <f t="shared" si="425"/>
        <v>0</v>
      </c>
      <c r="C724" s="164">
        <f t="shared" ref="C724:AP724" si="437">IF(AND(C$2&gt;equip3_reserve_freq*$A711,C$2&lt;=equip3_reserve_freq*$A712),$B712/(equip3_reserve_freq),0)</f>
        <v>0</v>
      </c>
      <c r="D724" s="164">
        <f t="shared" si="437"/>
        <v>0</v>
      </c>
      <c r="E724" s="164">
        <f t="shared" si="437"/>
        <v>0</v>
      </c>
      <c r="F724" s="164">
        <f t="shared" si="437"/>
        <v>0</v>
      </c>
      <c r="G724" s="164">
        <f t="shared" si="437"/>
        <v>0</v>
      </c>
      <c r="H724" s="164">
        <f t="shared" si="437"/>
        <v>0</v>
      </c>
      <c r="I724" s="164">
        <f t="shared" si="437"/>
        <v>0</v>
      </c>
      <c r="J724" s="164">
        <f t="shared" si="437"/>
        <v>0</v>
      </c>
      <c r="K724" s="164">
        <f t="shared" si="437"/>
        <v>0</v>
      </c>
      <c r="L724" s="164">
        <f t="shared" si="437"/>
        <v>0</v>
      </c>
      <c r="M724" s="164">
        <f t="shared" si="437"/>
        <v>0</v>
      </c>
      <c r="N724" s="164">
        <f t="shared" si="437"/>
        <v>0</v>
      </c>
      <c r="O724" s="164">
        <f t="shared" si="437"/>
        <v>0</v>
      </c>
      <c r="P724" s="164">
        <f t="shared" si="437"/>
        <v>0</v>
      </c>
      <c r="Q724" s="164">
        <f t="shared" si="437"/>
        <v>0</v>
      </c>
      <c r="R724" s="164">
        <f t="shared" si="437"/>
        <v>0</v>
      </c>
      <c r="S724" s="164">
        <f t="shared" si="437"/>
        <v>0</v>
      </c>
      <c r="T724" s="164">
        <f t="shared" si="437"/>
        <v>0</v>
      </c>
      <c r="U724" s="164">
        <f t="shared" si="437"/>
        <v>0</v>
      </c>
      <c r="V724" s="164">
        <f t="shared" si="437"/>
        <v>0</v>
      </c>
      <c r="W724" s="164">
        <f t="shared" si="437"/>
        <v>0</v>
      </c>
      <c r="X724" s="164">
        <f t="shared" si="437"/>
        <v>0</v>
      </c>
      <c r="Y724" s="164">
        <f t="shared" si="437"/>
        <v>0</v>
      </c>
      <c r="Z724" s="164">
        <f t="shared" si="437"/>
        <v>0</v>
      </c>
      <c r="AA724" s="164">
        <f t="shared" si="437"/>
        <v>0</v>
      </c>
      <c r="AB724" s="164">
        <f t="shared" si="437"/>
        <v>0</v>
      </c>
      <c r="AC724" s="164">
        <f t="shared" si="437"/>
        <v>0</v>
      </c>
      <c r="AD724" s="164">
        <f t="shared" si="437"/>
        <v>0</v>
      </c>
      <c r="AE724" s="164">
        <f t="shared" si="437"/>
        <v>0</v>
      </c>
      <c r="AF724" s="164">
        <f t="shared" si="437"/>
        <v>0</v>
      </c>
      <c r="AG724" s="164">
        <f t="shared" si="437"/>
        <v>0</v>
      </c>
      <c r="AH724" s="164">
        <f t="shared" si="437"/>
        <v>0</v>
      </c>
      <c r="AI724" s="164">
        <f t="shared" si="437"/>
        <v>0</v>
      </c>
      <c r="AJ724" s="164">
        <f t="shared" si="437"/>
        <v>0</v>
      </c>
      <c r="AK724" s="164">
        <f t="shared" si="437"/>
        <v>0</v>
      </c>
      <c r="AL724" s="164">
        <f t="shared" si="437"/>
        <v>0</v>
      </c>
      <c r="AM724" s="164">
        <f t="shared" si="437"/>
        <v>0</v>
      </c>
      <c r="AN724" s="164">
        <f t="shared" si="437"/>
        <v>0</v>
      </c>
      <c r="AO724" s="164">
        <f t="shared" si="437"/>
        <v>0</v>
      </c>
      <c r="AP724" s="164">
        <f t="shared" si="437"/>
        <v>0</v>
      </c>
    </row>
    <row r="725" spans="1:42" x14ac:dyDescent="0.2">
      <c r="A725" s="27" t="s">
        <v>13</v>
      </c>
      <c r="B725" s="15"/>
      <c r="C725" s="163">
        <f>SUM(C715:C724)</f>
        <v>0</v>
      </c>
      <c r="D725" s="163">
        <f t="shared" ref="D725:AP725" si="438">SUM(D715:D724)</f>
        <v>0</v>
      </c>
      <c r="E725" s="163">
        <f t="shared" si="438"/>
        <v>0</v>
      </c>
      <c r="F725" s="163">
        <f t="shared" si="438"/>
        <v>0</v>
      </c>
      <c r="G725" s="163">
        <f t="shared" si="438"/>
        <v>0</v>
      </c>
      <c r="H725" s="163">
        <f t="shared" si="438"/>
        <v>0</v>
      </c>
      <c r="I725" s="163">
        <f t="shared" si="438"/>
        <v>0</v>
      </c>
      <c r="J725" s="163">
        <f t="shared" si="438"/>
        <v>0</v>
      </c>
      <c r="K725" s="163">
        <f t="shared" si="438"/>
        <v>0</v>
      </c>
      <c r="L725" s="163">
        <f t="shared" si="438"/>
        <v>0</v>
      </c>
      <c r="M725" s="163">
        <f t="shared" si="438"/>
        <v>0</v>
      </c>
      <c r="N725" s="163">
        <f t="shared" si="438"/>
        <v>0</v>
      </c>
      <c r="O725" s="163">
        <f t="shared" si="438"/>
        <v>0</v>
      </c>
      <c r="P725" s="163">
        <f t="shared" si="438"/>
        <v>0</v>
      </c>
      <c r="Q725" s="163">
        <f t="shared" si="438"/>
        <v>0</v>
      </c>
      <c r="R725" s="163">
        <f t="shared" si="438"/>
        <v>0</v>
      </c>
      <c r="S725" s="163">
        <f t="shared" si="438"/>
        <v>0</v>
      </c>
      <c r="T725" s="163">
        <f t="shared" si="438"/>
        <v>0</v>
      </c>
      <c r="U725" s="163">
        <f t="shared" si="438"/>
        <v>0</v>
      </c>
      <c r="V725" s="163">
        <f t="shared" si="438"/>
        <v>0</v>
      </c>
      <c r="W725" s="163">
        <f t="shared" si="438"/>
        <v>0</v>
      </c>
      <c r="X725" s="163">
        <f t="shared" si="438"/>
        <v>0</v>
      </c>
      <c r="Y725" s="163">
        <f t="shared" si="438"/>
        <v>0</v>
      </c>
      <c r="Z725" s="163">
        <f t="shared" si="438"/>
        <v>0</v>
      </c>
      <c r="AA725" s="163">
        <f t="shared" si="438"/>
        <v>0</v>
      </c>
      <c r="AB725" s="163">
        <f t="shared" si="438"/>
        <v>0</v>
      </c>
      <c r="AC725" s="163">
        <f t="shared" si="438"/>
        <v>0</v>
      </c>
      <c r="AD725" s="163">
        <f t="shared" si="438"/>
        <v>0</v>
      </c>
      <c r="AE725" s="163">
        <f t="shared" si="438"/>
        <v>0</v>
      </c>
      <c r="AF725" s="163">
        <f t="shared" si="438"/>
        <v>0</v>
      </c>
      <c r="AG725" s="163">
        <f t="shared" si="438"/>
        <v>0</v>
      </c>
      <c r="AH725" s="163">
        <f t="shared" si="438"/>
        <v>0</v>
      </c>
      <c r="AI725" s="163">
        <f t="shared" si="438"/>
        <v>0</v>
      </c>
      <c r="AJ725" s="163">
        <f t="shared" si="438"/>
        <v>0</v>
      </c>
      <c r="AK725" s="163">
        <f t="shared" si="438"/>
        <v>0</v>
      </c>
      <c r="AL725" s="163">
        <f t="shared" si="438"/>
        <v>0</v>
      </c>
      <c r="AM725" s="163">
        <f t="shared" si="438"/>
        <v>0</v>
      </c>
      <c r="AN725" s="163">
        <f t="shared" si="438"/>
        <v>0</v>
      </c>
      <c r="AO725" s="163">
        <f t="shared" si="438"/>
        <v>0</v>
      </c>
      <c r="AP725" s="163">
        <f t="shared" si="438"/>
        <v>0</v>
      </c>
    </row>
    <row r="727" spans="1:42" x14ac:dyDescent="0.2">
      <c r="A727" s="4" t="s">
        <v>305</v>
      </c>
    </row>
    <row r="728" spans="1:42" x14ac:dyDescent="0.2">
      <c r="A728" s="22" t="s">
        <v>306</v>
      </c>
      <c r="B728" s="163">
        <f>B617+B623+B629+B635+B667+B699</f>
        <v>3070890</v>
      </c>
      <c r="C728" s="163">
        <f t="shared" ref="C728:AP728" si="439">C617+C623+C629+C635+C667+C699</f>
        <v>4033342.5473158439</v>
      </c>
      <c r="D728" s="163">
        <f t="shared" si="439"/>
        <v>4995973.8446316877</v>
      </c>
      <c r="E728" s="163">
        <f t="shared" si="439"/>
        <v>5958795.6106975321</v>
      </c>
      <c r="F728" s="163">
        <f t="shared" si="439"/>
        <v>6921819.8572321255</v>
      </c>
      <c r="G728" s="163">
        <f t="shared" si="439"/>
        <v>7885038.8962471876</v>
      </c>
      <c r="H728" s="163">
        <f t="shared" si="439"/>
        <v>8848455.3475547321</v>
      </c>
      <c r="I728" s="163">
        <f t="shared" si="439"/>
        <v>9812082.146462068</v>
      </c>
      <c r="J728" s="163">
        <f t="shared" si="439"/>
        <v>10775912.551659191</v>
      </c>
      <c r="K728" s="163">
        <f t="shared" si="439"/>
        <v>11739950.153303346</v>
      </c>
      <c r="L728" s="163">
        <f t="shared" si="439"/>
        <v>12704208.881305708</v>
      </c>
      <c r="M728" s="163">
        <f t="shared" si="439"/>
        <v>13668683.013825232</v>
      </c>
      <c r="N728" s="163">
        <f t="shared" si="439"/>
        <v>14633387.185974849</v>
      </c>
      <c r="O728" s="163">
        <f t="shared" si="439"/>
        <v>15598306.398745311</v>
      </c>
      <c r="P728" s="163">
        <f t="shared" si="439"/>
        <v>16563466.028152138</v>
      </c>
      <c r="Q728" s="163">
        <f t="shared" si="439"/>
        <v>3761413.6248735832</v>
      </c>
      <c r="R728" s="163">
        <f t="shared" si="439"/>
        <v>3785059.2154954225</v>
      </c>
      <c r="S728" s="163">
        <f t="shared" si="439"/>
        <v>3808943.6958828075</v>
      </c>
      <c r="T728" s="163">
        <f t="shared" si="439"/>
        <v>1169744.038279878</v>
      </c>
      <c r="U728" s="163">
        <f t="shared" si="439"/>
        <v>1198987.6392368749</v>
      </c>
      <c r="V728" s="163">
        <f t="shared" si="439"/>
        <v>1228962.3302177966</v>
      </c>
      <c r="W728" s="163">
        <f t="shared" si="439"/>
        <v>1259686.3884732414</v>
      </c>
      <c r="X728" s="163">
        <f t="shared" si="439"/>
        <v>1291178.5481850724</v>
      </c>
      <c r="Y728" s="163">
        <f t="shared" si="439"/>
        <v>1323458.0118896994</v>
      </c>
      <c r="Z728" s="163">
        <f t="shared" si="439"/>
        <v>1356544.4621869416</v>
      </c>
      <c r="AA728" s="163">
        <f t="shared" si="439"/>
        <v>0</v>
      </c>
      <c r="AB728" s="163">
        <f t="shared" si="439"/>
        <v>0</v>
      </c>
      <c r="AC728" s="163">
        <f t="shared" si="439"/>
        <v>0</v>
      </c>
      <c r="AD728" s="163">
        <f t="shared" si="439"/>
        <v>0</v>
      </c>
      <c r="AE728" s="163">
        <f t="shared" si="439"/>
        <v>0</v>
      </c>
      <c r="AF728" s="163">
        <f t="shared" si="439"/>
        <v>0</v>
      </c>
      <c r="AG728" s="163">
        <f t="shared" si="439"/>
        <v>0</v>
      </c>
      <c r="AH728" s="163">
        <f t="shared" si="439"/>
        <v>0</v>
      </c>
      <c r="AI728" s="163">
        <f t="shared" si="439"/>
        <v>0</v>
      </c>
      <c r="AJ728" s="163">
        <f t="shared" si="439"/>
        <v>0</v>
      </c>
      <c r="AK728" s="163">
        <f t="shared" si="439"/>
        <v>0</v>
      </c>
      <c r="AL728" s="163">
        <f t="shared" si="439"/>
        <v>0</v>
      </c>
      <c r="AM728" s="163">
        <f t="shared" si="439"/>
        <v>0</v>
      </c>
      <c r="AN728" s="163">
        <f t="shared" si="439"/>
        <v>0</v>
      </c>
      <c r="AO728" s="163">
        <f t="shared" si="439"/>
        <v>0</v>
      </c>
      <c r="AP728" s="163">
        <f t="shared" si="439"/>
        <v>0</v>
      </c>
    </row>
    <row r="729" spans="1:42" x14ac:dyDescent="0.2">
      <c r="A729" s="22" t="s">
        <v>305</v>
      </c>
      <c r="B729" s="163"/>
      <c r="C729" s="163">
        <f t="shared" ref="C729:AP729" si="440">IF(C$2&lt;=analysis_period,B728*reserves_interest/100,0)</f>
        <v>38386.125</v>
      </c>
      <c r="D729" s="163">
        <f t="shared" si="440"/>
        <v>50416.78184144805</v>
      </c>
      <c r="E729" s="163">
        <f t="shared" si="440"/>
        <v>62449.673057896092</v>
      </c>
      <c r="F729" s="163">
        <f t="shared" si="440"/>
        <v>74484.945133719142</v>
      </c>
      <c r="G729" s="163">
        <f t="shared" si="440"/>
        <v>86522.74821540156</v>
      </c>
      <c r="H729" s="163">
        <f t="shared" si="440"/>
        <v>98562.986203089837</v>
      </c>
      <c r="I729" s="163">
        <f t="shared" si="440"/>
        <v>110605.69184443414</v>
      </c>
      <c r="J729" s="163">
        <f t="shared" si="440"/>
        <v>122651.02683077585</v>
      </c>
      <c r="K729" s="163">
        <f t="shared" si="440"/>
        <v>134698.90689573987</v>
      </c>
      <c r="L729" s="163">
        <f t="shared" si="440"/>
        <v>146749.37691629183</v>
      </c>
      <c r="M729" s="163">
        <f t="shared" si="440"/>
        <v>158802.61101632135</v>
      </c>
      <c r="N729" s="163">
        <f t="shared" si="440"/>
        <v>170858.53767281541</v>
      </c>
      <c r="O729" s="163">
        <f t="shared" si="440"/>
        <v>182917.33982468559</v>
      </c>
      <c r="P729" s="163">
        <f t="shared" si="440"/>
        <v>194978.82998431637</v>
      </c>
      <c r="Q729" s="163">
        <f t="shared" si="440"/>
        <v>207043.32535190173</v>
      </c>
      <c r="R729" s="163">
        <f t="shared" si="440"/>
        <v>47017.670310919784</v>
      </c>
      <c r="S729" s="163">
        <f t="shared" si="440"/>
        <v>47313.240193692778</v>
      </c>
      <c r="T729" s="163">
        <f t="shared" si="440"/>
        <v>47611.796198535099</v>
      </c>
      <c r="U729" s="163">
        <f t="shared" si="440"/>
        <v>14621.800478498475</v>
      </c>
      <c r="V729" s="163">
        <f t="shared" si="440"/>
        <v>14987.345490460935</v>
      </c>
      <c r="W729" s="163">
        <f t="shared" si="440"/>
        <v>15362.029127722457</v>
      </c>
      <c r="X729" s="163">
        <f t="shared" si="440"/>
        <v>15746.079855915517</v>
      </c>
      <c r="Y729" s="163">
        <f t="shared" si="440"/>
        <v>16139.731852313405</v>
      </c>
      <c r="Z729" s="163">
        <f t="shared" si="440"/>
        <v>16543.225148621244</v>
      </c>
      <c r="AA729" s="163">
        <f t="shared" si="440"/>
        <v>16956.805777336773</v>
      </c>
      <c r="AB729" s="163">
        <f t="shared" si="440"/>
        <v>0</v>
      </c>
      <c r="AC729" s="163">
        <f t="shared" si="440"/>
        <v>0</v>
      </c>
      <c r="AD729" s="163">
        <f t="shared" si="440"/>
        <v>0</v>
      </c>
      <c r="AE729" s="163">
        <f t="shared" si="440"/>
        <v>0</v>
      </c>
      <c r="AF729" s="163">
        <f t="shared" si="440"/>
        <v>0</v>
      </c>
      <c r="AG729" s="163">
        <f t="shared" si="440"/>
        <v>0</v>
      </c>
      <c r="AH729" s="163">
        <f t="shared" si="440"/>
        <v>0</v>
      </c>
      <c r="AI729" s="163">
        <f t="shared" si="440"/>
        <v>0</v>
      </c>
      <c r="AJ729" s="163">
        <f t="shared" si="440"/>
        <v>0</v>
      </c>
      <c r="AK729" s="163">
        <f t="shared" si="440"/>
        <v>0</v>
      </c>
      <c r="AL729" s="163">
        <f t="shared" si="440"/>
        <v>0</v>
      </c>
      <c r="AM729" s="163">
        <f t="shared" si="440"/>
        <v>0</v>
      </c>
      <c r="AN729" s="163">
        <f t="shared" si="440"/>
        <v>0</v>
      </c>
      <c r="AO729" s="163">
        <f t="shared" si="440"/>
        <v>0</v>
      </c>
      <c r="AP729" s="163">
        <f t="shared" si="440"/>
        <v>0</v>
      </c>
    </row>
  </sheetData>
  <mergeCells count="4">
    <mergeCell ref="G244:J244"/>
    <mergeCell ref="K244:L244"/>
    <mergeCell ref="G380:J380"/>
    <mergeCell ref="K380:L380"/>
  </mergeCells>
  <pageMargins left="0.5" right="0.5" top="0.5" bottom="0.75" header="0.3" footer="0.3"/>
  <pageSetup scale="75" pageOrder="overThenDown" orientation="landscape"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28" t="s">
        <v>232</v>
      </c>
      <c r="B1" s="229"/>
      <c r="C1" s="230"/>
      <c r="D1" s="229"/>
      <c r="E1" s="253"/>
      <c r="F1" s="253"/>
      <c r="G1" s="254"/>
    </row>
    <row r="2" spans="1:7" s="1" customFormat="1" ht="12.75" x14ac:dyDescent="0.2">
      <c r="A2" s="2" t="s">
        <v>77</v>
      </c>
      <c r="B2" s="3" t="s">
        <v>44</v>
      </c>
      <c r="C2" s="3" t="s">
        <v>45</v>
      </c>
      <c r="D2" s="3" t="s">
        <v>46</v>
      </c>
      <c r="E2" s="3" t="s">
        <v>47</v>
      </c>
      <c r="F2" s="3" t="s">
        <v>48</v>
      </c>
      <c r="G2" s="255" t="s">
        <v>49</v>
      </c>
    </row>
    <row r="3" spans="1:7" s="1" customFormat="1" ht="12.75" x14ac:dyDescent="0.2">
      <c r="A3" s="96">
        <v>1</v>
      </c>
      <c r="B3" s="167">
        <v>20</v>
      </c>
      <c r="C3" s="173">
        <v>5</v>
      </c>
      <c r="D3" s="167">
        <v>10</v>
      </c>
      <c r="E3" s="167">
        <v>3.33</v>
      </c>
      <c r="F3" s="167">
        <v>2.5</v>
      </c>
      <c r="G3" s="167">
        <f>2.56410256410256*0.5</f>
        <v>1.2820512820512799</v>
      </c>
    </row>
    <row r="4" spans="1:7" s="1" customFormat="1" ht="12.75" x14ac:dyDescent="0.2">
      <c r="A4" s="97">
        <v>2</v>
      </c>
      <c r="B4" s="167">
        <v>32</v>
      </c>
      <c r="C4" s="174">
        <v>9.5</v>
      </c>
      <c r="D4" s="169">
        <v>20</v>
      </c>
      <c r="E4" s="169">
        <v>6.67</v>
      </c>
      <c r="F4" s="169">
        <v>5</v>
      </c>
      <c r="G4" s="169">
        <v>2.5641025641025599</v>
      </c>
    </row>
    <row r="5" spans="1:7" s="1" customFormat="1" ht="12.75" x14ac:dyDescent="0.2">
      <c r="A5" s="97">
        <v>3</v>
      </c>
      <c r="B5" s="167">
        <v>19.2</v>
      </c>
      <c r="C5" s="169">
        <v>8.5500000000000007</v>
      </c>
      <c r="D5" s="169">
        <v>20</v>
      </c>
      <c r="E5" s="169">
        <v>6.67</v>
      </c>
      <c r="F5" s="169">
        <v>5</v>
      </c>
      <c r="G5" s="169">
        <v>2.5641025641025599</v>
      </c>
    </row>
    <row r="6" spans="1:7" s="1" customFormat="1" ht="12.75" x14ac:dyDescent="0.2">
      <c r="A6" s="97">
        <v>4</v>
      </c>
      <c r="B6" s="167">
        <v>11.52</v>
      </c>
      <c r="C6" s="169">
        <v>7.7</v>
      </c>
      <c r="D6" s="169">
        <v>20</v>
      </c>
      <c r="E6" s="169">
        <v>6.67</v>
      </c>
      <c r="F6" s="169">
        <v>5</v>
      </c>
      <c r="G6" s="169">
        <v>2.5641025641025599</v>
      </c>
    </row>
    <row r="7" spans="1:7" s="1" customFormat="1" ht="12.75" x14ac:dyDescent="0.2">
      <c r="A7" s="97">
        <v>5</v>
      </c>
      <c r="B7" s="167">
        <v>11.52</v>
      </c>
      <c r="C7" s="169">
        <v>6.93</v>
      </c>
      <c r="D7" s="169">
        <v>20</v>
      </c>
      <c r="E7" s="169">
        <v>6.67</v>
      </c>
      <c r="F7" s="169">
        <v>5</v>
      </c>
      <c r="G7" s="169">
        <v>2.5641025641025599</v>
      </c>
    </row>
    <row r="8" spans="1:7" s="1" customFormat="1" ht="12.75" x14ac:dyDescent="0.2">
      <c r="A8" s="97">
        <v>6</v>
      </c>
      <c r="B8" s="167">
        <v>5.76</v>
      </c>
      <c r="C8" s="169">
        <v>6.23</v>
      </c>
      <c r="D8" s="169">
        <v>10</v>
      </c>
      <c r="E8" s="169">
        <v>6.67</v>
      </c>
      <c r="F8" s="169">
        <v>5</v>
      </c>
      <c r="G8" s="169">
        <v>2.5641025641025599</v>
      </c>
    </row>
    <row r="9" spans="1:7" s="1" customFormat="1" ht="12.75" x14ac:dyDescent="0.2">
      <c r="A9" s="97">
        <v>7</v>
      </c>
      <c r="B9" s="168">
        <v>0</v>
      </c>
      <c r="C9" s="169">
        <v>5.9</v>
      </c>
      <c r="D9" s="169">
        <v>0</v>
      </c>
      <c r="E9" s="169">
        <v>6.67</v>
      </c>
      <c r="F9" s="169">
        <v>5</v>
      </c>
      <c r="G9" s="169">
        <v>2.5641025641025599</v>
      </c>
    </row>
    <row r="10" spans="1:7" s="1" customFormat="1" ht="12.75" x14ac:dyDescent="0.2">
      <c r="A10" s="97">
        <v>8</v>
      </c>
      <c r="B10" s="169">
        <v>0</v>
      </c>
      <c r="C10" s="169">
        <v>5.9</v>
      </c>
      <c r="D10" s="169">
        <v>0</v>
      </c>
      <c r="E10" s="169">
        <v>6.67</v>
      </c>
      <c r="F10" s="169">
        <v>5</v>
      </c>
      <c r="G10" s="169">
        <v>2.5641025641025599</v>
      </c>
    </row>
    <row r="11" spans="1:7" s="1" customFormat="1" ht="12.75" x14ac:dyDescent="0.2">
      <c r="A11" s="97">
        <v>9</v>
      </c>
      <c r="B11" s="169">
        <v>0</v>
      </c>
      <c r="C11" s="169">
        <v>5.91</v>
      </c>
      <c r="D11" s="169">
        <v>0</v>
      </c>
      <c r="E11" s="169">
        <v>6.67</v>
      </c>
      <c r="F11" s="169">
        <v>5</v>
      </c>
      <c r="G11" s="169">
        <v>2.5641025641025599</v>
      </c>
    </row>
    <row r="12" spans="1:7" s="1" customFormat="1" ht="12.75" x14ac:dyDescent="0.2">
      <c r="A12" s="97">
        <v>10</v>
      </c>
      <c r="B12" s="169">
        <v>0</v>
      </c>
      <c r="C12" s="169">
        <v>5.9</v>
      </c>
      <c r="D12" s="169">
        <v>0</v>
      </c>
      <c r="E12" s="169">
        <v>6.67</v>
      </c>
      <c r="F12" s="169">
        <v>5</v>
      </c>
      <c r="G12" s="169">
        <v>2.5641025641025599</v>
      </c>
    </row>
    <row r="13" spans="1:7" s="1" customFormat="1" ht="12.75" x14ac:dyDescent="0.2">
      <c r="A13" s="97">
        <v>11</v>
      </c>
      <c r="B13" s="169">
        <v>0</v>
      </c>
      <c r="C13" s="169">
        <v>5.91</v>
      </c>
      <c r="D13" s="169">
        <v>0</v>
      </c>
      <c r="E13" s="169">
        <v>6.67</v>
      </c>
      <c r="F13" s="169">
        <v>5</v>
      </c>
      <c r="G13" s="169">
        <v>2.5641025641025599</v>
      </c>
    </row>
    <row r="14" spans="1:7" s="1" customFormat="1" ht="12.75" x14ac:dyDescent="0.2">
      <c r="A14" s="97">
        <v>12</v>
      </c>
      <c r="B14" s="169">
        <v>0</v>
      </c>
      <c r="C14" s="169">
        <v>5.9</v>
      </c>
      <c r="D14" s="169">
        <v>0</v>
      </c>
      <c r="E14" s="169">
        <v>6.66</v>
      </c>
      <c r="F14" s="169">
        <v>5</v>
      </c>
      <c r="G14" s="169">
        <v>2.5641025641025599</v>
      </c>
    </row>
    <row r="15" spans="1:7" s="1" customFormat="1" ht="12.75" x14ac:dyDescent="0.2">
      <c r="A15" s="97">
        <v>13</v>
      </c>
      <c r="B15" s="169">
        <v>0</v>
      </c>
      <c r="C15" s="169">
        <v>5.91</v>
      </c>
      <c r="D15" s="169">
        <v>0</v>
      </c>
      <c r="E15" s="169">
        <v>6.67</v>
      </c>
      <c r="F15" s="169">
        <v>5</v>
      </c>
      <c r="G15" s="169">
        <v>2.5641025641025599</v>
      </c>
    </row>
    <row r="16" spans="1:7" s="1" customFormat="1" ht="12.75" x14ac:dyDescent="0.2">
      <c r="A16" s="97">
        <v>14</v>
      </c>
      <c r="B16" s="169">
        <v>0</v>
      </c>
      <c r="C16" s="169">
        <v>5.9</v>
      </c>
      <c r="D16" s="169">
        <v>0</v>
      </c>
      <c r="E16" s="169">
        <v>6.66</v>
      </c>
      <c r="F16" s="169">
        <v>5</v>
      </c>
      <c r="G16" s="169">
        <v>2.5641025641025599</v>
      </c>
    </row>
    <row r="17" spans="1:7" s="1" customFormat="1" ht="12.75" x14ac:dyDescent="0.2">
      <c r="A17" s="97">
        <v>15</v>
      </c>
      <c r="B17" s="169">
        <v>0</v>
      </c>
      <c r="C17" s="169">
        <v>5.9</v>
      </c>
      <c r="D17" s="169">
        <v>0</v>
      </c>
      <c r="E17" s="169">
        <v>6.67</v>
      </c>
      <c r="F17" s="169">
        <v>5</v>
      </c>
      <c r="G17" s="169">
        <v>2.5641025641025599</v>
      </c>
    </row>
    <row r="18" spans="1:7" s="1" customFormat="1" ht="12.75" x14ac:dyDescent="0.2">
      <c r="A18" s="97">
        <v>16</v>
      </c>
      <c r="B18" s="169">
        <v>0</v>
      </c>
      <c r="C18" s="169">
        <v>2.95</v>
      </c>
      <c r="D18" s="169">
        <v>0</v>
      </c>
      <c r="E18" s="169">
        <v>3.33</v>
      </c>
      <c r="F18" s="169">
        <v>5</v>
      </c>
      <c r="G18" s="169">
        <v>2.5641025641025599</v>
      </c>
    </row>
    <row r="19" spans="1:7" s="1" customFormat="1" ht="12.75" x14ac:dyDescent="0.2">
      <c r="A19" s="97">
        <v>17</v>
      </c>
      <c r="B19" s="169">
        <v>0</v>
      </c>
      <c r="C19" s="169">
        <v>0</v>
      </c>
      <c r="D19" s="169">
        <v>0</v>
      </c>
      <c r="E19" s="169">
        <v>0</v>
      </c>
      <c r="F19" s="169">
        <v>5</v>
      </c>
      <c r="G19" s="169">
        <v>2.5641025641025599</v>
      </c>
    </row>
    <row r="20" spans="1:7" s="1" customFormat="1" ht="12.75" x14ac:dyDescent="0.2">
      <c r="A20" s="97">
        <v>18</v>
      </c>
      <c r="B20" s="169">
        <v>0</v>
      </c>
      <c r="C20" s="169">
        <v>0</v>
      </c>
      <c r="D20" s="169">
        <v>0</v>
      </c>
      <c r="E20" s="169">
        <v>0</v>
      </c>
      <c r="F20" s="169">
        <v>5</v>
      </c>
      <c r="G20" s="169">
        <v>2.5641025641025599</v>
      </c>
    </row>
    <row r="21" spans="1:7" s="1" customFormat="1" ht="12.75" x14ac:dyDescent="0.2">
      <c r="A21" s="97">
        <v>19</v>
      </c>
      <c r="B21" s="169">
        <v>0</v>
      </c>
      <c r="C21" s="169">
        <v>0</v>
      </c>
      <c r="D21" s="169">
        <v>0</v>
      </c>
      <c r="E21" s="169">
        <v>0</v>
      </c>
      <c r="F21" s="169">
        <v>5</v>
      </c>
      <c r="G21" s="169">
        <v>2.5641025641025599</v>
      </c>
    </row>
    <row r="22" spans="1:7" s="1" customFormat="1" ht="12.75" x14ac:dyDescent="0.2">
      <c r="A22" s="97">
        <v>20</v>
      </c>
      <c r="B22" s="169">
        <v>0</v>
      </c>
      <c r="C22" s="169">
        <v>0</v>
      </c>
      <c r="D22" s="169">
        <v>0</v>
      </c>
      <c r="E22" s="169">
        <v>0</v>
      </c>
      <c r="F22" s="169">
        <v>5</v>
      </c>
      <c r="G22" s="169">
        <v>2.5641025641025599</v>
      </c>
    </row>
    <row r="23" spans="1:7" s="1" customFormat="1" ht="12.75" x14ac:dyDescent="0.2">
      <c r="A23" s="97">
        <v>21</v>
      </c>
      <c r="B23" s="169">
        <v>0</v>
      </c>
      <c r="C23" s="169">
        <v>0</v>
      </c>
      <c r="D23" s="169">
        <v>0</v>
      </c>
      <c r="E23" s="169">
        <v>0</v>
      </c>
      <c r="F23" s="169">
        <v>2.5</v>
      </c>
      <c r="G23" s="169">
        <v>2.5641025641025599</v>
      </c>
    </row>
    <row r="24" spans="1:7" s="1" customFormat="1" ht="12.75" customHeight="1" x14ac:dyDescent="0.2">
      <c r="A24" s="97">
        <v>22</v>
      </c>
      <c r="B24" s="169">
        <v>0</v>
      </c>
      <c r="C24" s="169">
        <v>0</v>
      </c>
      <c r="D24" s="169">
        <v>0</v>
      </c>
      <c r="E24" s="169">
        <v>0</v>
      </c>
      <c r="F24" s="169">
        <v>0</v>
      </c>
      <c r="G24" s="169">
        <v>2.5641025641025599</v>
      </c>
    </row>
    <row r="25" spans="1:7" s="1" customFormat="1" ht="12.75" customHeight="1" x14ac:dyDescent="0.2">
      <c r="A25" s="97">
        <v>23</v>
      </c>
      <c r="B25" s="169">
        <v>0</v>
      </c>
      <c r="C25" s="169">
        <v>0</v>
      </c>
      <c r="D25" s="169">
        <v>0</v>
      </c>
      <c r="E25" s="169">
        <v>0</v>
      </c>
      <c r="F25" s="169">
        <v>0</v>
      </c>
      <c r="G25" s="169">
        <v>2.5641025641025599</v>
      </c>
    </row>
    <row r="26" spans="1:7" s="1" customFormat="1" ht="12.75" customHeight="1" x14ac:dyDescent="0.2">
      <c r="A26" s="97">
        <v>24</v>
      </c>
      <c r="B26" s="169">
        <v>0</v>
      </c>
      <c r="C26" s="169">
        <v>0</v>
      </c>
      <c r="D26" s="169">
        <v>0</v>
      </c>
      <c r="E26" s="169">
        <v>0</v>
      </c>
      <c r="F26" s="169">
        <v>0</v>
      </c>
      <c r="G26" s="169">
        <v>2.5641025641025599</v>
      </c>
    </row>
    <row r="27" spans="1:7" s="1" customFormat="1" ht="12.75" customHeight="1" x14ac:dyDescent="0.2">
      <c r="A27" s="97">
        <v>25</v>
      </c>
      <c r="B27" s="169">
        <v>0</v>
      </c>
      <c r="C27" s="169">
        <v>0</v>
      </c>
      <c r="D27" s="169">
        <v>0</v>
      </c>
      <c r="E27" s="169">
        <v>0</v>
      </c>
      <c r="F27" s="169">
        <v>0</v>
      </c>
      <c r="G27" s="169">
        <v>2.5641025641025599</v>
      </c>
    </row>
    <row r="28" spans="1:7" s="1" customFormat="1" ht="12.75" customHeight="1" x14ac:dyDescent="0.2">
      <c r="A28" s="97">
        <v>26</v>
      </c>
      <c r="B28" s="169">
        <v>0</v>
      </c>
      <c r="C28" s="169">
        <v>0</v>
      </c>
      <c r="D28" s="169">
        <v>0</v>
      </c>
      <c r="E28" s="169">
        <v>0</v>
      </c>
      <c r="F28" s="169">
        <v>0</v>
      </c>
      <c r="G28" s="169">
        <v>2.5641025641025599</v>
      </c>
    </row>
    <row r="29" spans="1:7" s="1" customFormat="1" ht="12.75" customHeight="1" x14ac:dyDescent="0.2">
      <c r="A29" s="97">
        <v>27</v>
      </c>
      <c r="B29" s="169">
        <v>0</v>
      </c>
      <c r="C29" s="169">
        <v>0</v>
      </c>
      <c r="D29" s="169">
        <v>0</v>
      </c>
      <c r="E29" s="169">
        <v>0</v>
      </c>
      <c r="F29" s="169">
        <v>0</v>
      </c>
      <c r="G29" s="169">
        <v>2.5641025641025599</v>
      </c>
    </row>
    <row r="30" spans="1:7" ht="12.75" customHeight="1" x14ac:dyDescent="0.25">
      <c r="A30" s="97">
        <v>28</v>
      </c>
      <c r="B30" s="169">
        <v>0</v>
      </c>
      <c r="C30" s="169">
        <v>0</v>
      </c>
      <c r="D30" s="169">
        <v>0</v>
      </c>
      <c r="E30" s="169">
        <v>0</v>
      </c>
      <c r="F30" s="169">
        <v>0</v>
      </c>
      <c r="G30" s="169">
        <v>2.5641025641025599</v>
      </c>
    </row>
    <row r="31" spans="1:7" ht="12.75" customHeight="1" x14ac:dyDescent="0.25">
      <c r="A31" s="97">
        <v>29</v>
      </c>
      <c r="B31" s="169">
        <v>0</v>
      </c>
      <c r="C31" s="169">
        <v>0</v>
      </c>
      <c r="D31" s="169">
        <v>0</v>
      </c>
      <c r="E31" s="169">
        <v>0</v>
      </c>
      <c r="F31" s="169">
        <v>0</v>
      </c>
      <c r="G31" s="169">
        <v>2.5641025641025599</v>
      </c>
    </row>
    <row r="32" spans="1:7" ht="12.75" customHeight="1" x14ac:dyDescent="0.25">
      <c r="A32" s="97">
        <v>30</v>
      </c>
      <c r="B32" s="169">
        <v>0</v>
      </c>
      <c r="C32" s="169">
        <v>0</v>
      </c>
      <c r="D32" s="169">
        <v>0</v>
      </c>
      <c r="E32" s="169">
        <v>0</v>
      </c>
      <c r="F32" s="169">
        <v>0</v>
      </c>
      <c r="G32" s="169">
        <v>2.5641025641025599</v>
      </c>
    </row>
    <row r="33" spans="1:7" ht="12.75" customHeight="1" x14ac:dyDescent="0.25">
      <c r="A33" s="97">
        <v>31</v>
      </c>
      <c r="B33" s="169">
        <v>0</v>
      </c>
      <c r="C33" s="169">
        <v>0</v>
      </c>
      <c r="D33" s="169">
        <v>0</v>
      </c>
      <c r="E33" s="169">
        <v>0</v>
      </c>
      <c r="F33" s="169">
        <v>0</v>
      </c>
      <c r="G33" s="169">
        <v>2.5641025641025599</v>
      </c>
    </row>
    <row r="34" spans="1:7" ht="12.75" customHeight="1" x14ac:dyDescent="0.25">
      <c r="A34" s="97">
        <v>32</v>
      </c>
      <c r="B34" s="169">
        <v>0</v>
      </c>
      <c r="C34" s="169">
        <v>0</v>
      </c>
      <c r="D34" s="169">
        <v>0</v>
      </c>
      <c r="E34" s="169">
        <v>0</v>
      </c>
      <c r="F34" s="169">
        <v>0</v>
      </c>
      <c r="G34" s="169">
        <v>2.5641025641025599</v>
      </c>
    </row>
    <row r="35" spans="1:7" ht="12.75" customHeight="1" x14ac:dyDescent="0.25">
      <c r="A35" s="97">
        <v>33</v>
      </c>
      <c r="B35" s="169">
        <v>0</v>
      </c>
      <c r="C35" s="169">
        <v>0</v>
      </c>
      <c r="D35" s="169">
        <v>0</v>
      </c>
      <c r="E35" s="169">
        <v>0</v>
      </c>
      <c r="F35" s="169">
        <v>0</v>
      </c>
      <c r="G35" s="169">
        <v>2.5641025641025599</v>
      </c>
    </row>
    <row r="36" spans="1:7" ht="12.75" customHeight="1" x14ac:dyDescent="0.25">
      <c r="A36" s="97">
        <v>34</v>
      </c>
      <c r="B36" s="169">
        <v>0</v>
      </c>
      <c r="C36" s="169">
        <v>0</v>
      </c>
      <c r="D36" s="169">
        <v>0</v>
      </c>
      <c r="E36" s="169">
        <v>0</v>
      </c>
      <c r="F36" s="169">
        <v>0</v>
      </c>
      <c r="G36" s="169">
        <v>2.5641025641025599</v>
      </c>
    </row>
    <row r="37" spans="1:7" ht="12.75" customHeight="1" x14ac:dyDescent="0.25">
      <c r="A37" s="97">
        <v>35</v>
      </c>
      <c r="B37" s="169">
        <v>0</v>
      </c>
      <c r="C37" s="169">
        <v>0</v>
      </c>
      <c r="D37" s="169">
        <v>0</v>
      </c>
      <c r="E37" s="169">
        <v>0</v>
      </c>
      <c r="F37" s="169">
        <v>0</v>
      </c>
      <c r="G37" s="169">
        <v>2.5641025641025599</v>
      </c>
    </row>
    <row r="38" spans="1:7" ht="12.75" customHeight="1" x14ac:dyDescent="0.25">
      <c r="A38" s="97">
        <v>36</v>
      </c>
      <c r="B38" s="169">
        <v>0</v>
      </c>
      <c r="C38" s="169">
        <v>0</v>
      </c>
      <c r="D38" s="169">
        <v>0</v>
      </c>
      <c r="E38" s="169">
        <v>0</v>
      </c>
      <c r="F38" s="169">
        <v>0</v>
      </c>
      <c r="G38" s="169">
        <v>2.5641025641025599</v>
      </c>
    </row>
    <row r="39" spans="1:7" ht="12.75" customHeight="1" x14ac:dyDescent="0.25">
      <c r="A39" s="97">
        <v>37</v>
      </c>
      <c r="B39" s="169">
        <v>0</v>
      </c>
      <c r="C39" s="169">
        <v>0</v>
      </c>
      <c r="D39" s="169">
        <v>0</v>
      </c>
      <c r="E39" s="169">
        <v>0</v>
      </c>
      <c r="F39" s="169">
        <v>0</v>
      </c>
      <c r="G39" s="169">
        <v>2.5641025641025599</v>
      </c>
    </row>
    <row r="40" spans="1:7" ht="12.75" customHeight="1" x14ac:dyDescent="0.25">
      <c r="A40" s="97">
        <v>38</v>
      </c>
      <c r="B40" s="169">
        <v>0</v>
      </c>
      <c r="C40" s="169">
        <v>0</v>
      </c>
      <c r="D40" s="169">
        <v>0</v>
      </c>
      <c r="E40" s="169">
        <v>0</v>
      </c>
      <c r="F40" s="169">
        <v>0</v>
      </c>
      <c r="G40" s="169">
        <v>2.5641025641025599</v>
      </c>
    </row>
    <row r="41" spans="1:7" ht="12.75" customHeight="1" x14ac:dyDescent="0.25">
      <c r="A41" s="97">
        <v>39</v>
      </c>
      <c r="B41" s="169">
        <v>0</v>
      </c>
      <c r="C41" s="169">
        <v>0</v>
      </c>
      <c r="D41" s="169">
        <v>0</v>
      </c>
      <c r="E41" s="169">
        <v>0</v>
      </c>
      <c r="F41" s="169">
        <v>0</v>
      </c>
      <c r="G41" s="169">
        <v>2.5641025641025599</v>
      </c>
    </row>
    <row r="42" spans="1:7" ht="12.75" customHeight="1" x14ac:dyDescent="0.25">
      <c r="A42" s="98">
        <v>40</v>
      </c>
      <c r="B42" s="170">
        <v>0</v>
      </c>
      <c r="C42" s="170">
        <v>0</v>
      </c>
      <c r="D42" s="170">
        <v>0</v>
      </c>
      <c r="E42" s="170">
        <v>0</v>
      </c>
      <c r="F42" s="170">
        <v>0</v>
      </c>
      <c r="G42" s="170">
        <f>2.56410256410256*0.5</f>
        <v>1.2820512820512799</v>
      </c>
    </row>
    <row r="43" spans="1:7" x14ac:dyDescent="0.25">
      <c r="A43" s="95" t="s">
        <v>189</v>
      </c>
      <c r="B43" s="95"/>
      <c r="C43" s="95"/>
      <c r="D43" s="95"/>
      <c r="E43" s="95"/>
      <c r="F43" s="95"/>
      <c r="G43" s="95"/>
    </row>
    <row r="44" spans="1:7" x14ac:dyDescent="0.25">
      <c r="A44" s="95" t="s">
        <v>94</v>
      </c>
      <c r="B44" s="95"/>
      <c r="C44" s="95"/>
      <c r="D44" s="95"/>
      <c r="E44" s="95"/>
      <c r="F44" s="95"/>
      <c r="G44" s="95"/>
    </row>
    <row r="45" spans="1:7" x14ac:dyDescent="0.25">
      <c r="A45" s="281" t="s">
        <v>327</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271</vt:i4>
      </vt:variant>
    </vt:vector>
  </HeadingPairs>
  <TitlesOfParts>
    <vt:vector size="274"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cf_capacity_payment</vt:lpstr>
      <vt:lpstr>cf_curtailment_value</vt:lpstr>
      <vt:lpstr>cf_disbursement_debtservice</vt:lpstr>
      <vt:lpstr>cf_energy_net</vt:lpstr>
      <vt:lpstr>cf_energy_purchases</vt:lpstr>
      <vt:lpstr>cf_energy_sales</vt:lpstr>
      <vt:lpstr>cf_energy_value</vt:lpstr>
      <vt:lpstr>cf_energy_without_battery</vt:lpstr>
      <vt:lpstr>cf_fuelcell_replacement_cost</vt:lpstr>
      <vt:lpstr>cf_funding_debtservice</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cf_ppa_price</vt:lpstr>
      <vt:lpstr>cf_recapitalization</vt:lpstr>
      <vt:lpstr>cf_reserve_debtservice</vt:lpstr>
      <vt:lpstr>cf_thermal_value</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cost_debt_closing</vt:lpstr>
      <vt:lpstr>cost_debt_fee</vt:lpstr>
      <vt:lpstr>cost_other_financing</vt:lpstr>
      <vt:lpstr>CostDebtUpfront</vt:lpstr>
      <vt:lpstr>DebtPayment</vt:lpstr>
      <vt:lpstr>DebtPercent</vt:lpstr>
      <vt:lpstr>DebtServiceCoverageRatio</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dscr_limit_debt_fraction</vt:lpstr>
      <vt:lpstr>dscr_maximum_debt_fraction</vt:lpstr>
      <vt:lpstr>dscr_reserve_months</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flip_target_year</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IRRTarget</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loan_moratorium</vt:lpstr>
      <vt:lpstr>months_receivables_reserve</vt:lpstr>
      <vt:lpstr>months_working_reserve</vt:lpstr>
      <vt:lpstr>MortgageSizeOfDebt</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ppa_escalation</vt:lpstr>
      <vt:lpstr>PPAPriceInput</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state_tax_rate</vt:lpstr>
      <vt:lpstr>system_capacity</vt:lpstr>
      <vt:lpstr>system_heat_rate</vt:lpstr>
      <vt:lpstr>term_int_rate</vt:lpstr>
      <vt:lpstr>term_tenor</vt:lpstr>
      <vt:lpstr>TODMultipliersApply</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2022-05-12T16:37:01Z</dcterms:created>
  <dcterms:modified xsi:type="dcterms:W3CDTF">2023-07-20T16:44:23Z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