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showInkAnnotation="0" codeName="ThisWorkbook" defaultThemeVersion="124226"/>
  <xr:revisionPtr revIDLastSave="0" documentId="13_ncr:1_{1CF9F7EC-AD2D-4CB1-BFA0-EF6897FA6A7C}" xr6:coauthVersionLast="47" xr6:coauthVersionMax="47" xr10:uidLastSave="{00000000-0000-0000-0000-000000000000}"/>
  <bookViews>
    <workbookView xWindow="8160" yWindow="1050" windowWidth="10725" windowHeight="12195" tabRatio="734" xr2:uid="{00000000-000D-0000-FFFF-FFFF00000000}"/>
  </bookViews>
  <sheets>
    <sheet name="Inputs" sheetId="1" r:id="rId1"/>
    <sheet name="Cash Flow" sheetId="7" r:id="rId2"/>
    <sheet name="Depreciation Schedules" sheetId="4" r:id="rId3"/>
  </sheets>
  <definedNames>
    <definedName name="analysis_period">Inputs!$C$47</definedName>
    <definedName name="annual_fuel_usage">Inputs!$C$19</definedName>
    <definedName name="AnnualLandLease">Inputs!$D$225</definedName>
    <definedName name="AnnualOMCapacity">Inputs!$D$176</definedName>
    <definedName name="AnnualOMFixed">Inputs!$D$175</definedName>
    <definedName name="AnnualOMProduction">Inputs!$D$177</definedName>
    <definedName name="AnnualPBIFederal">Inputs!$D$189</definedName>
    <definedName name="AnnualPBIOther">Inputs!$D$192</definedName>
    <definedName name="AnnualPBIState">Inputs!$D$190</definedName>
    <definedName name="AnnualPBIUtility">Inputs!$D$191</definedName>
    <definedName name="AnnualPTCFederal">Inputs!$D$194</definedName>
    <definedName name="AnnualPTCState">Inputs!$D$195</definedName>
    <definedName name="AnnualTaxFederal">Inputs!$C$180</definedName>
    <definedName name="AnnualTaxState">Inputs!$C$179</definedName>
    <definedName name="batt_annual_discharge_energy">Inputs!$C$166</definedName>
    <definedName name="cbi_fed_amount">Inputs!$C$138</definedName>
    <definedName name="cbi_fed_deprbas_fed">Inputs!$G$138</definedName>
    <definedName name="cbi_fed_deprbas_sta">Inputs!$H$138</definedName>
    <definedName name="cbi_fed_maxvalue">Inputs!$D$138</definedName>
    <definedName name="cbi_fed_tax_fed">Inputs!$E$138</definedName>
    <definedName name="cbi_fed_tax_sta">Inputs!$F$138</definedName>
    <definedName name="cbi_oth_amount">Inputs!$C$141</definedName>
    <definedName name="cbi_oth_deprbas_fed">Inputs!$G$141</definedName>
    <definedName name="cbi_oth_deprbas_sta">Inputs!$H$141</definedName>
    <definedName name="cbi_oth_maxvalue">Inputs!$D$141</definedName>
    <definedName name="cbi_oth_tax_fed">Inputs!$E$141</definedName>
    <definedName name="cbi_oth_tax_sta">Inputs!$F$141</definedName>
    <definedName name="cbi_sta_amount">Inputs!$C$139</definedName>
    <definedName name="cbi_sta_deprbas_fed">Inputs!$G$139</definedName>
    <definedName name="cbi_sta_deprbas_sta">Inputs!$H$139</definedName>
    <definedName name="cbi_sta_maxvalue">Inputs!$D$139</definedName>
    <definedName name="cbi_sta_tax_fed">Inputs!$E$139</definedName>
    <definedName name="cbi_sta_tax_sta">Inputs!$F$139</definedName>
    <definedName name="cbi_uti_amount">Inputs!$C$140</definedName>
    <definedName name="cbi_uti_deprbas_fed">Inputs!$G$140</definedName>
    <definedName name="cbi_uti_deprbas_sta">Inputs!$H$140</definedName>
    <definedName name="cbi_uti_maxvalue">Inputs!$D$140</definedName>
    <definedName name="cbi_uti_tax_fed">Inputs!$E$140</definedName>
    <definedName name="cbi_uti_tax_sta">Inputs!$F$140</definedName>
    <definedName name="cf_annual_cost_lcos">Inputs!$C$222</definedName>
    <definedName name="cf_annual_discharge_lcos">Inputs!$C$223</definedName>
    <definedName name="cf_battery_replacement_cost">Inputs!$C$202</definedName>
    <definedName name="cf_capacity_payment">Inputs!$C$171</definedName>
    <definedName name="cf_curtailment_value">Inputs!$C$172</definedName>
    <definedName name="cf_disbursement_debtservice">Inputs!$C$217</definedName>
    <definedName name="cf_energy_net">Inputs!$C$164</definedName>
    <definedName name="cf_energy_purchases">Inputs!$C$163</definedName>
    <definedName name="cf_energy_sales">Inputs!$C$162</definedName>
    <definedName name="cf_energy_value">Inputs!$C$170</definedName>
    <definedName name="cf_energy_without_battery">Inputs!$C$165</definedName>
    <definedName name="cf_fuelcell_replacement_cost">Inputs!$C$207</definedName>
    <definedName name="cf_funding_debtservice">Inputs!$C$216</definedName>
    <definedName name="cf_om_capacity1_expense">Inputs!$C$200</definedName>
    <definedName name="cf_om_capacity2_expense">Inputs!$C$205</definedName>
    <definedName name="cf_om_fixed1_expense">Inputs!$C$199</definedName>
    <definedName name="cf_om_fixed2_expense">Inputs!$C$204</definedName>
    <definedName name="cf_om_fuel_expense">Inputs!$C$210</definedName>
    <definedName name="cf_om_opt_fuel_1_expense">Inputs!$C$211</definedName>
    <definedName name="cf_om_opt_fuel_2_expense">Inputs!$C$212</definedName>
    <definedName name="cf_om_production1_expense">Inputs!$C$201</definedName>
    <definedName name="cf_om_production2_expense">Inputs!$C$206</definedName>
    <definedName name="cf_ppa_price">Inputs!$C$169</definedName>
    <definedName name="cf_recapitalization">Inputs!$C$214</definedName>
    <definedName name="cf_reserve_debtservice">Inputs!$C$218</definedName>
    <definedName name="cf_thermal_value">Inputs!$C$173</definedName>
    <definedName name="cf_utility_bill">Inputs!$C$197</definedName>
    <definedName name="const_per_interest_rate1">Inputs!$F$93</definedName>
    <definedName name="const_per_interest_rate2">Inputs!$F$94</definedName>
    <definedName name="const_per_interest_rate3">Inputs!$F$95</definedName>
    <definedName name="const_per_interest_rate4">Inputs!$F$96</definedName>
    <definedName name="const_per_interest_rate5">Inputs!$F$97</definedName>
    <definedName name="const_per_months1">Inputs!$E$93</definedName>
    <definedName name="const_per_months2">Inputs!$E$94</definedName>
    <definedName name="const_per_months3">Inputs!$E$95</definedName>
    <definedName name="const_per_months4">Inputs!$E$96</definedName>
    <definedName name="const_per_months5">Inputs!$E$97</definedName>
    <definedName name="const_per_percent1">Inputs!$C$93</definedName>
    <definedName name="const_per_percent2">Inputs!$C$94</definedName>
    <definedName name="const_per_percent3">Inputs!$C$95</definedName>
    <definedName name="const_per_percent4">Inputs!$C$96</definedName>
    <definedName name="const_per_percent5">Inputs!$C$97</definedName>
    <definedName name="const_per_upfront_rate1">Inputs!$D$93</definedName>
    <definedName name="const_per_upfront_rate2">Inputs!$D$94</definedName>
    <definedName name="const_per_upfront_rate3">Inputs!$D$95</definedName>
    <definedName name="const_per_upfront_rate4">Inputs!$D$96</definedName>
    <definedName name="const_per_upfront_rate5">Inputs!$D$97</definedName>
    <definedName name="construction_financing_cost">Inputs!$C$89</definedName>
    <definedName name="cost_debt_closing">Inputs!$C$77</definedName>
    <definedName name="cost_debt_fee">Inputs!$C$78</definedName>
    <definedName name="cost_dev_fee_percent">Inputs!$C$84</definedName>
    <definedName name="cost_equity_closing">Inputs!$C$82</definedName>
    <definedName name="cost_other_financing">Inputs!$C$83</definedName>
    <definedName name="CostDebtUpfront">Inputs!$C$79</definedName>
    <definedName name="DebtPayment">Inputs!$C$72</definedName>
    <definedName name="DebtPercent">Inputs!$C$67</definedName>
    <definedName name="DebtServiceCoverageRatio">Inputs!$C$69</definedName>
    <definedName name="depr_alloc_custom_percent">Inputs!$C$156</definedName>
    <definedName name="depr_alloc_macrs_15_percent">Inputs!$C$151</definedName>
    <definedName name="depr_alloc_macrs_5_percent">Inputs!$C$150</definedName>
    <definedName name="depr_alloc_sl_15_percent">Inputs!$C$153</definedName>
    <definedName name="depr_alloc_sl_20_percent">Inputs!$C$154</definedName>
    <definedName name="depr_alloc_sl_39_percent">Inputs!$C$155</definedName>
    <definedName name="depr_alloc_sl_5_percent">Inputs!$C$152</definedName>
    <definedName name="depr_bonus_fed">Inputs!$D$157</definedName>
    <definedName name="depr_bonus_fed_custom">Inputs!$D$156</definedName>
    <definedName name="depr_bonus_fed_macrs_15">Inputs!$D$151</definedName>
    <definedName name="depr_bonus_fed_macrs_5">Inputs!$D$150</definedName>
    <definedName name="depr_bonus_fed_sl_15">Inputs!$D$153</definedName>
    <definedName name="depr_bonus_fed_sl_20">Inputs!$D$154</definedName>
    <definedName name="depr_bonus_fed_sl_39">Inputs!$D$155</definedName>
    <definedName name="depr_bonus_fed_sl_5">Inputs!$D$152</definedName>
    <definedName name="depr_bonus_sta">Inputs!$E$157</definedName>
    <definedName name="depr_bonus_sta_custom">Inputs!$E$156</definedName>
    <definedName name="depr_bonus_sta_macrs_15">Inputs!$E$151</definedName>
    <definedName name="depr_bonus_sta_macrs_5">Inputs!$E$150</definedName>
    <definedName name="depr_bonus_sta_sl_15">Inputs!$E$153</definedName>
    <definedName name="depr_bonus_sta_sl_20">Inputs!$E$154</definedName>
    <definedName name="depr_bonus_sta_sl_39">Inputs!$E$155</definedName>
    <definedName name="depr_bonus_sta_sl_5">Inputs!$E$152</definedName>
    <definedName name="depr_custom_schedule">Inputs!$D$220</definedName>
    <definedName name="depr_itc_fed_custom">Inputs!$F$156</definedName>
    <definedName name="depr_itc_fed_macrs_15">Inputs!$F$151</definedName>
    <definedName name="depr_itc_fed_macrs_5">Inputs!$F$150</definedName>
    <definedName name="depr_itc_fed_sl_15">Inputs!$F$153</definedName>
    <definedName name="depr_itc_fed_sl_20">Inputs!$F$154</definedName>
    <definedName name="depr_itc_fed_sl_39">Inputs!$F$155</definedName>
    <definedName name="depr_itc_fed_sl_5">Inputs!$F$152</definedName>
    <definedName name="depr_itc_sta_custom">Inputs!$G$156</definedName>
    <definedName name="depr_itc_sta_macrs_15">Inputs!$G$151</definedName>
    <definedName name="depr_itc_sta_macrs_5">Inputs!$G$150</definedName>
    <definedName name="depr_itc_sta_sl_15">Inputs!$G$153</definedName>
    <definedName name="depr_itc_sta_sl_20">Inputs!$G$154</definedName>
    <definedName name="depr_itc_sta_sl_39">Inputs!$G$155</definedName>
    <definedName name="depr_itc_sta_sl_5">Inputs!$G$152</definedName>
    <definedName name="developer_equity_percent">Inputs!$D$38</definedName>
    <definedName name="developer_postflip_cash_percent">Inputs!$D$40</definedName>
    <definedName name="developer_postflip_tax_percent">Inputs!$D$42</definedName>
    <definedName name="developer_preflip_cash_percent">Inputs!$D$39</definedName>
    <definedName name="developer_preflip_tax_percent">Inputs!$D$41</definedName>
    <definedName name="dscr_limit_debt_fraction">Inputs!$C$70</definedName>
    <definedName name="dscr_maximum_debt_fraction">Inputs!$C$71</definedName>
    <definedName name="dscr_reserve_months">Inputs!$C$103</definedName>
    <definedName name="equip_reserve_depr_fed">Inputs!$C$110</definedName>
    <definedName name="equip_reserve_depr_sta">Inputs!$C$111</definedName>
    <definedName name="equip1_reserve_cost">Inputs!$C$106</definedName>
    <definedName name="equip1_reserve_freq">Inputs!$E$106</definedName>
    <definedName name="equip2_reserve_cost">Inputs!$C$107</definedName>
    <definedName name="equip2_reserve_freq">Inputs!$E$107</definedName>
    <definedName name="equip3_reserve_cost">Inputs!$C$108</definedName>
    <definedName name="equip3_reserve_freq">Inputs!$E$108</definedName>
    <definedName name="federal_tax_rate">Inputs!$C$52</definedName>
    <definedName name="flip_actual_year">Inputs!$C$32</definedName>
    <definedName name="flip_target_year">Inputs!$C$33</definedName>
    <definedName name="fuelcell_annual_energy_discharged">Inputs!$C$167</definedName>
    <definedName name="FuelCellFuel">Inputs!$C$208</definedName>
    <definedName name="ibi_fed_amount">Inputs!$C$128</definedName>
    <definedName name="ibi_fed_amount_deprbas_fed">Inputs!$G$128</definedName>
    <definedName name="ibi_fed_amount_deprbas_sta">Inputs!$H$128</definedName>
    <definedName name="ibi_fed_amount_tax_fed">Inputs!$E$128</definedName>
    <definedName name="ibi_fed_amount_tax_sta">Inputs!$F$128</definedName>
    <definedName name="ibi_fed_percent">Inputs!$C$133</definedName>
    <definedName name="ibi_fed_percent_deprbas_fed">Inputs!$G$133</definedName>
    <definedName name="ibi_fed_percent_deprbas_sta">Inputs!$H$133</definedName>
    <definedName name="ibi_fed_percent_maxvalue">Inputs!$D$133</definedName>
    <definedName name="ibi_fed_percent_tax_fed">Inputs!$E$133</definedName>
    <definedName name="ibi_fed_percent_tax_sta">Inputs!$F$133</definedName>
    <definedName name="ibi_oth_amount">Inputs!$C$131</definedName>
    <definedName name="ibi_oth_amount_deprbas_fed">Inputs!$G$131</definedName>
    <definedName name="ibi_oth_amount_deprbas_sta">Inputs!$H$131</definedName>
    <definedName name="ibi_oth_amount_tax_fed">Inputs!$E$131</definedName>
    <definedName name="ibi_oth_amount_tax_sta">Inputs!$F$131</definedName>
    <definedName name="ibi_oth_percent">Inputs!$C$136</definedName>
    <definedName name="ibi_oth_percent_deprbas_fed">Inputs!$G$136</definedName>
    <definedName name="ibi_oth_percent_deprbas_sta">Inputs!$H$136</definedName>
    <definedName name="ibi_oth_percent_maxvalue">Inputs!$D$136</definedName>
    <definedName name="ibi_oth_percent_tax_fed">Inputs!$E$136</definedName>
    <definedName name="ibi_oth_percent_tax_sta">Inputs!$F$136</definedName>
    <definedName name="ibi_sta_amount">Inputs!$C$129</definedName>
    <definedName name="ibi_sta_amount_deprbas_fed">Inputs!$G$129</definedName>
    <definedName name="ibi_sta_amount_deprbas_sta">Inputs!$H$129</definedName>
    <definedName name="ibi_sta_amount_tax_fed">Inputs!$E$129</definedName>
    <definedName name="ibi_sta_amount_tax_sta">Inputs!$F$129</definedName>
    <definedName name="ibi_sta_percent">Inputs!$C$134</definedName>
    <definedName name="ibi_sta_percent_deprbas_fed">Inputs!$G$134</definedName>
    <definedName name="ibi_sta_percent_deprbas_sta">Inputs!$H$134</definedName>
    <definedName name="ibi_sta_percent_maxvalue">Inputs!$D$134</definedName>
    <definedName name="ibi_sta_percent_tax_fed">Inputs!$E$134</definedName>
    <definedName name="ibi_sta_percent_tax_sta">Inputs!$F$134</definedName>
    <definedName name="ibi_uti_amount">Inputs!$C$130</definedName>
    <definedName name="ibi_uti_amount_deprbas_fed">Inputs!$G$130</definedName>
    <definedName name="ibi_uti_amount_deprbas_sta">Inputs!$H$130</definedName>
    <definedName name="ibi_uti_amount_tax_fed">Inputs!$E$130</definedName>
    <definedName name="ibi_uti_amount_tax_sta">Inputs!$F$130</definedName>
    <definedName name="ibi_uti_percent">Inputs!$C$135</definedName>
    <definedName name="ibi_uti_percent_deprbas_fed">Inputs!$G$135</definedName>
    <definedName name="ibi_uti_percent_deprbas_sta">Inputs!$H$135</definedName>
    <definedName name="ibi_uti_percent_maxvalue">Inputs!$D$135</definedName>
    <definedName name="ibi_uti_percent_tax_fed">Inputs!$E$135</definedName>
    <definedName name="ibi_uti_percent_tax_sta">Inputs!$F$135</definedName>
    <definedName name="inflation_rate">Inputs!$C$48</definedName>
    <definedName name="insurance_rate">Inputs!$C$55</definedName>
    <definedName name="IRRTarget">Inputs!$C$31</definedName>
    <definedName name="itc_fed_amount">Inputs!$D$182</definedName>
    <definedName name="itc_fed_amount_deprbas_fed">Inputs!$E$116</definedName>
    <definedName name="itc_fed_amount_deprbas_sta">Inputs!$F$116</definedName>
    <definedName name="itc_fed_percent">Inputs!$D$184</definedName>
    <definedName name="itc_fed_percent_deprbas_fed">Inputs!$E$119</definedName>
    <definedName name="itc_fed_percent_deprbas_sta">Inputs!$F$119</definedName>
    <definedName name="itc_fed_percent_maxvalue">Inputs!$D$185</definedName>
    <definedName name="itc_sta_amount">Inputs!$D$183</definedName>
    <definedName name="itc_sta_amount_deprbas_fed">Inputs!$E$117</definedName>
    <definedName name="itc_sta_amount_deprbas_sta">Inputs!$F$117</definedName>
    <definedName name="itc_sta_percent">Inputs!$D$186</definedName>
    <definedName name="itc_sta_percent_deprbas_fed">Inputs!$E$120</definedName>
    <definedName name="itc_sta_percent_deprbas_sta">Inputs!$F$120</definedName>
    <definedName name="itc_sta_percent_maxvalue">Inputs!$D$187</definedName>
    <definedName name="loan_moratorium">Inputs!$C$75</definedName>
    <definedName name="months_receivables_reserve">Inputs!$C$104</definedName>
    <definedName name="months_working_reserve">Inputs!$C$102</definedName>
    <definedName name="MortgageSizeOfDebt">Inputs!$C$68</definedName>
    <definedName name="NominalDiscountRate">Inputs!$C$50</definedName>
    <definedName name="om_capacity">Inputs!$C$11</definedName>
    <definedName name="om_capacity_escal">Inputs!$C$12</definedName>
    <definedName name="om_fixed">Inputs!$C$9</definedName>
    <definedName name="om_fixed_escal">Inputs!$C$10</definedName>
    <definedName name="om_fuel_cost">Inputs!$C$21</definedName>
    <definedName name="om_fuel_cost_escal">Inputs!$C$22</definedName>
    <definedName name="om_land_lease">Inputs!$C$26</definedName>
    <definedName name="om_land_lease_escal">Inputs!$C$27</definedName>
    <definedName name="om_production">Inputs!$C$13</definedName>
    <definedName name="om_production_escal">Inputs!$C$14</definedName>
    <definedName name="pbi_fed_amount">Inputs!$C$143</definedName>
    <definedName name="pbi_fed_escal">Inputs!$E$143</definedName>
    <definedName name="pbi_fed_for_ds">Inputs!$H$143</definedName>
    <definedName name="pbi_fed_tax_fed">Inputs!$F$143</definedName>
    <definedName name="pbi_fed_tax_sta">Inputs!$G$143</definedName>
    <definedName name="pbi_fed_term">Inputs!$D$143</definedName>
    <definedName name="pbi_oth_amount">Inputs!$C$146</definedName>
    <definedName name="pbi_oth_escal">Inputs!$E$146</definedName>
    <definedName name="pbi_oth_for_ds">Inputs!$H$146</definedName>
    <definedName name="pbi_oth_tax_fed">Inputs!$F$146</definedName>
    <definedName name="pbi_oth_tax_sta">Inputs!$G$146</definedName>
    <definedName name="pbi_oth_term">Inputs!$D$146</definedName>
    <definedName name="pbi_sta_amount">Inputs!$C$144</definedName>
    <definedName name="pbi_sta_escal">Inputs!$E$144</definedName>
    <definedName name="pbi_sta_for_ds">Inputs!$H$144</definedName>
    <definedName name="pbi_sta_tax_fed">Inputs!$F$144</definedName>
    <definedName name="pbi_sta_tax_sta">Inputs!$G$144</definedName>
    <definedName name="pbi_sta_term">Inputs!$D$144</definedName>
    <definedName name="pbi_uti_amount">Inputs!$C$145</definedName>
    <definedName name="pbi_uti_escal">Inputs!$E$145</definedName>
    <definedName name="pbi_uti_for_ds">Inputs!$H$145</definedName>
    <definedName name="pbi_uti_tax_fed">Inputs!$F$145</definedName>
    <definedName name="pbi_uti_tax_sta">Inputs!$G$145</definedName>
    <definedName name="pbi_uti_term">Inputs!$D$145</definedName>
    <definedName name="ppa_escalation">Inputs!$C$35</definedName>
    <definedName name="PPAPriceInput">Inputs!$C$34</definedName>
    <definedName name="prop_tax_assessed_decline">Inputs!$C$59</definedName>
    <definedName name="prop_tax_cost_assessed_percent">Inputs!$C$57</definedName>
    <definedName name="property_tax_rate">Inputs!$C$60</definedName>
    <definedName name="PropertyTaxAssessedValue">Inputs!$C$58</definedName>
    <definedName name="ptc_fed_amount">Inputs!$C$122</definedName>
    <definedName name="ptc_fed_escal">Inputs!$E$122</definedName>
    <definedName name="ptc_fed_term">Inputs!$D$122</definedName>
    <definedName name="ptc_sta_amount">Inputs!$C$123</definedName>
    <definedName name="ptc_sta_escal">Inputs!$E$123</definedName>
    <definedName name="ptc_sta_term">Inputs!$D$123</definedName>
    <definedName name="real_discount_rate">Inputs!$C$49</definedName>
    <definedName name="reserves_interest">Inputs!$C$101</definedName>
    <definedName name="RevenueSelfConsumption">Inputs!#REF!</definedName>
    <definedName name="sales_tax_rate">Inputs!$C$54</definedName>
    <definedName name="salvage_percentage">Inputs!$C$62</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ponsor_cap_recovery_year">Inputs!$C$45</definedName>
    <definedName name="SponsorCapRecoveryMode">Inputs!$C$44</definedName>
    <definedName name="state_tax_rate">Inputs!$C$53</definedName>
    <definedName name="system_capacity">Inputs!$C$3</definedName>
    <definedName name="system_heat_rate">Inputs!$C$20</definedName>
    <definedName name="tax_investor_equity_percent">Inputs!$C$38</definedName>
    <definedName name="tax_investor_postflip_cash_percent">Inputs!$C$40</definedName>
    <definedName name="tax_investor_postflip_tax_percent">Inputs!$C$42</definedName>
    <definedName name="tax_investor_preflip_cash_percent">Inputs!$C$39</definedName>
    <definedName name="tax_investor_preflip_tax_percent">Inputs!$C$41</definedName>
    <definedName name="term_int_rate">Inputs!$C$76</definedName>
    <definedName name="term_tenor">Inputs!$C$74</definedName>
    <definedName name="TODMultipliersApply">Inputs!$C$36</definedName>
    <definedName name="total_installed_cost">Inputs!$C$6</definedName>
    <definedName name="total_land_area">Inputs!$C$25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72" i="7" l="1" a="1"/>
  <c r="C572" i="7" s="1"/>
  <c r="F572" i="7"/>
  <c r="J572" i="7"/>
  <c r="M572" i="7"/>
  <c r="N572" i="7"/>
  <c r="Q572" i="7"/>
  <c r="R572" i="7"/>
  <c r="U572" i="7"/>
  <c r="V572" i="7"/>
  <c r="Y572" i="7"/>
  <c r="Z572" i="7"/>
  <c r="AC572" i="7"/>
  <c r="AD572" i="7"/>
  <c r="AG572" i="7"/>
  <c r="AH572" i="7"/>
  <c r="AK572" i="7"/>
  <c r="AL572" i="7"/>
  <c r="AO572" i="7"/>
  <c r="AP572" i="7"/>
  <c r="C571" i="7" a="1"/>
  <c r="F571" i="7" s="1"/>
  <c r="C571" i="7"/>
  <c r="D571" i="7"/>
  <c r="G571" i="7"/>
  <c r="H571" i="7"/>
  <c r="K571" i="7"/>
  <c r="L571" i="7"/>
  <c r="O571" i="7"/>
  <c r="P571" i="7"/>
  <c r="S571" i="7"/>
  <c r="T571" i="7"/>
  <c r="W571" i="7"/>
  <c r="X571" i="7"/>
  <c r="AA571" i="7"/>
  <c r="AB571" i="7"/>
  <c r="AE571" i="7"/>
  <c r="AF571" i="7"/>
  <c r="AI571" i="7"/>
  <c r="AJ571" i="7"/>
  <c r="AM571" i="7"/>
  <c r="AN571" i="7"/>
  <c r="C570" i="7" a="1"/>
  <c r="D570" i="7" s="1"/>
  <c r="C566" i="7" a="1"/>
  <c r="F566" i="7" s="1"/>
  <c r="C566" i="7"/>
  <c r="D566" i="7"/>
  <c r="G566" i="7"/>
  <c r="H566" i="7"/>
  <c r="K566" i="7"/>
  <c r="L566" i="7"/>
  <c r="O566" i="7"/>
  <c r="P566" i="7"/>
  <c r="S566" i="7"/>
  <c r="T566" i="7"/>
  <c r="W566" i="7"/>
  <c r="X566" i="7"/>
  <c r="AA566" i="7"/>
  <c r="AB566" i="7"/>
  <c r="AE566" i="7"/>
  <c r="AF566" i="7"/>
  <c r="AI566" i="7"/>
  <c r="AJ566" i="7"/>
  <c r="AL566" i="7"/>
  <c r="AM566" i="7"/>
  <c r="AN566" i="7"/>
  <c r="AP566" i="7"/>
  <c r="C565" i="7" a="1"/>
  <c r="C565" i="7" s="1"/>
  <c r="C564" i="7" a="1"/>
  <c r="E564" i="7" s="1"/>
  <c r="C564" i="7"/>
  <c r="D564" i="7"/>
  <c r="F564" i="7"/>
  <c r="G564" i="7"/>
  <c r="H564" i="7"/>
  <c r="J564" i="7"/>
  <c r="K564" i="7"/>
  <c r="L564" i="7"/>
  <c r="N564" i="7"/>
  <c r="O564" i="7"/>
  <c r="P564" i="7"/>
  <c r="R564" i="7"/>
  <c r="S564" i="7"/>
  <c r="T564" i="7"/>
  <c r="V564" i="7"/>
  <c r="W564" i="7"/>
  <c r="X564" i="7"/>
  <c r="Z564" i="7"/>
  <c r="AA564" i="7"/>
  <c r="AB564" i="7"/>
  <c r="AD564" i="7"/>
  <c r="AE564" i="7"/>
  <c r="AF564" i="7"/>
  <c r="AH564" i="7"/>
  <c r="AI564" i="7"/>
  <c r="AJ564" i="7"/>
  <c r="AL564" i="7"/>
  <c r="AM564" i="7"/>
  <c r="AN564" i="7"/>
  <c r="AP564" i="7"/>
  <c r="D120" i="1"/>
  <c r="D119" i="1"/>
  <c r="C120" i="1"/>
  <c r="C119" i="1"/>
  <c r="C117" i="1"/>
  <c r="C116" i="1"/>
  <c r="B639" i="7"/>
  <c r="AP674" i="7"/>
  <c r="B19" i="7" a="1"/>
  <c r="B19" i="7" s="1"/>
  <c r="I572" i="7" l="1"/>
  <c r="AN572" i="7"/>
  <c r="AJ572" i="7"/>
  <c r="AF572" i="7"/>
  <c r="AB572" i="7"/>
  <c r="X572" i="7"/>
  <c r="T572" i="7"/>
  <c r="P572" i="7"/>
  <c r="L572" i="7"/>
  <c r="H572" i="7"/>
  <c r="D572" i="7"/>
  <c r="E572" i="7"/>
  <c r="AM572" i="7"/>
  <c r="AI572" i="7"/>
  <c r="AE572" i="7"/>
  <c r="AA572" i="7"/>
  <c r="W572" i="7"/>
  <c r="S572" i="7"/>
  <c r="O572" i="7"/>
  <c r="K572" i="7"/>
  <c r="G572" i="7"/>
  <c r="AO571" i="7"/>
  <c r="AK571" i="7"/>
  <c r="AG571" i="7"/>
  <c r="AC571" i="7"/>
  <c r="Y571" i="7"/>
  <c r="U571" i="7"/>
  <c r="Q571" i="7"/>
  <c r="M571" i="7"/>
  <c r="I571" i="7"/>
  <c r="E571" i="7"/>
  <c r="AP571" i="7"/>
  <c r="AL571" i="7"/>
  <c r="AH571" i="7"/>
  <c r="AD571" i="7"/>
  <c r="Z571" i="7"/>
  <c r="V571" i="7"/>
  <c r="R571" i="7"/>
  <c r="N571" i="7"/>
  <c r="J571" i="7"/>
  <c r="AM570" i="7"/>
  <c r="AI570" i="7"/>
  <c r="AE570" i="7"/>
  <c r="AA570" i="7"/>
  <c r="W570" i="7"/>
  <c r="S570" i="7"/>
  <c r="O570" i="7"/>
  <c r="K570" i="7"/>
  <c r="G570" i="7"/>
  <c r="C570" i="7"/>
  <c r="AP570" i="7"/>
  <c r="AL570" i="7"/>
  <c r="AH570" i="7"/>
  <c r="AD570" i="7"/>
  <c r="Z570" i="7"/>
  <c r="V570" i="7"/>
  <c r="R570" i="7"/>
  <c r="N570" i="7"/>
  <c r="J570" i="7"/>
  <c r="F570" i="7"/>
  <c r="AO570" i="7"/>
  <c r="AK570" i="7"/>
  <c r="AG570" i="7"/>
  <c r="AC570" i="7"/>
  <c r="Y570" i="7"/>
  <c r="U570" i="7"/>
  <c r="Q570" i="7"/>
  <c r="M570" i="7"/>
  <c r="I570" i="7"/>
  <c r="E570" i="7"/>
  <c r="AN570" i="7"/>
  <c r="AJ570" i="7"/>
  <c r="AF570" i="7"/>
  <c r="AB570" i="7"/>
  <c r="X570" i="7"/>
  <c r="T570" i="7"/>
  <c r="P570" i="7"/>
  <c r="L570" i="7"/>
  <c r="H570" i="7"/>
  <c r="AO566" i="7"/>
  <c r="AK566" i="7"/>
  <c r="AG566" i="7"/>
  <c r="AC566" i="7"/>
  <c r="Y566" i="7"/>
  <c r="U566" i="7"/>
  <c r="Q566" i="7"/>
  <c r="M566" i="7"/>
  <c r="I566" i="7"/>
  <c r="E566" i="7"/>
  <c r="AH566" i="7"/>
  <c r="AD566" i="7"/>
  <c r="Z566" i="7"/>
  <c r="V566" i="7"/>
  <c r="R566" i="7"/>
  <c r="N566" i="7"/>
  <c r="J566" i="7"/>
  <c r="AP565" i="7"/>
  <c r="AL565" i="7"/>
  <c r="AH565" i="7"/>
  <c r="AD565" i="7"/>
  <c r="Z565" i="7"/>
  <c r="V565" i="7"/>
  <c r="R565" i="7"/>
  <c r="N565" i="7"/>
  <c r="J565" i="7"/>
  <c r="F565" i="7"/>
  <c r="E565" i="7"/>
  <c r="AO565" i="7"/>
  <c r="AK565" i="7"/>
  <c r="AG565" i="7"/>
  <c r="AC565" i="7"/>
  <c r="Y565" i="7"/>
  <c r="U565" i="7"/>
  <c r="Q565" i="7"/>
  <c r="M565" i="7"/>
  <c r="I565" i="7"/>
  <c r="AN565" i="7"/>
  <c r="AJ565" i="7"/>
  <c r="AF565" i="7"/>
  <c r="AB565" i="7"/>
  <c r="X565" i="7"/>
  <c r="T565" i="7"/>
  <c r="P565" i="7"/>
  <c r="L565" i="7"/>
  <c r="H565" i="7"/>
  <c r="D565" i="7"/>
  <c r="AM565" i="7"/>
  <c r="AI565" i="7"/>
  <c r="AE565" i="7"/>
  <c r="AA565" i="7"/>
  <c r="W565" i="7"/>
  <c r="S565" i="7"/>
  <c r="O565" i="7"/>
  <c r="K565" i="7"/>
  <c r="G565" i="7"/>
  <c r="AO564" i="7"/>
  <c r="AK564" i="7"/>
  <c r="AG564" i="7"/>
  <c r="AC564" i="7"/>
  <c r="Y564" i="7"/>
  <c r="U564" i="7"/>
  <c r="Q564" i="7"/>
  <c r="M564" i="7"/>
  <c r="I564" i="7"/>
  <c r="AI21" i="7"/>
  <c r="AA21" i="7"/>
  <c r="S21" i="7"/>
  <c r="K21" i="7"/>
  <c r="C21" i="7"/>
  <c r="AJ20" i="7"/>
  <c r="AB20" i="7"/>
  <c r="T20" i="7"/>
  <c r="L20" i="7"/>
  <c r="D20" i="7"/>
  <c r="AK19" i="7"/>
  <c r="AC19" i="7"/>
  <c r="M19" i="7"/>
  <c r="AP21" i="7"/>
  <c r="V21" i="7"/>
  <c r="B21" i="7"/>
  <c r="AE20" i="7"/>
  <c r="S20" i="7"/>
  <c r="O20" i="7"/>
  <c r="K20" i="7"/>
  <c r="G20" i="7"/>
  <c r="C20" i="7"/>
  <c r="AN19" i="7"/>
  <c r="AJ19" i="7"/>
  <c r="AF19" i="7"/>
  <c r="AB19" i="7"/>
  <c r="X19" i="7"/>
  <c r="T19" i="7"/>
  <c r="P19" i="7"/>
  <c r="L19" i="7"/>
  <c r="H19" i="7"/>
  <c r="D19" i="7"/>
  <c r="AM21" i="7"/>
  <c r="AE21" i="7"/>
  <c r="W21" i="7"/>
  <c r="O21" i="7"/>
  <c r="G21" i="7"/>
  <c r="AN20" i="7"/>
  <c r="AF20" i="7"/>
  <c r="X20" i="7"/>
  <c r="P20" i="7"/>
  <c r="H20" i="7"/>
  <c r="AO19" i="7"/>
  <c r="AG19" i="7"/>
  <c r="Y19" i="7"/>
  <c r="U19" i="7"/>
  <c r="Q19" i="7"/>
  <c r="I19" i="7"/>
  <c r="E19" i="7"/>
  <c r="AL21" i="7"/>
  <c r="AD21" i="7"/>
  <c r="Z21" i="7"/>
  <c r="N21" i="7"/>
  <c r="F21" i="7"/>
  <c r="AI20" i="7"/>
  <c r="W20" i="7"/>
  <c r="AO21" i="7"/>
  <c r="AK21" i="7"/>
  <c r="AG21" i="7"/>
  <c r="AC21" i="7"/>
  <c r="Y21" i="7"/>
  <c r="U21" i="7"/>
  <c r="Q21" i="7"/>
  <c r="M21" i="7"/>
  <c r="I21" i="7"/>
  <c r="E21" i="7"/>
  <c r="AP20" i="7"/>
  <c r="AL20" i="7"/>
  <c r="AH20" i="7"/>
  <c r="AD20" i="7"/>
  <c r="Z20" i="7"/>
  <c r="V20" i="7"/>
  <c r="R20" i="7"/>
  <c r="N20" i="7"/>
  <c r="J20" i="7"/>
  <c r="F20" i="7"/>
  <c r="B20" i="7"/>
  <c r="AM19" i="7"/>
  <c r="AI19" i="7"/>
  <c r="AE19" i="7"/>
  <c r="AA19" i="7"/>
  <c r="W19" i="7"/>
  <c r="S19" i="7"/>
  <c r="O19" i="7"/>
  <c r="K19" i="7"/>
  <c r="G19" i="7"/>
  <c r="C19" i="7"/>
  <c r="AH21" i="7"/>
  <c r="R21" i="7"/>
  <c r="J21" i="7"/>
  <c r="AM20" i="7"/>
  <c r="AA20" i="7"/>
  <c r="AN21" i="7"/>
  <c r="AJ21" i="7"/>
  <c r="AF21" i="7"/>
  <c r="AB21" i="7"/>
  <c r="X21" i="7"/>
  <c r="T21" i="7"/>
  <c r="P21" i="7"/>
  <c r="L21" i="7"/>
  <c r="H21" i="7"/>
  <c r="D21" i="7"/>
  <c r="AO20" i="7"/>
  <c r="AK20" i="7"/>
  <c r="AG20" i="7"/>
  <c r="AC20" i="7"/>
  <c r="Y20" i="7"/>
  <c r="U20" i="7"/>
  <c r="Q20" i="7"/>
  <c r="M20" i="7"/>
  <c r="I20" i="7"/>
  <c r="E20" i="7"/>
  <c r="AP19" i="7"/>
  <c r="AL19" i="7"/>
  <c r="AH19" i="7"/>
  <c r="AD19" i="7"/>
  <c r="Z19" i="7"/>
  <c r="V19" i="7"/>
  <c r="R19" i="7"/>
  <c r="N19" i="7"/>
  <c r="J19" i="7"/>
  <c r="F19" i="7"/>
  <c r="B641" i="7"/>
  <c r="B157" i="7" a="1"/>
  <c r="C157" i="7" s="1"/>
  <c r="B59" i="7" a="1"/>
  <c r="E59" i="7" s="1"/>
  <c r="B56" i="7" a="1"/>
  <c r="B56" i="7" s="1"/>
  <c r="B51" i="7" a="1"/>
  <c r="B51" i="7" s="1"/>
  <c r="B46" i="7" a="1"/>
  <c r="B46" i="7" s="1"/>
  <c r="B17" i="7" a="1"/>
  <c r="B17" i="7" s="1"/>
  <c r="B16" i="7" a="1"/>
  <c r="D16" i="7" s="1"/>
  <c r="B8" i="7" a="1"/>
  <c r="B8" i="7" s="1"/>
  <c r="B5" i="7" a="1"/>
  <c r="D5" i="7" s="1"/>
  <c r="D15" i="7" s="1"/>
  <c r="K298" i="7" l="1"/>
  <c r="K434" i="7"/>
  <c r="AM158" i="7"/>
  <c r="AI158" i="7"/>
  <c r="AE158" i="7"/>
  <c r="AA158" i="7"/>
  <c r="W158" i="7"/>
  <c r="S158" i="7"/>
  <c r="O158" i="7"/>
  <c r="K158" i="7"/>
  <c r="G158" i="7"/>
  <c r="C158" i="7"/>
  <c r="AN157" i="7"/>
  <c r="AJ157" i="7"/>
  <c r="AF157" i="7"/>
  <c r="AB157" i="7"/>
  <c r="X157" i="7"/>
  <c r="T157" i="7"/>
  <c r="P157" i="7"/>
  <c r="L157" i="7"/>
  <c r="H157" i="7"/>
  <c r="D157" i="7"/>
  <c r="AO158" i="7"/>
  <c r="AK158" i="7"/>
  <c r="AG158" i="7"/>
  <c r="AC158" i="7"/>
  <c r="Y158" i="7"/>
  <c r="U158" i="7"/>
  <c r="Q158" i="7"/>
  <c r="M158" i="7"/>
  <c r="I158" i="7"/>
  <c r="E158" i="7"/>
  <c r="AP157" i="7"/>
  <c r="AL157" i="7"/>
  <c r="AH157" i="7"/>
  <c r="AD157" i="7"/>
  <c r="Z157" i="7"/>
  <c r="V157" i="7"/>
  <c r="R157" i="7"/>
  <c r="N157" i="7"/>
  <c r="J157" i="7"/>
  <c r="F157" i="7"/>
  <c r="B157" i="7"/>
  <c r="AN158" i="7"/>
  <c r="AJ158" i="7"/>
  <c r="AF158" i="7"/>
  <c r="AB158" i="7"/>
  <c r="X158" i="7"/>
  <c r="T158" i="7"/>
  <c r="P158" i="7"/>
  <c r="L158" i="7"/>
  <c r="H158" i="7"/>
  <c r="D158" i="7"/>
  <c r="AO157" i="7"/>
  <c r="AK157" i="7"/>
  <c r="AG157" i="7"/>
  <c r="AC157" i="7"/>
  <c r="Y157" i="7"/>
  <c r="U157" i="7"/>
  <c r="Q157" i="7"/>
  <c r="M157" i="7"/>
  <c r="I157" i="7"/>
  <c r="E157" i="7"/>
  <c r="AP158" i="7"/>
  <c r="AL158" i="7"/>
  <c r="AH158" i="7"/>
  <c r="AD158" i="7"/>
  <c r="Z158" i="7"/>
  <c r="V158" i="7"/>
  <c r="R158" i="7"/>
  <c r="N158" i="7"/>
  <c r="J158" i="7"/>
  <c r="F158" i="7"/>
  <c r="B158" i="7"/>
  <c r="AM157" i="7"/>
  <c r="AI157" i="7"/>
  <c r="AE157" i="7"/>
  <c r="AA157" i="7"/>
  <c r="W157" i="7"/>
  <c r="S157" i="7"/>
  <c r="O157" i="7"/>
  <c r="K157" i="7"/>
  <c r="G157" i="7"/>
  <c r="AG59" i="7"/>
  <c r="Y59" i="7"/>
  <c r="P59" i="7"/>
  <c r="AF59" i="7"/>
  <c r="M59" i="7"/>
  <c r="AO59" i="7"/>
  <c r="U59" i="7"/>
  <c r="AK59" i="7"/>
  <c r="X59" i="7"/>
  <c r="I59" i="7"/>
  <c r="D613" i="7"/>
  <c r="D580" i="7"/>
  <c r="AN59" i="7"/>
  <c r="AC59" i="7"/>
  <c r="Q59" i="7"/>
  <c r="D617" i="7"/>
  <c r="D586" i="7"/>
  <c r="D625" i="7"/>
  <c r="D621" i="7"/>
  <c r="D146" i="7"/>
  <c r="B59" i="7"/>
  <c r="L59" i="7"/>
  <c r="T59" i="7"/>
  <c r="AB59" i="7"/>
  <c r="AJ59" i="7"/>
  <c r="H59" i="7"/>
  <c r="D59" i="7"/>
  <c r="AM59" i="7"/>
  <c r="AI59" i="7"/>
  <c r="AE59" i="7"/>
  <c r="AA59" i="7"/>
  <c r="W59" i="7"/>
  <c r="S59" i="7"/>
  <c r="O59" i="7"/>
  <c r="K59" i="7"/>
  <c r="G59" i="7"/>
  <c r="C59" i="7"/>
  <c r="AP59" i="7"/>
  <c r="AL59" i="7"/>
  <c r="AH59" i="7"/>
  <c r="AD59" i="7"/>
  <c r="Z59" i="7"/>
  <c r="V59" i="7"/>
  <c r="R59" i="7"/>
  <c r="N59" i="7"/>
  <c r="J59" i="7"/>
  <c r="F59" i="7"/>
  <c r="AA58" i="7"/>
  <c r="AP55" i="7"/>
  <c r="Z55" i="7"/>
  <c r="J55" i="7"/>
  <c r="AI54" i="7"/>
  <c r="S54" i="7"/>
  <c r="AM58" i="7"/>
  <c r="W58" i="7"/>
  <c r="AP49" i="7"/>
  <c r="AL55" i="7"/>
  <c r="V55" i="7"/>
  <c r="F55" i="7"/>
  <c r="AE54" i="7"/>
  <c r="O54" i="7"/>
  <c r="AI58" i="7"/>
  <c r="S58" i="7"/>
  <c r="AD55" i="7"/>
  <c r="N55" i="7"/>
  <c r="AM54" i="7"/>
  <c r="W54" i="7"/>
  <c r="J49" i="7"/>
  <c r="AH55" i="7"/>
  <c r="R55" i="7"/>
  <c r="B55" i="7"/>
  <c r="AA54" i="7"/>
  <c r="K54" i="7"/>
  <c r="AE58" i="7"/>
  <c r="O58" i="7"/>
  <c r="AP58" i="7"/>
  <c r="AL58" i="7"/>
  <c r="AH58" i="7"/>
  <c r="AD58" i="7"/>
  <c r="Z58" i="7"/>
  <c r="V58" i="7"/>
  <c r="R58" i="7"/>
  <c r="N58" i="7"/>
  <c r="J58" i="7"/>
  <c r="F58" i="7"/>
  <c r="B58" i="7"/>
  <c r="AM57" i="7"/>
  <c r="AI57" i="7"/>
  <c r="AE57" i="7"/>
  <c r="AA57" i="7"/>
  <c r="W57" i="7"/>
  <c r="S57" i="7"/>
  <c r="O57" i="7"/>
  <c r="K57" i="7"/>
  <c r="G57" i="7"/>
  <c r="C57" i="7"/>
  <c r="AN56" i="7"/>
  <c r="AJ56" i="7"/>
  <c r="AF56" i="7"/>
  <c r="AB56" i="7"/>
  <c r="X56" i="7"/>
  <c r="T56" i="7"/>
  <c r="P56" i="7"/>
  <c r="L56" i="7"/>
  <c r="H56" i="7"/>
  <c r="D56" i="7"/>
  <c r="K58" i="7"/>
  <c r="G58" i="7"/>
  <c r="C58" i="7"/>
  <c r="AN57" i="7"/>
  <c r="AJ57" i="7"/>
  <c r="AF57" i="7"/>
  <c r="AB57" i="7"/>
  <c r="X57" i="7"/>
  <c r="T57" i="7"/>
  <c r="P57" i="7"/>
  <c r="L57" i="7"/>
  <c r="H57" i="7"/>
  <c r="D57" i="7"/>
  <c r="AO56" i="7"/>
  <c r="AK56" i="7"/>
  <c r="AG56" i="7"/>
  <c r="AC56" i="7"/>
  <c r="Y56" i="7"/>
  <c r="U56" i="7"/>
  <c r="Q56" i="7"/>
  <c r="M56" i="7"/>
  <c r="I56" i="7"/>
  <c r="E56" i="7"/>
  <c r="AO58" i="7"/>
  <c r="AK58" i="7"/>
  <c r="AG58" i="7"/>
  <c r="AC58" i="7"/>
  <c r="Y58" i="7"/>
  <c r="U58" i="7"/>
  <c r="Q58" i="7"/>
  <c r="M58" i="7"/>
  <c r="I58" i="7"/>
  <c r="E58" i="7"/>
  <c r="AP57" i="7"/>
  <c r="AL57" i="7"/>
  <c r="AH57" i="7"/>
  <c r="AD57" i="7"/>
  <c r="Z57" i="7"/>
  <c r="V57" i="7"/>
  <c r="R57" i="7"/>
  <c r="N57" i="7"/>
  <c r="J57" i="7"/>
  <c r="F57" i="7"/>
  <c r="B57" i="7"/>
  <c r="AM56" i="7"/>
  <c r="AI56" i="7"/>
  <c r="AE56" i="7"/>
  <c r="AA56" i="7"/>
  <c r="W56" i="7"/>
  <c r="S56" i="7"/>
  <c r="O56" i="7"/>
  <c r="K56" i="7"/>
  <c r="G56" i="7"/>
  <c r="C56" i="7"/>
  <c r="AN58" i="7"/>
  <c r="AJ58" i="7"/>
  <c r="AF58" i="7"/>
  <c r="AB58" i="7"/>
  <c r="X58" i="7"/>
  <c r="T58" i="7"/>
  <c r="P58" i="7"/>
  <c r="L58" i="7"/>
  <c r="H58" i="7"/>
  <c r="D58" i="7"/>
  <c r="AO57" i="7"/>
  <c r="AK57" i="7"/>
  <c r="AG57" i="7"/>
  <c r="AC57" i="7"/>
  <c r="Y57" i="7"/>
  <c r="U57" i="7"/>
  <c r="Q57" i="7"/>
  <c r="M57" i="7"/>
  <c r="I57" i="7"/>
  <c r="E57" i="7"/>
  <c r="AP56" i="7"/>
  <c r="AL56" i="7"/>
  <c r="AH56" i="7"/>
  <c r="AD56" i="7"/>
  <c r="Z56" i="7"/>
  <c r="V56" i="7"/>
  <c r="R56" i="7"/>
  <c r="N56" i="7"/>
  <c r="J56" i="7"/>
  <c r="F56" i="7"/>
  <c r="G54" i="7"/>
  <c r="AN53" i="7"/>
  <c r="AB53" i="7"/>
  <c r="T53" i="7"/>
  <c r="D53" i="7"/>
  <c r="Y52" i="7"/>
  <c r="AK55" i="7"/>
  <c r="AC55" i="7"/>
  <c r="U55" i="7"/>
  <c r="M55" i="7"/>
  <c r="E55" i="7"/>
  <c r="AH54" i="7"/>
  <c r="Z54" i="7"/>
  <c r="R54" i="7"/>
  <c r="J54" i="7"/>
  <c r="B54" i="7"/>
  <c r="AI53" i="7"/>
  <c r="AA53" i="7"/>
  <c r="S53" i="7"/>
  <c r="K53" i="7"/>
  <c r="C53" i="7"/>
  <c r="AF52" i="7"/>
  <c r="T52" i="7"/>
  <c r="H52" i="7"/>
  <c r="D52" i="7"/>
  <c r="AK51" i="7"/>
  <c r="AC51" i="7"/>
  <c r="U51" i="7"/>
  <c r="M51" i="7"/>
  <c r="E51" i="7"/>
  <c r="AN55" i="7"/>
  <c r="AJ55" i="7"/>
  <c r="AF55" i="7"/>
  <c r="AB55" i="7"/>
  <c r="X55" i="7"/>
  <c r="T55" i="7"/>
  <c r="P55" i="7"/>
  <c r="L55" i="7"/>
  <c r="H55" i="7"/>
  <c r="D55" i="7"/>
  <c r="AO54" i="7"/>
  <c r="AK54" i="7"/>
  <c r="AG54" i="7"/>
  <c r="AC54" i="7"/>
  <c r="Y54" i="7"/>
  <c r="U54" i="7"/>
  <c r="Q54" i="7"/>
  <c r="M54" i="7"/>
  <c r="I54" i="7"/>
  <c r="E54" i="7"/>
  <c r="AP53" i="7"/>
  <c r="AL53" i="7"/>
  <c r="AH53" i="7"/>
  <c r="AD53" i="7"/>
  <c r="Z53" i="7"/>
  <c r="V53" i="7"/>
  <c r="R53" i="7"/>
  <c r="N53" i="7"/>
  <c r="J53" i="7"/>
  <c r="F53" i="7"/>
  <c r="B53" i="7"/>
  <c r="AM52" i="7"/>
  <c r="AI52" i="7"/>
  <c r="AE52" i="7"/>
  <c r="AA52" i="7"/>
  <c r="W52" i="7"/>
  <c r="S52" i="7"/>
  <c r="O52" i="7"/>
  <c r="K52" i="7"/>
  <c r="G52" i="7"/>
  <c r="C52" i="7"/>
  <c r="AN51" i="7"/>
  <c r="AJ51" i="7"/>
  <c r="AF51" i="7"/>
  <c r="AB51" i="7"/>
  <c r="X51" i="7"/>
  <c r="T51" i="7"/>
  <c r="P51" i="7"/>
  <c r="L51" i="7"/>
  <c r="H51" i="7"/>
  <c r="D51" i="7"/>
  <c r="C54" i="7"/>
  <c r="AF53" i="7"/>
  <c r="X53" i="7"/>
  <c r="P53" i="7"/>
  <c r="H53" i="7"/>
  <c r="AO52" i="7"/>
  <c r="U52" i="7"/>
  <c r="AO55" i="7"/>
  <c r="AG55" i="7"/>
  <c r="Y55" i="7"/>
  <c r="Q55" i="7"/>
  <c r="I55" i="7"/>
  <c r="AP54" i="7"/>
  <c r="AL54" i="7"/>
  <c r="AD54" i="7"/>
  <c r="V54" i="7"/>
  <c r="N54" i="7"/>
  <c r="F54" i="7"/>
  <c r="AM53" i="7"/>
  <c r="AE53" i="7"/>
  <c r="W53" i="7"/>
  <c r="O53" i="7"/>
  <c r="G53" i="7"/>
  <c r="AN52" i="7"/>
  <c r="AJ52" i="7"/>
  <c r="AB52" i="7"/>
  <c r="X52" i="7"/>
  <c r="P52" i="7"/>
  <c r="L52" i="7"/>
  <c r="AO51" i="7"/>
  <c r="AG51" i="7"/>
  <c r="Y51" i="7"/>
  <c r="Q51" i="7"/>
  <c r="I51" i="7"/>
  <c r="AM55" i="7"/>
  <c r="AI55" i="7"/>
  <c r="AE55" i="7"/>
  <c r="AA55" i="7"/>
  <c r="W55" i="7"/>
  <c r="S55" i="7"/>
  <c r="O55" i="7"/>
  <c r="K55" i="7"/>
  <c r="G55" i="7"/>
  <c r="C55" i="7"/>
  <c r="AN54" i="7"/>
  <c r="AJ54" i="7"/>
  <c r="AF54" i="7"/>
  <c r="AB54" i="7"/>
  <c r="X54" i="7"/>
  <c r="T54" i="7"/>
  <c r="P54" i="7"/>
  <c r="L54" i="7"/>
  <c r="H54" i="7"/>
  <c r="D54" i="7"/>
  <c r="AO53" i="7"/>
  <c r="AK53" i="7"/>
  <c r="AG53" i="7"/>
  <c r="AC53" i="7"/>
  <c r="Y53" i="7"/>
  <c r="U53" i="7"/>
  <c r="Q53" i="7"/>
  <c r="M53" i="7"/>
  <c r="I53" i="7"/>
  <c r="E53" i="7"/>
  <c r="AP52" i="7"/>
  <c r="AL52" i="7"/>
  <c r="AH52" i="7"/>
  <c r="AD52" i="7"/>
  <c r="Z52" i="7"/>
  <c r="V52" i="7"/>
  <c r="R52" i="7"/>
  <c r="N52" i="7"/>
  <c r="J52" i="7"/>
  <c r="F52" i="7"/>
  <c r="B52" i="7"/>
  <c r="AM51" i="7"/>
  <c r="AI51" i="7"/>
  <c r="AE51" i="7"/>
  <c r="AA51" i="7"/>
  <c r="W51" i="7"/>
  <c r="S51" i="7"/>
  <c r="O51" i="7"/>
  <c r="K51" i="7"/>
  <c r="G51" i="7"/>
  <c r="C51" i="7"/>
  <c r="AJ53" i="7"/>
  <c r="L53" i="7"/>
  <c r="AK52" i="7"/>
  <c r="AG52" i="7"/>
  <c r="AC52" i="7"/>
  <c r="Q52" i="7"/>
  <c r="M52" i="7"/>
  <c r="I52" i="7"/>
  <c r="E52" i="7"/>
  <c r="AP51" i="7"/>
  <c r="AL51" i="7"/>
  <c r="AH51" i="7"/>
  <c r="AD51" i="7"/>
  <c r="Z51" i="7"/>
  <c r="V51" i="7"/>
  <c r="R51" i="7"/>
  <c r="N51" i="7"/>
  <c r="J51" i="7"/>
  <c r="F51" i="7"/>
  <c r="AM48" i="7"/>
  <c r="Z49" i="7"/>
  <c r="AE48" i="7"/>
  <c r="V49" i="7"/>
  <c r="W48" i="7"/>
  <c r="AD49" i="7"/>
  <c r="F49" i="7"/>
  <c r="S48" i="7"/>
  <c r="AL49" i="7"/>
  <c r="N49" i="7"/>
  <c r="AI48" i="7"/>
  <c r="O48" i="7"/>
  <c r="AH49" i="7"/>
  <c r="R49" i="7"/>
  <c r="B49" i="7"/>
  <c r="AA48" i="7"/>
  <c r="K48" i="7"/>
  <c r="G48" i="7"/>
  <c r="AN47" i="7"/>
  <c r="AF47" i="7"/>
  <c r="AB47" i="7"/>
  <c r="T47" i="7"/>
  <c r="P47" i="7"/>
  <c r="L47" i="7"/>
  <c r="H47" i="7"/>
  <c r="D47" i="7"/>
  <c r="AO46" i="7"/>
  <c r="AK46" i="7"/>
  <c r="AG46" i="7"/>
  <c r="AC46" i="7"/>
  <c r="Y46" i="7"/>
  <c r="U46" i="7"/>
  <c r="Q46" i="7"/>
  <c r="M46" i="7"/>
  <c r="I46" i="7"/>
  <c r="E46" i="7"/>
  <c r="AO49" i="7"/>
  <c r="AK49" i="7"/>
  <c r="AG49" i="7"/>
  <c r="AC49" i="7"/>
  <c r="Y49" i="7"/>
  <c r="U49" i="7"/>
  <c r="Q49" i="7"/>
  <c r="M49" i="7"/>
  <c r="I49" i="7"/>
  <c r="E49" i="7"/>
  <c r="AP48" i="7"/>
  <c r="AL48" i="7"/>
  <c r="AH48" i="7"/>
  <c r="AD48" i="7"/>
  <c r="Z48" i="7"/>
  <c r="V48" i="7"/>
  <c r="R48" i="7"/>
  <c r="N48" i="7"/>
  <c r="J48" i="7"/>
  <c r="F48" i="7"/>
  <c r="B48" i="7"/>
  <c r="AM47" i="7"/>
  <c r="AI47" i="7"/>
  <c r="AE47" i="7"/>
  <c r="AA47" i="7"/>
  <c r="W47" i="7"/>
  <c r="S47" i="7"/>
  <c r="O47" i="7"/>
  <c r="K47" i="7"/>
  <c r="G47" i="7"/>
  <c r="C47" i="7"/>
  <c r="AN46" i="7"/>
  <c r="AJ46" i="7"/>
  <c r="AF46" i="7"/>
  <c r="AB46" i="7"/>
  <c r="X46" i="7"/>
  <c r="T46" i="7"/>
  <c r="P46" i="7"/>
  <c r="L46" i="7"/>
  <c r="H46" i="7"/>
  <c r="D46" i="7"/>
  <c r="C48" i="7"/>
  <c r="AJ47" i="7"/>
  <c r="X47" i="7"/>
  <c r="AN49" i="7"/>
  <c r="AJ49" i="7"/>
  <c r="AF49" i="7"/>
  <c r="AB49" i="7"/>
  <c r="X49" i="7"/>
  <c r="T49" i="7"/>
  <c r="P49" i="7"/>
  <c r="L49" i="7"/>
  <c r="H49" i="7"/>
  <c r="D49" i="7"/>
  <c r="AO48" i="7"/>
  <c r="AK48" i="7"/>
  <c r="AG48" i="7"/>
  <c r="AC48" i="7"/>
  <c r="Y48" i="7"/>
  <c r="U48" i="7"/>
  <c r="Q48" i="7"/>
  <c r="M48" i="7"/>
  <c r="I48" i="7"/>
  <c r="E48" i="7"/>
  <c r="AP47" i="7"/>
  <c r="AL47" i="7"/>
  <c r="AH47" i="7"/>
  <c r="AD47" i="7"/>
  <c r="Z47" i="7"/>
  <c r="V47" i="7"/>
  <c r="R47" i="7"/>
  <c r="N47" i="7"/>
  <c r="J47" i="7"/>
  <c r="F47" i="7"/>
  <c r="B47" i="7"/>
  <c r="AM46" i="7"/>
  <c r="AI46" i="7"/>
  <c r="AE46" i="7"/>
  <c r="AA46" i="7"/>
  <c r="W46" i="7"/>
  <c r="S46" i="7"/>
  <c r="O46" i="7"/>
  <c r="K46" i="7"/>
  <c r="G46" i="7"/>
  <c r="C46" i="7"/>
  <c r="AM49" i="7"/>
  <c r="AI49" i="7"/>
  <c r="AE49" i="7"/>
  <c r="AA49" i="7"/>
  <c r="W49" i="7"/>
  <c r="S49" i="7"/>
  <c r="O49" i="7"/>
  <c r="K49" i="7"/>
  <c r="G49" i="7"/>
  <c r="C49" i="7"/>
  <c r="AN48" i="7"/>
  <c r="AJ48" i="7"/>
  <c r="AF48" i="7"/>
  <c r="AB48" i="7"/>
  <c r="X48" i="7"/>
  <c r="T48" i="7"/>
  <c r="P48" i="7"/>
  <c r="L48" i="7"/>
  <c r="H48" i="7"/>
  <c r="D48" i="7"/>
  <c r="AO47" i="7"/>
  <c r="AK47" i="7"/>
  <c r="AG47" i="7"/>
  <c r="AC47" i="7"/>
  <c r="Y47" i="7"/>
  <c r="U47" i="7"/>
  <c r="Q47" i="7"/>
  <c r="M47" i="7"/>
  <c r="I47" i="7"/>
  <c r="E47" i="7"/>
  <c r="AP46" i="7"/>
  <c r="AL46" i="7"/>
  <c r="AH46" i="7"/>
  <c r="AD46" i="7"/>
  <c r="Z46" i="7"/>
  <c r="V46" i="7"/>
  <c r="R46" i="7"/>
  <c r="N46" i="7"/>
  <c r="J46" i="7"/>
  <c r="F46" i="7"/>
  <c r="M16" i="7"/>
  <c r="AM16" i="7"/>
  <c r="AH16" i="7"/>
  <c r="R16" i="7"/>
  <c r="AN17" i="7"/>
  <c r="AM674" i="7" s="1"/>
  <c r="AG17" i="7"/>
  <c r="AF674" i="7" s="1"/>
  <c r="Y17" i="7"/>
  <c r="X674" i="7" s="1"/>
  <c r="M17" i="7"/>
  <c r="L674" i="7" s="1"/>
  <c r="D17" i="7"/>
  <c r="C674" i="7" s="1"/>
  <c r="AP17" i="7"/>
  <c r="AO674" i="7" s="1"/>
  <c r="AH17" i="7"/>
  <c r="AG674" i="7" s="1"/>
  <c r="AB17" i="7"/>
  <c r="AA674" i="7" s="1"/>
  <c r="Q17" i="7"/>
  <c r="P674" i="7" s="1"/>
  <c r="E17" i="7"/>
  <c r="D674" i="7" s="1"/>
  <c r="AL17" i="7"/>
  <c r="AK674" i="7" s="1"/>
  <c r="AF17" i="7"/>
  <c r="AE674" i="7" s="1"/>
  <c r="U17" i="7"/>
  <c r="T674" i="7" s="1"/>
  <c r="L17" i="7"/>
  <c r="K674" i="7" s="1"/>
  <c r="AK17" i="7"/>
  <c r="AJ674" i="7" s="1"/>
  <c r="AC17" i="7"/>
  <c r="AB674" i="7" s="1"/>
  <c r="T17" i="7"/>
  <c r="S674" i="7" s="1"/>
  <c r="I17" i="7"/>
  <c r="H674" i="7" s="1"/>
  <c r="AC16" i="7"/>
  <c r="G16" i="7"/>
  <c r="W16" i="7"/>
  <c r="B16" i="7"/>
  <c r="AP16" i="7"/>
  <c r="AK16" i="7"/>
  <c r="AE16" i="7"/>
  <c r="Z16" i="7"/>
  <c r="U16" i="7"/>
  <c r="O16" i="7"/>
  <c r="J16" i="7"/>
  <c r="E16" i="7"/>
  <c r="AL16" i="7"/>
  <c r="AG16" i="7"/>
  <c r="AA16" i="7"/>
  <c r="V16" i="7"/>
  <c r="Q16" i="7"/>
  <c r="K16" i="7"/>
  <c r="F16" i="7"/>
  <c r="AO16" i="7"/>
  <c r="AI16" i="7"/>
  <c r="AD16" i="7"/>
  <c r="Y16" i="7"/>
  <c r="S16" i="7"/>
  <c r="N16" i="7"/>
  <c r="I16" i="7"/>
  <c r="C16" i="7"/>
  <c r="AO17" i="7"/>
  <c r="AN674" i="7" s="1"/>
  <c r="AJ17" i="7"/>
  <c r="AI674" i="7" s="1"/>
  <c r="AD17" i="7"/>
  <c r="AC674" i="7" s="1"/>
  <c r="X17" i="7"/>
  <c r="W674" i="7" s="1"/>
  <c r="P17" i="7"/>
  <c r="O674" i="7" s="1"/>
  <c r="H17" i="7"/>
  <c r="G674" i="7" s="1"/>
  <c r="AM17" i="7"/>
  <c r="AL674" i="7" s="1"/>
  <c r="AI17" i="7"/>
  <c r="AH674" i="7" s="1"/>
  <c r="AE17" i="7"/>
  <c r="AD674" i="7" s="1"/>
  <c r="AA17" i="7"/>
  <c r="Z674" i="7" s="1"/>
  <c r="W17" i="7"/>
  <c r="V674" i="7" s="1"/>
  <c r="S17" i="7"/>
  <c r="R674" i="7" s="1"/>
  <c r="O17" i="7"/>
  <c r="N674" i="7" s="1"/>
  <c r="K17" i="7"/>
  <c r="J674" i="7" s="1"/>
  <c r="G17" i="7"/>
  <c r="F674" i="7" s="1"/>
  <c r="C17" i="7"/>
  <c r="B674" i="7" s="1"/>
  <c r="Z17" i="7"/>
  <c r="Y674" i="7" s="1"/>
  <c r="V17" i="7"/>
  <c r="U674" i="7" s="1"/>
  <c r="R17" i="7"/>
  <c r="Q674" i="7" s="1"/>
  <c r="N17" i="7"/>
  <c r="M674" i="7" s="1"/>
  <c r="J17" i="7"/>
  <c r="I674" i="7" s="1"/>
  <c r="F17" i="7"/>
  <c r="E674" i="7" s="1"/>
  <c r="AN16" i="7"/>
  <c r="AJ16" i="7"/>
  <c r="AF16" i="7"/>
  <c r="AB16" i="7"/>
  <c r="X16" i="7"/>
  <c r="T16" i="7"/>
  <c r="P16" i="7"/>
  <c r="L16" i="7"/>
  <c r="H16" i="7"/>
  <c r="AO6" i="7"/>
  <c r="Z6" i="7"/>
  <c r="M6" i="7"/>
  <c r="AM5" i="7"/>
  <c r="K5" i="7"/>
  <c r="AN6" i="7"/>
  <c r="Y6" i="7"/>
  <c r="J6" i="7"/>
  <c r="AG5" i="7"/>
  <c r="C5" i="7"/>
  <c r="AH6" i="7"/>
  <c r="T6" i="7"/>
  <c r="E6" i="7"/>
  <c r="Y5" i="7"/>
  <c r="AF6" i="7"/>
  <c r="R6" i="7"/>
  <c r="D6" i="7"/>
  <c r="D7" i="7" s="1"/>
  <c r="R5" i="7"/>
  <c r="AL5" i="7"/>
  <c r="AD5" i="7"/>
  <c r="W5" i="7"/>
  <c r="Q5" i="7"/>
  <c r="I5" i="7"/>
  <c r="B5" i="7"/>
  <c r="AK6" i="7"/>
  <c r="AD6" i="7"/>
  <c r="X6" i="7"/>
  <c r="P6" i="7"/>
  <c r="I6" i="7"/>
  <c r="B6" i="7"/>
  <c r="AI5" i="7"/>
  <c r="AC5" i="7"/>
  <c r="V5" i="7"/>
  <c r="N5" i="7"/>
  <c r="G5" i="7"/>
  <c r="AP6" i="7"/>
  <c r="AJ6" i="7"/>
  <c r="AC6" i="7"/>
  <c r="U6" i="7"/>
  <c r="N6" i="7"/>
  <c r="H6" i="7"/>
  <c r="AO5" i="7"/>
  <c r="AH5" i="7"/>
  <c r="AA5" i="7"/>
  <c r="S5" i="7"/>
  <c r="M5" i="7"/>
  <c r="F5" i="7"/>
  <c r="AL6" i="7"/>
  <c r="AG6" i="7"/>
  <c r="AB6" i="7"/>
  <c r="V6" i="7"/>
  <c r="Q6" i="7"/>
  <c r="L6" i="7"/>
  <c r="F6" i="7"/>
  <c r="AP5" i="7"/>
  <c r="AK5" i="7"/>
  <c r="AE5" i="7"/>
  <c r="Z5" i="7"/>
  <c r="U5" i="7"/>
  <c r="O5" i="7"/>
  <c r="J5" i="7"/>
  <c r="E5" i="7"/>
  <c r="AM10" i="7"/>
  <c r="AE10" i="7"/>
  <c r="W10" i="7"/>
  <c r="O10" i="7"/>
  <c r="C10" i="7"/>
  <c r="AF9" i="7"/>
  <c r="T9" i="7"/>
  <c r="L9" i="7"/>
  <c r="D9" i="7"/>
  <c r="AK8" i="7"/>
  <c r="AC8" i="7"/>
  <c r="U8" i="7"/>
  <c r="M8" i="7"/>
  <c r="I8" i="7"/>
  <c r="AP10" i="7"/>
  <c r="AH10" i="7"/>
  <c r="Z10" i="7"/>
  <c r="R10" i="7"/>
  <c r="N10" i="7"/>
  <c r="J10" i="7"/>
  <c r="F10" i="7"/>
  <c r="B10" i="7"/>
  <c r="AM9" i="7"/>
  <c r="AI9" i="7"/>
  <c r="AE9" i="7"/>
  <c r="AA9" i="7"/>
  <c r="W9" i="7"/>
  <c r="S9" i="7"/>
  <c r="O9" i="7"/>
  <c r="K9" i="7"/>
  <c r="G9" i="7"/>
  <c r="C9" i="7"/>
  <c r="AN8" i="7"/>
  <c r="AJ8" i="7"/>
  <c r="AF8" i="7"/>
  <c r="AB8" i="7"/>
  <c r="X8" i="7"/>
  <c r="T8" i="7"/>
  <c r="P8" i="7"/>
  <c r="L8" i="7"/>
  <c r="H8" i="7"/>
  <c r="D8" i="7"/>
  <c r="D41" i="7" s="1"/>
  <c r="AO10" i="7"/>
  <c r="AK10" i="7"/>
  <c r="AG10" i="7"/>
  <c r="AC10" i="7"/>
  <c r="Y10" i="7"/>
  <c r="U10" i="7"/>
  <c r="Q10" i="7"/>
  <c r="M10" i="7"/>
  <c r="I10" i="7"/>
  <c r="E10" i="7"/>
  <c r="AP9" i="7"/>
  <c r="AL9" i="7"/>
  <c r="AH9" i="7"/>
  <c r="AD9" i="7"/>
  <c r="Z9" i="7"/>
  <c r="V9" i="7"/>
  <c r="R9" i="7"/>
  <c r="N9" i="7"/>
  <c r="J9" i="7"/>
  <c r="F9" i="7"/>
  <c r="B9" i="7"/>
  <c r="AM8" i="7"/>
  <c r="AI8" i="7"/>
  <c r="AI41" i="7" s="1"/>
  <c r="AE8" i="7"/>
  <c r="AA8" i="7"/>
  <c r="W8" i="7"/>
  <c r="S8" i="7"/>
  <c r="O8" i="7"/>
  <c r="O41" i="7" s="1"/>
  <c r="K8" i="7"/>
  <c r="K41" i="7" s="1"/>
  <c r="G8" i="7"/>
  <c r="C8" i="7"/>
  <c r="AI10" i="7"/>
  <c r="AA10" i="7"/>
  <c r="S10" i="7"/>
  <c r="K10" i="7"/>
  <c r="G10" i="7"/>
  <c r="AN9" i="7"/>
  <c r="AJ9" i="7"/>
  <c r="AB9" i="7"/>
  <c r="X9" i="7"/>
  <c r="P9" i="7"/>
  <c r="H9" i="7"/>
  <c r="AO8" i="7"/>
  <c r="AG8" i="7"/>
  <c r="Y8" i="7"/>
  <c r="Q8" i="7"/>
  <c r="Q41" i="7" s="1"/>
  <c r="E8" i="7"/>
  <c r="AL10" i="7"/>
  <c r="AD10" i="7"/>
  <c r="V10" i="7"/>
  <c r="AN10" i="7"/>
  <c r="AJ10" i="7"/>
  <c r="AF10" i="7"/>
  <c r="AB10" i="7"/>
  <c r="X10" i="7"/>
  <c r="T10" i="7"/>
  <c r="P10" i="7"/>
  <c r="L10" i="7"/>
  <c r="H10" i="7"/>
  <c r="D10" i="7"/>
  <c r="AO9" i="7"/>
  <c r="AK9" i="7"/>
  <c r="AG9" i="7"/>
  <c r="AC9" i="7"/>
  <c r="Y9" i="7"/>
  <c r="U9" i="7"/>
  <c r="Q9" i="7"/>
  <c r="M9" i="7"/>
  <c r="I9" i="7"/>
  <c r="E9" i="7"/>
  <c r="AP8" i="7"/>
  <c r="AP41" i="7" s="1"/>
  <c r="AL8" i="7"/>
  <c r="AH8" i="7"/>
  <c r="AD8" i="7"/>
  <c r="Z8" i="7"/>
  <c r="V8" i="7"/>
  <c r="R8" i="7"/>
  <c r="N8" i="7"/>
  <c r="N41" i="7" s="1"/>
  <c r="J8" i="7"/>
  <c r="F8" i="7"/>
  <c r="AM6" i="7"/>
  <c r="AI6" i="7"/>
  <c r="AE6" i="7"/>
  <c r="AA6" i="7"/>
  <c r="W6" i="7"/>
  <c r="S6" i="7"/>
  <c r="O6" i="7"/>
  <c r="K6" i="7"/>
  <c r="G6" i="7"/>
  <c r="C6" i="7"/>
  <c r="C7" i="7" s="1"/>
  <c r="AN5" i="7"/>
  <c r="AJ5" i="7"/>
  <c r="AF5" i="7"/>
  <c r="AB5" i="7"/>
  <c r="X5" i="7"/>
  <c r="T5" i="7"/>
  <c r="P5" i="7"/>
  <c r="L5" i="7"/>
  <c r="H5" i="7"/>
  <c r="F14" i="1"/>
  <c r="AK41" i="7" l="1"/>
  <c r="J145" i="7"/>
  <c r="AE145" i="7"/>
  <c r="H145" i="7"/>
  <c r="AJ145" i="7"/>
  <c r="AK145" i="7"/>
  <c r="AL145" i="7"/>
  <c r="AH145" i="7"/>
  <c r="N145" i="7"/>
  <c r="S145" i="7"/>
  <c r="P145" i="7"/>
  <c r="AO145" i="7"/>
  <c r="I145" i="7"/>
  <c r="E145" i="7"/>
  <c r="AP145" i="7"/>
  <c r="AG145" i="7"/>
  <c r="C145" i="7"/>
  <c r="AI145" i="7"/>
  <c r="L145" i="7"/>
  <c r="R145" i="7"/>
  <c r="G145" i="7"/>
  <c r="W145" i="7"/>
  <c r="AM145" i="7"/>
  <c r="X145" i="7"/>
  <c r="T145" i="7"/>
  <c r="U145" i="7"/>
  <c r="Q145" i="7"/>
  <c r="D145" i="7"/>
  <c r="AN145" i="7"/>
  <c r="Z145" i="7"/>
  <c r="O145" i="7"/>
  <c r="Y145" i="7"/>
  <c r="F145" i="7"/>
  <c r="V145" i="7"/>
  <c r="K145" i="7"/>
  <c r="AA145" i="7"/>
  <c r="AD145" i="7"/>
  <c r="AC145" i="7"/>
  <c r="AF145" i="7"/>
  <c r="AB145" i="7"/>
  <c r="M145" i="7"/>
  <c r="U586" i="7"/>
  <c r="U625" i="7"/>
  <c r="U617" i="7"/>
  <c r="U146" i="7"/>
  <c r="U580" i="7"/>
  <c r="U621" i="7"/>
  <c r="U613" i="7"/>
  <c r="AP146" i="7"/>
  <c r="AP586" i="7"/>
  <c r="AP580" i="7"/>
  <c r="AP625" i="7"/>
  <c r="AP621" i="7"/>
  <c r="AP617" i="7"/>
  <c r="AP613" i="7"/>
  <c r="F146" i="7"/>
  <c r="F586" i="7"/>
  <c r="F580" i="7"/>
  <c r="F625" i="7"/>
  <c r="F621" i="7"/>
  <c r="F617" i="7"/>
  <c r="F613" i="7"/>
  <c r="AH146" i="7"/>
  <c r="AH586" i="7"/>
  <c r="AH580" i="7"/>
  <c r="AH625" i="7"/>
  <c r="AH621" i="7"/>
  <c r="AH617" i="7"/>
  <c r="AH613" i="7"/>
  <c r="G15" i="7"/>
  <c r="G586" i="7"/>
  <c r="G625" i="7"/>
  <c r="G146" i="7"/>
  <c r="G580" i="7"/>
  <c r="G621" i="7"/>
  <c r="G613" i="7"/>
  <c r="G617" i="7"/>
  <c r="AI15" i="7"/>
  <c r="AI146" i="7"/>
  <c r="AI580" i="7"/>
  <c r="AI621" i="7"/>
  <c r="AI613" i="7"/>
  <c r="AI586" i="7"/>
  <c r="AI625" i="7"/>
  <c r="AI617" i="7"/>
  <c r="I15" i="7"/>
  <c r="I146" i="7"/>
  <c r="I580" i="7"/>
  <c r="I613" i="7"/>
  <c r="I586" i="7"/>
  <c r="I625" i="7"/>
  <c r="I617" i="7"/>
  <c r="I621" i="7"/>
  <c r="AL15" i="7"/>
  <c r="AL146" i="7"/>
  <c r="AL586" i="7"/>
  <c r="AL580" i="7"/>
  <c r="AL625" i="7"/>
  <c r="AL621" i="7"/>
  <c r="AL617" i="7"/>
  <c r="AL613" i="7"/>
  <c r="Q15" i="7"/>
  <c r="Q586" i="7"/>
  <c r="Q625" i="7"/>
  <c r="Q617" i="7"/>
  <c r="Q146" i="7"/>
  <c r="Q580" i="7"/>
  <c r="Q621" i="7"/>
  <c r="Q613" i="7"/>
  <c r="W15" i="7"/>
  <c r="W586" i="7"/>
  <c r="W625" i="7"/>
  <c r="W617" i="7"/>
  <c r="W146" i="7"/>
  <c r="W580" i="7"/>
  <c r="W621" i="7"/>
  <c r="W613" i="7"/>
  <c r="H15" i="7"/>
  <c r="H146" i="7"/>
  <c r="H580" i="7"/>
  <c r="H621" i="7"/>
  <c r="H613" i="7"/>
  <c r="H586" i="7"/>
  <c r="H625" i="7"/>
  <c r="H617" i="7"/>
  <c r="X146" i="7"/>
  <c r="X580" i="7"/>
  <c r="X621" i="7"/>
  <c r="X613" i="7"/>
  <c r="X586" i="7"/>
  <c r="X625" i="7"/>
  <c r="X617" i="7"/>
  <c r="AN146" i="7"/>
  <c r="AN580" i="7"/>
  <c r="AN621" i="7"/>
  <c r="AN613" i="7"/>
  <c r="AN586" i="7"/>
  <c r="AN625" i="7"/>
  <c r="AN617" i="7"/>
  <c r="L586" i="7"/>
  <c r="L625" i="7"/>
  <c r="L146" i="7"/>
  <c r="L580" i="7"/>
  <c r="L621" i="7"/>
  <c r="L613" i="7"/>
  <c r="L617" i="7"/>
  <c r="AB586" i="7"/>
  <c r="AB625" i="7"/>
  <c r="AB146" i="7"/>
  <c r="AB580" i="7"/>
  <c r="AB621" i="7"/>
  <c r="AB613" i="7"/>
  <c r="AB617" i="7"/>
  <c r="E15" i="7"/>
  <c r="E586" i="7"/>
  <c r="E625" i="7"/>
  <c r="E617" i="7"/>
  <c r="E146" i="7"/>
  <c r="E580" i="7"/>
  <c r="E621" i="7"/>
  <c r="E613" i="7"/>
  <c r="Z146" i="7"/>
  <c r="Z586" i="7"/>
  <c r="Z580" i="7"/>
  <c r="Z625" i="7"/>
  <c r="Z621" i="7"/>
  <c r="Z617" i="7"/>
  <c r="Z613" i="7"/>
  <c r="M15" i="7"/>
  <c r="M146" i="7"/>
  <c r="M580" i="7"/>
  <c r="M621" i="7"/>
  <c r="M613" i="7"/>
  <c r="M586" i="7"/>
  <c r="M625" i="7"/>
  <c r="M617" i="7"/>
  <c r="AO15" i="7"/>
  <c r="AO146" i="7"/>
  <c r="AO580" i="7"/>
  <c r="AO621" i="7"/>
  <c r="AO613" i="7"/>
  <c r="AO586" i="7"/>
  <c r="AO625" i="7"/>
  <c r="AO617" i="7"/>
  <c r="N15" i="7"/>
  <c r="N146" i="7"/>
  <c r="N586" i="7"/>
  <c r="N580" i="7"/>
  <c r="N625" i="7"/>
  <c r="N621" i="7"/>
  <c r="N617" i="7"/>
  <c r="N613" i="7"/>
  <c r="R15" i="7"/>
  <c r="R146" i="7"/>
  <c r="R586" i="7"/>
  <c r="R580" i="7"/>
  <c r="R625" i="7"/>
  <c r="R621" i="7"/>
  <c r="R617" i="7"/>
  <c r="R613" i="7"/>
  <c r="Y15" i="7"/>
  <c r="Y146" i="7"/>
  <c r="Y580" i="7"/>
  <c r="Y621" i="7"/>
  <c r="Y586" i="7"/>
  <c r="Y625" i="7"/>
  <c r="Y617" i="7"/>
  <c r="Y613" i="7"/>
  <c r="C15" i="7"/>
  <c r="C146" i="7"/>
  <c r="C580" i="7"/>
  <c r="C621" i="7"/>
  <c r="C613" i="7"/>
  <c r="C586" i="7"/>
  <c r="C625" i="7"/>
  <c r="C617" i="7"/>
  <c r="P15" i="7"/>
  <c r="P586" i="7"/>
  <c r="P625" i="7"/>
  <c r="P617" i="7"/>
  <c r="P146" i="7"/>
  <c r="P580" i="7"/>
  <c r="P621" i="7"/>
  <c r="P613" i="7"/>
  <c r="AF15" i="7"/>
  <c r="AF586" i="7"/>
  <c r="AF625" i="7"/>
  <c r="AF617" i="7"/>
  <c r="AF146" i="7"/>
  <c r="AF580" i="7"/>
  <c r="AF613" i="7"/>
  <c r="AF621" i="7"/>
  <c r="J15" i="7"/>
  <c r="J146" i="7"/>
  <c r="J586" i="7"/>
  <c r="J580" i="7"/>
  <c r="J625" i="7"/>
  <c r="J621" i="7"/>
  <c r="J617" i="7"/>
  <c r="J613" i="7"/>
  <c r="AE15" i="7"/>
  <c r="AE146" i="7"/>
  <c r="AE580" i="7"/>
  <c r="AE613" i="7"/>
  <c r="AE586" i="7"/>
  <c r="AE625" i="7"/>
  <c r="AE617" i="7"/>
  <c r="AE621" i="7"/>
  <c r="S15" i="7"/>
  <c r="S146" i="7"/>
  <c r="S580" i="7"/>
  <c r="S621" i="7"/>
  <c r="S613" i="7"/>
  <c r="S586" i="7"/>
  <c r="S625" i="7"/>
  <c r="S617" i="7"/>
  <c r="V15" i="7"/>
  <c r="V146" i="7"/>
  <c r="V586" i="7"/>
  <c r="V580" i="7"/>
  <c r="V625" i="7"/>
  <c r="V621" i="7"/>
  <c r="V617" i="7"/>
  <c r="V613" i="7"/>
  <c r="AG15" i="7"/>
  <c r="AG586" i="7"/>
  <c r="AG625" i="7"/>
  <c r="AG617" i="7"/>
  <c r="AG146" i="7"/>
  <c r="AG580" i="7"/>
  <c r="AG621" i="7"/>
  <c r="AG613" i="7"/>
  <c r="K15" i="7"/>
  <c r="K586" i="7"/>
  <c r="K625" i="7"/>
  <c r="K617" i="7"/>
  <c r="K146" i="7"/>
  <c r="K580" i="7"/>
  <c r="K621" i="7"/>
  <c r="K613" i="7"/>
  <c r="T15" i="7"/>
  <c r="T146" i="7"/>
  <c r="T580" i="7"/>
  <c r="T621" i="7"/>
  <c r="T613" i="7"/>
  <c r="T586" i="7"/>
  <c r="T625" i="7"/>
  <c r="T617" i="7"/>
  <c r="AJ15" i="7"/>
  <c r="AJ146" i="7"/>
  <c r="AJ580" i="7"/>
  <c r="AJ621" i="7"/>
  <c r="AJ586" i="7"/>
  <c r="AJ625" i="7"/>
  <c r="AJ617" i="7"/>
  <c r="AJ613" i="7"/>
  <c r="O15" i="7"/>
  <c r="O146" i="7"/>
  <c r="O580" i="7"/>
  <c r="O621" i="7"/>
  <c r="O586" i="7"/>
  <c r="O625" i="7"/>
  <c r="O617" i="7"/>
  <c r="O613" i="7"/>
  <c r="AK15" i="7"/>
  <c r="AK586" i="7"/>
  <c r="AK625" i="7"/>
  <c r="AK617" i="7"/>
  <c r="AK146" i="7"/>
  <c r="AK580" i="7"/>
  <c r="AK621" i="7"/>
  <c r="AK613" i="7"/>
  <c r="AA15" i="7"/>
  <c r="AA586" i="7"/>
  <c r="AA625" i="7"/>
  <c r="AA617" i="7"/>
  <c r="AA146" i="7"/>
  <c r="AA580" i="7"/>
  <c r="AA621" i="7"/>
  <c r="AA613" i="7"/>
  <c r="AC15" i="7"/>
  <c r="AC146" i="7"/>
  <c r="AC580" i="7"/>
  <c r="AC621" i="7"/>
  <c r="AC613" i="7"/>
  <c r="AC586" i="7"/>
  <c r="AC625" i="7"/>
  <c r="AC617" i="7"/>
  <c r="AD15" i="7"/>
  <c r="AD146" i="7"/>
  <c r="AD586" i="7"/>
  <c r="AD580" i="7"/>
  <c r="AD625" i="7"/>
  <c r="AD621" i="7"/>
  <c r="AD617" i="7"/>
  <c r="AD613" i="7"/>
  <c r="AM15" i="7"/>
  <c r="AM586" i="7"/>
  <c r="AM146" i="7"/>
  <c r="AM580" i="7"/>
  <c r="AM621" i="7"/>
  <c r="AM613" i="7"/>
  <c r="AM625" i="7"/>
  <c r="AM617" i="7"/>
  <c r="F41" i="7"/>
  <c r="AL41" i="7"/>
  <c r="I41" i="7"/>
  <c r="AH41" i="7"/>
  <c r="AA41" i="7"/>
  <c r="AC41" i="7"/>
  <c r="R41" i="7"/>
  <c r="Z41" i="7"/>
  <c r="E41" i="7"/>
  <c r="AO41" i="7"/>
  <c r="C41" i="7"/>
  <c r="M41" i="7"/>
  <c r="Y41" i="7"/>
  <c r="P41" i="7"/>
  <c r="AF41" i="7"/>
  <c r="K7" i="7"/>
  <c r="V41" i="7"/>
  <c r="AG41" i="7"/>
  <c r="AE41" i="7"/>
  <c r="T41" i="7"/>
  <c r="AJ41" i="7"/>
  <c r="X7" i="7"/>
  <c r="X15" i="7"/>
  <c r="AN7" i="7"/>
  <c r="AN15" i="7"/>
  <c r="J41" i="7"/>
  <c r="S41" i="7"/>
  <c r="H41" i="7"/>
  <c r="X41" i="7"/>
  <c r="AN41" i="7"/>
  <c r="U7" i="7"/>
  <c r="U15" i="7"/>
  <c r="AP7" i="7"/>
  <c r="AP15" i="7"/>
  <c r="F7" i="7"/>
  <c r="F15" i="7"/>
  <c r="AH7" i="7"/>
  <c r="AH15" i="7"/>
  <c r="L7" i="7"/>
  <c r="L15" i="7"/>
  <c r="AB7" i="7"/>
  <c r="AB15" i="7"/>
  <c r="AD41" i="7"/>
  <c r="G41" i="7"/>
  <c r="W41" i="7"/>
  <c r="AM41" i="7"/>
  <c r="L41" i="7"/>
  <c r="AB41" i="7"/>
  <c r="U41" i="7"/>
  <c r="Z7" i="7"/>
  <c r="Z15" i="7"/>
  <c r="V7" i="7"/>
  <c r="S7" i="7"/>
  <c r="E7" i="7"/>
  <c r="I7" i="7"/>
  <c r="H7" i="7"/>
  <c r="W7" i="7"/>
  <c r="AG7" i="7"/>
  <c r="AO7" i="7"/>
  <c r="Q7" i="7"/>
  <c r="AI7" i="7"/>
  <c r="P7" i="7"/>
  <c r="AF7" i="7"/>
  <c r="AM7" i="7"/>
  <c r="J7" i="7"/>
  <c r="M7" i="7"/>
  <c r="N7" i="7"/>
  <c r="R7" i="7"/>
  <c r="Y7" i="7"/>
  <c r="T7" i="7"/>
  <c r="AA7" i="7"/>
  <c r="G7" i="7"/>
  <c r="AJ7" i="7"/>
  <c r="AK7" i="7"/>
  <c r="AL7" i="7"/>
  <c r="AC7" i="7"/>
  <c r="B7" i="7"/>
  <c r="AD7" i="7"/>
  <c r="AE7" i="7"/>
  <c r="O7" i="7"/>
  <c r="B86" i="7"/>
  <c r="B85" i="7"/>
  <c r="B127" i="7" l="1"/>
  <c r="B83" i="7" l="1"/>
  <c r="B284" i="7" l="1" a="1"/>
  <c r="D284" i="7" s="1"/>
  <c r="B244" i="7" a="1"/>
  <c r="D244" i="7" s="1"/>
  <c r="B672" i="7"/>
  <c r="B640" i="7" s="1"/>
  <c r="B642" i="7" s="1"/>
  <c r="AL244" i="7" l="1"/>
  <c r="Q244" i="7"/>
  <c r="AG244" i="7"/>
  <c r="K244" i="7"/>
  <c r="AA244" i="7"/>
  <c r="V244" i="7"/>
  <c r="AL284" i="7"/>
  <c r="AG284" i="7"/>
  <c r="AA284" i="7"/>
  <c r="V284" i="7"/>
  <c r="Q284" i="7"/>
  <c r="K284" i="7"/>
  <c r="F284" i="7"/>
  <c r="AP244" i="7"/>
  <c r="AK244" i="7"/>
  <c r="AE244" i="7"/>
  <c r="Z244" i="7"/>
  <c r="U244" i="7"/>
  <c r="O244" i="7"/>
  <c r="J244" i="7"/>
  <c r="E244" i="7"/>
  <c r="AP284" i="7"/>
  <c r="AK284" i="7"/>
  <c r="AE284" i="7"/>
  <c r="Z284" i="7"/>
  <c r="U284" i="7"/>
  <c r="O284" i="7"/>
  <c r="J284" i="7"/>
  <c r="E284" i="7"/>
  <c r="AO244" i="7"/>
  <c r="AI244" i="7"/>
  <c r="AD244" i="7"/>
  <c r="Y244" i="7"/>
  <c r="S244" i="7"/>
  <c r="N244" i="7"/>
  <c r="I244" i="7"/>
  <c r="C244" i="7"/>
  <c r="AO284" i="7"/>
  <c r="AI284" i="7"/>
  <c r="AD284" i="7"/>
  <c r="Y284" i="7"/>
  <c r="S284" i="7"/>
  <c r="N284" i="7"/>
  <c r="I284" i="7"/>
  <c r="C284" i="7"/>
  <c r="AM244" i="7"/>
  <c r="AH244" i="7"/>
  <c r="AC244" i="7"/>
  <c r="W244" i="7"/>
  <c r="R244" i="7"/>
  <c r="M244" i="7"/>
  <c r="G244" i="7"/>
  <c r="B244" i="7"/>
  <c r="AM284" i="7"/>
  <c r="AH284" i="7"/>
  <c r="AC284" i="7"/>
  <c r="W284" i="7"/>
  <c r="R284" i="7"/>
  <c r="M284" i="7"/>
  <c r="G284" i="7"/>
  <c r="B284" i="7"/>
  <c r="F244" i="7"/>
  <c r="AN284" i="7"/>
  <c r="AJ284" i="7"/>
  <c r="AF284" i="7"/>
  <c r="AB284" i="7"/>
  <c r="X284" i="7"/>
  <c r="T284" i="7"/>
  <c r="P284" i="7"/>
  <c r="L284" i="7"/>
  <c r="H284" i="7"/>
  <c r="AN244" i="7"/>
  <c r="AJ244" i="7"/>
  <c r="AF244" i="7"/>
  <c r="AB244" i="7"/>
  <c r="X244" i="7"/>
  <c r="T244" i="7"/>
  <c r="P244" i="7"/>
  <c r="L244" i="7"/>
  <c r="H244" i="7"/>
  <c r="C85" i="1" l="1"/>
  <c r="D42" i="1"/>
  <c r="D41" i="1"/>
  <c r="D40" i="1"/>
  <c r="D39" i="1"/>
  <c r="D38" i="1"/>
  <c r="C86" i="1" l="1"/>
  <c r="C182" i="7" s="1"/>
  <c r="B84" i="7"/>
  <c r="B173" i="7" s="1"/>
  <c r="P297" i="7"/>
  <c r="P296" i="7"/>
  <c r="P295" i="7"/>
  <c r="P294" i="7"/>
  <c r="P293" i="7"/>
  <c r="P433" i="7"/>
  <c r="P432" i="7"/>
  <c r="P431" i="7"/>
  <c r="P430" i="7"/>
  <c r="P429" i="7"/>
  <c r="G433" i="7"/>
  <c r="G432" i="7"/>
  <c r="G431" i="7"/>
  <c r="G430" i="7"/>
  <c r="G429" i="7"/>
  <c r="G428" i="7"/>
  <c r="G297" i="7"/>
  <c r="G296" i="7"/>
  <c r="G295" i="7"/>
  <c r="G294" i="7"/>
  <c r="G293" i="7"/>
  <c r="G292" i="7"/>
  <c r="C158" i="1" l="1"/>
  <c r="B297" i="7" s="1"/>
  <c r="B474" i="7" l="1"/>
  <c r="B473" i="7"/>
  <c r="C466" i="7" a="1"/>
  <c r="D466" i="7" s="1"/>
  <c r="M433" i="7"/>
  <c r="M432" i="7"/>
  <c r="B433" i="7"/>
  <c r="B338" i="7"/>
  <c r="B337" i="7"/>
  <c r="C330" i="7" a="1"/>
  <c r="D330" i="7" s="1"/>
  <c r="B330" i="7"/>
  <c r="B329" i="7"/>
  <c r="M297" i="7"/>
  <c r="M296" i="7"/>
  <c r="B296" i="7"/>
  <c r="AM466" i="7" l="1"/>
  <c r="AI466" i="7"/>
  <c r="AE466" i="7"/>
  <c r="AA466" i="7"/>
  <c r="W466" i="7"/>
  <c r="S466" i="7"/>
  <c r="O466" i="7"/>
  <c r="K466" i="7"/>
  <c r="G466" i="7"/>
  <c r="C466" i="7"/>
  <c r="AP466" i="7"/>
  <c r="AL466" i="7"/>
  <c r="AH466" i="7"/>
  <c r="AD466" i="7"/>
  <c r="Z466" i="7"/>
  <c r="V466" i="7"/>
  <c r="R466" i="7"/>
  <c r="N466" i="7"/>
  <c r="J466" i="7"/>
  <c r="F466" i="7"/>
  <c r="AO466" i="7"/>
  <c r="AK466" i="7"/>
  <c r="AG466" i="7"/>
  <c r="AC466" i="7"/>
  <c r="Y466" i="7"/>
  <c r="U466" i="7"/>
  <c r="Q466" i="7"/>
  <c r="M466" i="7"/>
  <c r="I466" i="7"/>
  <c r="E466" i="7"/>
  <c r="AN466" i="7"/>
  <c r="AJ466" i="7"/>
  <c r="AF466" i="7"/>
  <c r="AB466" i="7"/>
  <c r="X466" i="7"/>
  <c r="T466" i="7"/>
  <c r="P466" i="7"/>
  <c r="L466" i="7"/>
  <c r="H466" i="7"/>
  <c r="AO330" i="7"/>
  <c r="AK330" i="7"/>
  <c r="AG330" i="7"/>
  <c r="AC330" i="7"/>
  <c r="Y330" i="7"/>
  <c r="U330" i="7"/>
  <c r="Q330" i="7"/>
  <c r="M330" i="7"/>
  <c r="I330" i="7"/>
  <c r="E330" i="7"/>
  <c r="AM330" i="7"/>
  <c r="AI330" i="7"/>
  <c r="AE330" i="7"/>
  <c r="AA330" i="7"/>
  <c r="W330" i="7"/>
  <c r="S330" i="7"/>
  <c r="O330" i="7"/>
  <c r="K330" i="7"/>
  <c r="G330" i="7"/>
  <c r="C330" i="7"/>
  <c r="AP330" i="7"/>
  <c r="AL330" i="7"/>
  <c r="AH330" i="7"/>
  <c r="AD330" i="7"/>
  <c r="Z330" i="7"/>
  <c r="V330" i="7"/>
  <c r="R330" i="7"/>
  <c r="N330" i="7"/>
  <c r="J330" i="7"/>
  <c r="F330" i="7"/>
  <c r="AN330" i="7"/>
  <c r="AJ330" i="7"/>
  <c r="AF330" i="7"/>
  <c r="AB330" i="7"/>
  <c r="X330" i="7"/>
  <c r="T330" i="7"/>
  <c r="P330" i="7"/>
  <c r="L330" i="7"/>
  <c r="H330" i="7"/>
  <c r="C44" i="7" a="1"/>
  <c r="E44" i="7" s="1"/>
  <c r="B466" i="7" l="1" a="1"/>
  <c r="B466" i="7" s="1"/>
  <c r="AM44" i="7"/>
  <c r="AH44" i="7"/>
  <c r="AB44" i="7"/>
  <c r="W44" i="7"/>
  <c r="R44" i="7"/>
  <c r="L44" i="7"/>
  <c r="G44" i="7"/>
  <c r="AL44" i="7"/>
  <c r="AF44" i="7"/>
  <c r="AA44" i="7"/>
  <c r="V44" i="7"/>
  <c r="P44" i="7"/>
  <c r="K44" i="7"/>
  <c r="F44" i="7"/>
  <c r="AP44" i="7"/>
  <c r="AJ44" i="7"/>
  <c r="AE44" i="7"/>
  <c r="Z44" i="7"/>
  <c r="T44" i="7"/>
  <c r="O44" i="7"/>
  <c r="J44" i="7"/>
  <c r="D44" i="7"/>
  <c r="AN44" i="7"/>
  <c r="AI44" i="7"/>
  <c r="AD44" i="7"/>
  <c r="X44" i="7"/>
  <c r="S44" i="7"/>
  <c r="N44" i="7"/>
  <c r="H44" i="7"/>
  <c r="C44" i="7"/>
  <c r="AO44" i="7"/>
  <c r="AK44" i="7"/>
  <c r="AG44" i="7"/>
  <c r="AC44" i="7"/>
  <c r="Y44" i="7"/>
  <c r="U44" i="7"/>
  <c r="Q44" i="7"/>
  <c r="M44" i="7"/>
  <c r="I44" i="7"/>
  <c r="B662" i="7" l="1" a="1"/>
  <c r="C662" i="7" s="1"/>
  <c r="B661" i="7" a="1"/>
  <c r="C661" i="7" s="1"/>
  <c r="B660" i="7" a="1"/>
  <c r="B660" i="7" s="1"/>
  <c r="AO661" i="7" l="1"/>
  <c r="AG661" i="7"/>
  <c r="Y661" i="7"/>
  <c r="Q661" i="7"/>
  <c r="AL661" i="7"/>
  <c r="AD661" i="7"/>
  <c r="V661" i="7"/>
  <c r="N661" i="7"/>
  <c r="F661" i="7"/>
  <c r="AK661" i="7"/>
  <c r="AC661" i="7"/>
  <c r="U661" i="7"/>
  <c r="M661" i="7"/>
  <c r="E661" i="7"/>
  <c r="AP661" i="7"/>
  <c r="AH661" i="7"/>
  <c r="Z661" i="7"/>
  <c r="R661" i="7"/>
  <c r="J661" i="7"/>
  <c r="B661" i="7"/>
  <c r="I661" i="7"/>
  <c r="AL662" i="7"/>
  <c r="AD662" i="7"/>
  <c r="V662" i="7"/>
  <c r="N662" i="7"/>
  <c r="F662" i="7"/>
  <c r="AK662" i="7"/>
  <c r="AC662" i="7"/>
  <c r="U662" i="7"/>
  <c r="M662" i="7"/>
  <c r="E662" i="7"/>
  <c r="AN662" i="7"/>
  <c r="AJ662" i="7"/>
  <c r="AF662" i="7"/>
  <c r="AB662" i="7"/>
  <c r="X662" i="7"/>
  <c r="T662" i="7"/>
  <c r="P662" i="7"/>
  <c r="L662" i="7"/>
  <c r="H662" i="7"/>
  <c r="D662" i="7"/>
  <c r="AP662" i="7"/>
  <c r="AH662" i="7"/>
  <c r="Z662" i="7"/>
  <c r="R662" i="7"/>
  <c r="J662" i="7"/>
  <c r="B662" i="7"/>
  <c r="C659" i="7" s="1"/>
  <c r="AO662" i="7"/>
  <c r="AG662" i="7"/>
  <c r="Y662" i="7"/>
  <c r="Q662" i="7"/>
  <c r="I662" i="7"/>
  <c r="AM662" i="7"/>
  <c r="AI662" i="7"/>
  <c r="AE662" i="7"/>
  <c r="AA662" i="7"/>
  <c r="W662" i="7"/>
  <c r="S662" i="7"/>
  <c r="O662" i="7"/>
  <c r="K662" i="7"/>
  <c r="G662" i="7"/>
  <c r="AN661" i="7"/>
  <c r="AJ661" i="7"/>
  <c r="AF661" i="7"/>
  <c r="AB661" i="7"/>
  <c r="X661" i="7"/>
  <c r="T661" i="7"/>
  <c r="P661" i="7"/>
  <c r="L661" i="7"/>
  <c r="H661" i="7"/>
  <c r="D661" i="7"/>
  <c r="AM661" i="7"/>
  <c r="AI661" i="7"/>
  <c r="AE661" i="7"/>
  <c r="AA661" i="7"/>
  <c r="W661" i="7"/>
  <c r="S661" i="7"/>
  <c r="O661" i="7"/>
  <c r="K661" i="7"/>
  <c r="G661" i="7"/>
  <c r="AN660" i="7"/>
  <c r="AF660" i="7"/>
  <c r="X660" i="7"/>
  <c r="P660" i="7"/>
  <c r="H660" i="7"/>
  <c r="AM660" i="7"/>
  <c r="AE660" i="7"/>
  <c r="AA660" i="7"/>
  <c r="W660" i="7"/>
  <c r="S660" i="7"/>
  <c r="O660" i="7"/>
  <c r="K660" i="7"/>
  <c r="G660" i="7"/>
  <c r="C660" i="7"/>
  <c r="AO660" i="7"/>
  <c r="AK660" i="7"/>
  <c r="AG660" i="7"/>
  <c r="AC660" i="7"/>
  <c r="Y660" i="7"/>
  <c r="U660" i="7"/>
  <c r="Q660" i="7"/>
  <c r="M660" i="7"/>
  <c r="I660" i="7"/>
  <c r="E660" i="7"/>
  <c r="AJ660" i="7"/>
  <c r="AB660" i="7"/>
  <c r="T660" i="7"/>
  <c r="L660" i="7"/>
  <c r="D660" i="7"/>
  <c r="AI660" i="7"/>
  <c r="AP660" i="7"/>
  <c r="AL660" i="7"/>
  <c r="AH660" i="7"/>
  <c r="AD660" i="7"/>
  <c r="Z660" i="7"/>
  <c r="V660" i="7"/>
  <c r="R660" i="7"/>
  <c r="N660" i="7"/>
  <c r="J660" i="7"/>
  <c r="F660" i="7"/>
  <c r="B95" i="7" l="1"/>
  <c r="D160" i="1" l="1"/>
  <c r="E160" i="1" l="1"/>
  <c r="F160" i="1" l="1"/>
  <c r="G160" i="1" l="1"/>
  <c r="H160" i="1" s="1"/>
  <c r="I160" i="1" l="1"/>
  <c r="J160" i="1" l="1"/>
  <c r="M427" i="7"/>
  <c r="B454" i="7"/>
  <c r="B453" i="7"/>
  <c r="B451" i="7"/>
  <c r="B315" i="7"/>
  <c r="B448" i="7"/>
  <c r="B447" i="7"/>
  <c r="B446" i="7"/>
  <c r="B445" i="7"/>
  <c r="B312" i="7"/>
  <c r="B311" i="7"/>
  <c r="B310" i="7"/>
  <c r="B318" i="7"/>
  <c r="B317" i="7"/>
  <c r="K160" i="1" l="1"/>
  <c r="F9" i="1"/>
  <c r="L160" i="1" l="1"/>
  <c r="B680" i="7"/>
  <c r="B96" i="7"/>
  <c r="M160" i="1" l="1"/>
  <c r="F10" i="1"/>
  <c r="B87" i="7"/>
  <c r="B82" i="7"/>
  <c r="N160" i="1" l="1"/>
  <c r="G97" i="1"/>
  <c r="G96" i="1"/>
  <c r="G95" i="1"/>
  <c r="G94" i="1"/>
  <c r="G93" i="1"/>
  <c r="O160" i="1" l="1"/>
  <c r="B431" i="7"/>
  <c r="B430" i="7"/>
  <c r="B295" i="7"/>
  <c r="B294" i="7"/>
  <c r="B428" i="7"/>
  <c r="B293" i="7"/>
  <c r="B427" i="7"/>
  <c r="B292" i="7"/>
  <c r="B291" i="7"/>
  <c r="B429" i="7"/>
  <c r="B432" i="7"/>
  <c r="C157" i="1"/>
  <c r="H93" i="1"/>
  <c r="I93" i="1" s="1"/>
  <c r="H95" i="1"/>
  <c r="I95" i="1" s="1"/>
  <c r="H96" i="1"/>
  <c r="I96" i="1" s="1"/>
  <c r="H97" i="1"/>
  <c r="I97" i="1" s="1"/>
  <c r="H94" i="1"/>
  <c r="I94" i="1" s="1"/>
  <c r="G98" i="1"/>
  <c r="B298" i="7" l="1"/>
  <c r="B434" i="7"/>
  <c r="P160" i="1"/>
  <c r="H98" i="1"/>
  <c r="I98" i="1"/>
  <c r="B88" i="7" s="1"/>
  <c r="C50" i="1"/>
  <c r="B161" i="7" l="1"/>
  <c r="B162" i="7" s="1"/>
  <c r="B160" i="7"/>
  <c r="B152" i="7"/>
  <c r="Q160" i="1"/>
  <c r="B332" i="7"/>
  <c r="G42" i="4"/>
  <c r="G3" i="4"/>
  <c r="R160" i="1" l="1"/>
  <c r="C604" i="7"/>
  <c r="C605" i="7"/>
  <c r="C606" i="7"/>
  <c r="C607" i="7"/>
  <c r="C597" i="7"/>
  <c r="C598" i="7"/>
  <c r="C599" i="7"/>
  <c r="C600" i="7"/>
  <c r="C271" i="7" l="1"/>
  <c r="C231" i="7"/>
  <c r="C230" i="7"/>
  <c r="C270" i="7"/>
  <c r="C273" i="7"/>
  <c r="C233" i="7"/>
  <c r="C225" i="7"/>
  <c r="C265" i="7"/>
  <c r="B309" i="7"/>
  <c r="C264" i="7"/>
  <c r="C227" i="7"/>
  <c r="C267" i="7"/>
  <c r="C226" i="7"/>
  <c r="C266" i="7"/>
  <c r="C272" i="7"/>
  <c r="C232" i="7"/>
  <c r="S160" i="1"/>
  <c r="B316" i="7"/>
  <c r="B319" i="7" s="1"/>
  <c r="E298" i="7" s="1"/>
  <c r="E297" i="7" s="1"/>
  <c r="B452" i="7"/>
  <c r="C601" i="7"/>
  <c r="C608" i="7"/>
  <c r="B90" i="7" s="1"/>
  <c r="C224" i="7"/>
  <c r="T160" i="1" l="1"/>
  <c r="B110" i="7"/>
  <c r="C274" i="7"/>
  <c r="C63" i="1"/>
  <c r="C58" i="1"/>
  <c r="C31" i="7" s="1"/>
  <c r="U160" i="1" l="1"/>
  <c r="B442" i="7"/>
  <c r="B441" i="7"/>
  <c r="B440" i="7"/>
  <c r="B439" i="7"/>
  <c r="B306" i="7"/>
  <c r="B305" i="7"/>
  <c r="B304" i="7"/>
  <c r="B303"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V160" i="1" l="1"/>
  <c r="C2" i="7"/>
  <c r="C639" i="7" l="1"/>
  <c r="C60" i="7"/>
  <c r="C645" i="7"/>
  <c r="C646" i="7" s="1"/>
  <c r="C654" i="7"/>
  <c r="C655" i="7" s="1"/>
  <c r="C652" i="7"/>
  <c r="C634" i="7" s="1"/>
  <c r="C651" i="7"/>
  <c r="C650" i="7"/>
  <c r="C632" i="7" s="1"/>
  <c r="C633" i="7"/>
  <c r="C638" i="7"/>
  <c r="C641" i="7"/>
  <c r="C61" i="7"/>
  <c r="W160" i="1"/>
  <c r="C673" i="7"/>
  <c r="C584" i="7"/>
  <c r="C578" i="7"/>
  <c r="C624" i="7"/>
  <c r="C620" i="7"/>
  <c r="C616" i="7"/>
  <c r="C612" i="7"/>
  <c r="C38" i="7"/>
  <c r="C42" i="7"/>
  <c r="C35" i="7"/>
  <c r="C748" i="7"/>
  <c r="C716" i="7"/>
  <c r="C684" i="7"/>
  <c r="C28" i="7"/>
  <c r="C62" i="7"/>
  <c r="D2" i="7"/>
  <c r="D639" i="7" l="1"/>
  <c r="D60" i="7"/>
  <c r="D645" i="7"/>
  <c r="D646" i="7" s="1"/>
  <c r="D654" i="7"/>
  <c r="D655" i="7" s="1"/>
  <c r="D652" i="7"/>
  <c r="D634" i="7" s="1"/>
  <c r="D651" i="7"/>
  <c r="D650" i="7"/>
  <c r="D633" i="7"/>
  <c r="D31" i="7"/>
  <c r="D61" i="7" s="1"/>
  <c r="C640" i="7"/>
  <c r="D641" i="7"/>
  <c r="D638" i="7"/>
  <c r="X160" i="1"/>
  <c r="D673" i="7"/>
  <c r="D624" i="7"/>
  <c r="D620" i="7"/>
  <c r="D616" i="7"/>
  <c r="D612" i="7"/>
  <c r="D584" i="7"/>
  <c r="D578" i="7"/>
  <c r="D38" i="7"/>
  <c r="D42" i="7"/>
  <c r="D35" i="7"/>
  <c r="D748" i="7"/>
  <c r="D716" i="7"/>
  <c r="D684" i="7"/>
  <c r="D28" i="7"/>
  <c r="D62" i="7"/>
  <c r="E2" i="7"/>
  <c r="E639" i="7" l="1"/>
  <c r="E60" i="7"/>
  <c r="E645" i="7"/>
  <c r="E646" i="7" s="1"/>
  <c r="E654" i="7"/>
  <c r="E655" i="7" s="1"/>
  <c r="E652" i="7"/>
  <c r="E634" i="7" s="1"/>
  <c r="E651" i="7"/>
  <c r="E650" i="7"/>
  <c r="E633" i="7"/>
  <c r="E31" i="7"/>
  <c r="E61" i="7" s="1"/>
  <c r="E641" i="7"/>
  <c r="D640" i="7"/>
  <c r="D632" i="7" s="1"/>
  <c r="E638" i="7"/>
  <c r="Y160" i="1"/>
  <c r="E673" i="7"/>
  <c r="E584" i="7"/>
  <c r="E578" i="7"/>
  <c r="E624" i="7"/>
  <c r="E620" i="7"/>
  <c r="E616" i="7"/>
  <c r="E612" i="7"/>
  <c r="E38" i="7"/>
  <c r="E42" i="7"/>
  <c r="E35" i="7"/>
  <c r="E748" i="7"/>
  <c r="E716" i="7"/>
  <c r="E684" i="7"/>
  <c r="E62" i="7"/>
  <c r="E28" i="7"/>
  <c r="F2" i="7"/>
  <c r="D106" i="1"/>
  <c r="D108" i="1"/>
  <c r="D107" i="1"/>
  <c r="F639" i="7" l="1"/>
  <c r="F60" i="7"/>
  <c r="F645" i="7"/>
  <c r="F646" i="7" s="1"/>
  <c r="F654" i="7"/>
  <c r="F655" i="7" s="1"/>
  <c r="F652" i="7"/>
  <c r="F634" i="7" s="1"/>
  <c r="F651" i="7"/>
  <c r="F650" i="7"/>
  <c r="F633" i="7"/>
  <c r="F31" i="7"/>
  <c r="F61" i="7" s="1"/>
  <c r="F641" i="7"/>
  <c r="E640" i="7"/>
  <c r="E632" i="7" s="1"/>
  <c r="F638" i="7"/>
  <c r="Z160" i="1"/>
  <c r="F673" i="7"/>
  <c r="F578" i="7"/>
  <c r="F624" i="7"/>
  <c r="F620" i="7"/>
  <c r="F616" i="7"/>
  <c r="F612" i="7"/>
  <c r="F584" i="7"/>
  <c r="F38" i="7"/>
  <c r="F42" i="7"/>
  <c r="F35" i="7"/>
  <c r="F716" i="7"/>
  <c r="F748" i="7"/>
  <c r="F684" i="7"/>
  <c r="F62" i="7"/>
  <c r="F28" i="7"/>
  <c r="G2" i="7"/>
  <c r="AP668" i="7"/>
  <c r="G639" i="7" l="1"/>
  <c r="G60" i="7"/>
  <c r="G645" i="7"/>
  <c r="G646" i="7" s="1"/>
  <c r="G654" i="7"/>
  <c r="G655" i="7" s="1"/>
  <c r="G652" i="7"/>
  <c r="G634" i="7" s="1"/>
  <c r="G651" i="7"/>
  <c r="G650" i="7"/>
  <c r="G31" i="7"/>
  <c r="G61" i="7" s="1"/>
  <c r="G633" i="7"/>
  <c r="G641" i="7"/>
  <c r="G638" i="7"/>
  <c r="F640" i="7"/>
  <c r="F632" i="7" s="1"/>
  <c r="AA160" i="1"/>
  <c r="G673" i="7"/>
  <c r="G584" i="7"/>
  <c r="G578" i="7"/>
  <c r="G616" i="7"/>
  <c r="G624" i="7"/>
  <c r="G620" i="7"/>
  <c r="G612" i="7"/>
  <c r="G38" i="7"/>
  <c r="G42" i="7"/>
  <c r="G35" i="7"/>
  <c r="G748" i="7"/>
  <c r="G716" i="7"/>
  <c r="G684" i="7"/>
  <c r="G28" i="7"/>
  <c r="G62" i="7"/>
  <c r="H2" i="7"/>
  <c r="H639" i="7" l="1"/>
  <c r="H60" i="7"/>
  <c r="H645" i="7"/>
  <c r="H646" i="7" s="1"/>
  <c r="H654" i="7"/>
  <c r="H655" i="7" s="1"/>
  <c r="H652" i="7"/>
  <c r="H634" i="7" s="1"/>
  <c r="H651" i="7"/>
  <c r="H650" i="7"/>
  <c r="G632" i="7"/>
  <c r="H31" i="7"/>
  <c r="H61" i="7" s="1"/>
  <c r="H633" i="7"/>
  <c r="H641" i="7"/>
  <c r="G640" i="7"/>
  <c r="H638" i="7"/>
  <c r="AB160" i="1"/>
  <c r="H673" i="7"/>
  <c r="H616" i="7"/>
  <c r="H584" i="7"/>
  <c r="H578" i="7"/>
  <c r="H624" i="7"/>
  <c r="H620" i="7"/>
  <c r="H612" i="7"/>
  <c r="H38" i="7"/>
  <c r="H42" i="7"/>
  <c r="H35" i="7"/>
  <c r="H748" i="7"/>
  <c r="H684" i="7"/>
  <c r="H716" i="7"/>
  <c r="H28" i="7"/>
  <c r="H62" i="7"/>
  <c r="I2" i="7"/>
  <c r="A761" i="7"/>
  <c r="A762" i="7" s="1"/>
  <c r="A763" i="7" s="1"/>
  <c r="A764" i="7" s="1"/>
  <c r="A765" i="7" s="1"/>
  <c r="A766" i="7" s="1"/>
  <c r="A767" i="7" s="1"/>
  <c r="A768" i="7" s="1"/>
  <c r="A769" i="7" s="1"/>
  <c r="A749" i="7"/>
  <c r="H749" i="7" s="1"/>
  <c r="B744" i="7"/>
  <c r="C741" i="7" s="1"/>
  <c r="A729" i="7"/>
  <c r="A730" i="7" s="1"/>
  <c r="A731" i="7" s="1"/>
  <c r="A732" i="7" s="1"/>
  <c r="A733" i="7" s="1"/>
  <c r="A734" i="7" s="1"/>
  <c r="A735" i="7" s="1"/>
  <c r="A736" i="7" s="1"/>
  <c r="A737" i="7" s="1"/>
  <c r="A717" i="7"/>
  <c r="H717" i="7" s="1"/>
  <c r="B712" i="7"/>
  <c r="C709" i="7" s="1"/>
  <c r="A697" i="7"/>
  <c r="A698" i="7" s="1"/>
  <c r="A699" i="7" s="1"/>
  <c r="A700" i="7" s="1"/>
  <c r="A701" i="7" s="1"/>
  <c r="A702" i="7" s="1"/>
  <c r="A703" i="7" s="1"/>
  <c r="A704" i="7" s="1"/>
  <c r="A705" i="7" s="1"/>
  <c r="A685" i="7"/>
  <c r="H685" i="7" s="1"/>
  <c r="C677" i="7"/>
  <c r="A623" i="7"/>
  <c r="A619" i="7"/>
  <c r="A615" i="7"/>
  <c r="A611" i="7"/>
  <c r="A607" i="7"/>
  <c r="A318" i="7" s="1"/>
  <c r="A606" i="7"/>
  <c r="A317" i="7" s="1"/>
  <c r="A605" i="7"/>
  <c r="A316" i="7" s="1"/>
  <c r="A604" i="7"/>
  <c r="A315" i="7" s="1"/>
  <c r="A600" i="7"/>
  <c r="A312" i="7" s="1"/>
  <c r="A599" i="7"/>
  <c r="A311" i="7" s="1"/>
  <c r="A598" i="7"/>
  <c r="A310" i="7" s="1"/>
  <c r="A597" i="7"/>
  <c r="A309" i="7" s="1"/>
  <c r="A596" i="7"/>
  <c r="A308" i="7" s="1"/>
  <c r="C594" i="7"/>
  <c r="A594" i="7"/>
  <c r="A306" i="7" s="1"/>
  <c r="C593" i="7"/>
  <c r="A593" i="7"/>
  <c r="A305" i="7" s="1"/>
  <c r="C592" i="7"/>
  <c r="A592" i="7"/>
  <c r="A304" i="7" s="1"/>
  <c r="C591" i="7"/>
  <c r="A591" i="7"/>
  <c r="A303" i="7" s="1"/>
  <c r="A590" i="7"/>
  <c r="A302" i="7" s="1"/>
  <c r="A550" i="7"/>
  <c r="A551" i="7" s="1"/>
  <c r="A552" i="7" s="1"/>
  <c r="A553" i="7" s="1"/>
  <c r="A554" i="7" s="1"/>
  <c r="A555" i="7" s="1"/>
  <c r="A556" i="7" s="1"/>
  <c r="A557" i="7" s="1"/>
  <c r="A558" i="7" s="1"/>
  <c r="A538" i="7"/>
  <c r="A539" i="7" s="1"/>
  <c r="A540" i="7" s="1"/>
  <c r="A541" i="7" s="1"/>
  <c r="A542" i="7" s="1"/>
  <c r="A543" i="7" s="1"/>
  <c r="A544" i="7" s="1"/>
  <c r="A545" i="7" s="1"/>
  <c r="A546" i="7" s="1"/>
  <c r="A524" i="7"/>
  <c r="A525" i="7" s="1"/>
  <c r="A526" i="7" s="1"/>
  <c r="A527" i="7" s="1"/>
  <c r="A528" i="7" s="1"/>
  <c r="A529" i="7" s="1"/>
  <c r="A530" i="7" s="1"/>
  <c r="A531" i="7" s="1"/>
  <c r="A532" i="7" s="1"/>
  <c r="A512" i="7"/>
  <c r="A513" i="7" s="1"/>
  <c r="A514" i="7" s="1"/>
  <c r="A515" i="7" s="1"/>
  <c r="A516" i="7" s="1"/>
  <c r="A517" i="7" s="1"/>
  <c r="A518" i="7" s="1"/>
  <c r="A519" i="7" s="1"/>
  <c r="A520" i="7" s="1"/>
  <c r="A498" i="7"/>
  <c r="A499" i="7" s="1"/>
  <c r="A500" i="7" s="1"/>
  <c r="A501" i="7" s="1"/>
  <c r="A502" i="7" s="1"/>
  <c r="A503" i="7" s="1"/>
  <c r="A504" i="7" s="1"/>
  <c r="A505" i="7" s="1"/>
  <c r="A506" i="7" s="1"/>
  <c r="A486" i="7"/>
  <c r="A487" i="7" s="1"/>
  <c r="A488" i="7" s="1"/>
  <c r="A489" i="7" s="1"/>
  <c r="A490" i="7" s="1"/>
  <c r="A491" i="7" s="1"/>
  <c r="A492" i="7" s="1"/>
  <c r="A493" i="7" s="1"/>
  <c r="A494" i="7" s="1"/>
  <c r="B480" i="7"/>
  <c r="B479" i="7"/>
  <c r="A456" i="7"/>
  <c r="A413" i="7"/>
  <c r="A414" i="7" s="1"/>
  <c r="A415" i="7" s="1"/>
  <c r="A416" i="7" s="1"/>
  <c r="A417" i="7" s="1"/>
  <c r="A418" i="7" s="1"/>
  <c r="A419" i="7" s="1"/>
  <c r="A420" i="7" s="1"/>
  <c r="A421" i="7" s="1"/>
  <c r="A401" i="7"/>
  <c r="A402" i="7" s="1"/>
  <c r="A403" i="7" s="1"/>
  <c r="A404" i="7" s="1"/>
  <c r="A405" i="7" s="1"/>
  <c r="A406" i="7" s="1"/>
  <c r="A407" i="7" s="1"/>
  <c r="A408" i="7" s="1"/>
  <c r="A409" i="7" s="1"/>
  <c r="A387" i="7"/>
  <c r="A388" i="7" s="1"/>
  <c r="A389" i="7" s="1"/>
  <c r="A390" i="7" s="1"/>
  <c r="A391" i="7" s="1"/>
  <c r="A392" i="7" s="1"/>
  <c r="A393" i="7" s="1"/>
  <c r="A394" i="7" s="1"/>
  <c r="A395" i="7" s="1"/>
  <c r="A375" i="7"/>
  <c r="A376" i="7" s="1"/>
  <c r="A377" i="7" s="1"/>
  <c r="A378" i="7" s="1"/>
  <c r="A379" i="7" s="1"/>
  <c r="A380" i="7" s="1"/>
  <c r="A381" i="7" s="1"/>
  <c r="A382" i="7" s="1"/>
  <c r="A383" i="7" s="1"/>
  <c r="A361" i="7"/>
  <c r="A362" i="7" s="1"/>
  <c r="A363" i="7" s="1"/>
  <c r="A364" i="7" s="1"/>
  <c r="A365" i="7" s="1"/>
  <c r="A366" i="7" s="1"/>
  <c r="A367" i="7" s="1"/>
  <c r="A368" i="7" s="1"/>
  <c r="A369" i="7" s="1"/>
  <c r="A350" i="7"/>
  <c r="A351" i="7" s="1"/>
  <c r="A352" i="7" s="1"/>
  <c r="A353" i="7" s="1"/>
  <c r="A354" i="7" s="1"/>
  <c r="A355" i="7" s="1"/>
  <c r="A356" i="7" s="1"/>
  <c r="A357" i="7" s="1"/>
  <c r="A358" i="7" s="1"/>
  <c r="B344" i="7"/>
  <c r="B343" i="7"/>
  <c r="A319" i="7"/>
  <c r="A314" i="7"/>
  <c r="A313" i="7"/>
  <c r="A307" i="7"/>
  <c r="A301" i="7"/>
  <c r="A296" i="7"/>
  <c r="A432" i="7" s="1"/>
  <c r="A295" i="7"/>
  <c r="A431" i="7" s="1"/>
  <c r="A294" i="7"/>
  <c r="A430" i="7" s="1"/>
  <c r="A293" i="7"/>
  <c r="A429" i="7" s="1"/>
  <c r="A292" i="7"/>
  <c r="A428" i="7" s="1"/>
  <c r="A291" i="7"/>
  <c r="A427" i="7" s="1"/>
  <c r="A275" i="7"/>
  <c r="A269" i="7"/>
  <c r="A263" i="7"/>
  <c r="A257" i="7"/>
  <c r="A256" i="7"/>
  <c r="A235" i="7"/>
  <c r="A229" i="7"/>
  <c r="A223" i="7"/>
  <c r="A217" i="7"/>
  <c r="A216" i="7"/>
  <c r="B134" i="7"/>
  <c r="B133" i="7"/>
  <c r="B130" i="7"/>
  <c r="B129" i="7"/>
  <c r="AP119"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B103" i="7"/>
  <c r="B102" i="7"/>
  <c r="B101" i="7"/>
  <c r="B98" i="7"/>
  <c r="B97" i="7"/>
  <c r="B78" i="7"/>
  <c r="A74" i="7"/>
  <c r="A73" i="7"/>
  <c r="A72" i="7"/>
  <c r="A71" i="7"/>
  <c r="I639" i="7" l="1"/>
  <c r="I60" i="7"/>
  <c r="I645" i="7"/>
  <c r="I646" i="7" s="1"/>
  <c r="I654" i="7"/>
  <c r="I655" i="7" s="1"/>
  <c r="I652" i="7"/>
  <c r="I634" i="7" s="1"/>
  <c r="I651" i="7"/>
  <c r="I650" i="7"/>
  <c r="I633" i="7"/>
  <c r="I31" i="7"/>
  <c r="I61" i="7" s="1"/>
  <c r="H640" i="7"/>
  <c r="H632" i="7" s="1"/>
  <c r="I641" i="7"/>
  <c r="I638" i="7"/>
  <c r="AC160" i="1"/>
  <c r="I673" i="7"/>
  <c r="I584" i="7"/>
  <c r="I578" i="7"/>
  <c r="I624" i="7"/>
  <c r="I620" i="7"/>
  <c r="I616" i="7"/>
  <c r="I612" i="7"/>
  <c r="I38" i="7"/>
  <c r="I42" i="7"/>
  <c r="I35" i="7"/>
  <c r="A750" i="7"/>
  <c r="C762" i="7" s="1"/>
  <c r="C749" i="7"/>
  <c r="C401" i="7" s="1"/>
  <c r="D749" i="7"/>
  <c r="E749" i="7"/>
  <c r="F749" i="7"/>
  <c r="G749" i="7"/>
  <c r="A686" i="7"/>
  <c r="C698" i="7" s="1"/>
  <c r="C685" i="7"/>
  <c r="D685" i="7"/>
  <c r="E685" i="7"/>
  <c r="F685" i="7"/>
  <c r="G685" i="7"/>
  <c r="A718" i="7"/>
  <c r="I718" i="7" s="1"/>
  <c r="C717" i="7"/>
  <c r="C375" i="7" s="1"/>
  <c r="D717" i="7"/>
  <c r="E717" i="7"/>
  <c r="F717" i="7"/>
  <c r="G717" i="7"/>
  <c r="I749" i="7"/>
  <c r="I748" i="7"/>
  <c r="I750" i="7"/>
  <c r="I716" i="7"/>
  <c r="I717" i="7"/>
  <c r="I684" i="7"/>
  <c r="I685" i="7"/>
  <c r="I62" i="7"/>
  <c r="I28" i="7"/>
  <c r="C258" i="7"/>
  <c r="C218" i="7"/>
  <c r="C260" i="7"/>
  <c r="C220" i="7"/>
  <c r="C259" i="7"/>
  <c r="C219" i="7"/>
  <c r="C261" i="7"/>
  <c r="C221" i="7"/>
  <c r="J2" i="7"/>
  <c r="C667" i="7"/>
  <c r="C595" i="7"/>
  <c r="B89" i="7" s="1"/>
  <c r="B91" i="7" s="1"/>
  <c r="B313" i="7"/>
  <c r="B307" i="7"/>
  <c r="B104" i="7"/>
  <c r="B443" i="7"/>
  <c r="B449" i="7"/>
  <c r="D697" i="7"/>
  <c r="D463" i="7"/>
  <c r="D329" i="7"/>
  <c r="C761" i="7"/>
  <c r="C400" i="7"/>
  <c r="C729" i="7"/>
  <c r="C697" i="7"/>
  <c r="C349" i="7"/>
  <c r="C585" i="7"/>
  <c r="C579" i="7"/>
  <c r="C464" i="7"/>
  <c r="C463" i="7"/>
  <c r="C462" i="7"/>
  <c r="C461" i="7"/>
  <c r="C460" i="7"/>
  <c r="C480" i="7"/>
  <c r="C344" i="7"/>
  <c r="C328" i="7"/>
  <c r="C327" i="7"/>
  <c r="C326" i="7"/>
  <c r="C325" i="7"/>
  <c r="C324" i="7"/>
  <c r="B135" i="7"/>
  <c r="C37" i="7"/>
  <c r="D37" i="7"/>
  <c r="B131" i="7"/>
  <c r="A461" i="7"/>
  <c r="A469" i="7" s="1"/>
  <c r="A463" i="7"/>
  <c r="A471" i="7" s="1"/>
  <c r="A465" i="7"/>
  <c r="A473" i="7" s="1"/>
  <c r="A438" i="7"/>
  <c r="A449" i="7"/>
  <c r="A450" i="7"/>
  <c r="A324" i="7"/>
  <c r="A332" i="7" s="1"/>
  <c r="A325" i="7"/>
  <c r="A333" i="7" s="1"/>
  <c r="A326" i="7"/>
  <c r="A334" i="7" s="1"/>
  <c r="A327" i="7"/>
  <c r="A335" i="7" s="1"/>
  <c r="A328" i="7"/>
  <c r="A336" i="7" s="1"/>
  <c r="A329" i="7"/>
  <c r="A337" i="7" s="1"/>
  <c r="A460" i="7"/>
  <c r="A468" i="7" s="1"/>
  <c r="A462" i="7"/>
  <c r="A470" i="7" s="1"/>
  <c r="A464" i="7"/>
  <c r="A472" i="7" s="1"/>
  <c r="A437" i="7"/>
  <c r="A443" i="7"/>
  <c r="A444" i="7"/>
  <c r="A455" i="7"/>
  <c r="J639" i="7" l="1"/>
  <c r="J60" i="7"/>
  <c r="J645" i="7"/>
  <c r="J646" i="7" s="1"/>
  <c r="J654" i="7"/>
  <c r="J655" i="7" s="1"/>
  <c r="J652" i="7"/>
  <c r="J634" i="7" s="1"/>
  <c r="J651" i="7"/>
  <c r="J650" i="7"/>
  <c r="J633" i="7"/>
  <c r="J31" i="7"/>
  <c r="J61" i="7" s="1"/>
  <c r="I640" i="7"/>
  <c r="I632" i="7" s="1"/>
  <c r="J641" i="7"/>
  <c r="J638" i="7"/>
  <c r="D434" i="7"/>
  <c r="D433" i="7" s="1"/>
  <c r="D298" i="7"/>
  <c r="B320" i="7"/>
  <c r="AD160" i="1"/>
  <c r="J673" i="7"/>
  <c r="J584" i="7"/>
  <c r="J612" i="7"/>
  <c r="J578" i="7"/>
  <c r="J624" i="7"/>
  <c r="J620" i="7"/>
  <c r="J616" i="7"/>
  <c r="J38" i="7"/>
  <c r="J42" i="7"/>
  <c r="J35" i="7"/>
  <c r="B109" i="7"/>
  <c r="I686" i="7"/>
  <c r="D730" i="7"/>
  <c r="C730" i="7"/>
  <c r="C345" i="7"/>
  <c r="A687" i="7"/>
  <c r="D699" i="7" s="1"/>
  <c r="C686" i="7"/>
  <c r="C351" i="7" s="1"/>
  <c r="D686" i="7"/>
  <c r="E686" i="7"/>
  <c r="F686" i="7"/>
  <c r="G686" i="7"/>
  <c r="H686" i="7"/>
  <c r="A719" i="7"/>
  <c r="D731" i="7" s="1"/>
  <c r="C718" i="7"/>
  <c r="C376" i="7" s="1"/>
  <c r="D718" i="7"/>
  <c r="E718" i="7"/>
  <c r="F718" i="7"/>
  <c r="G718" i="7"/>
  <c r="H718" i="7"/>
  <c r="A751" i="7"/>
  <c r="J751" i="7" s="1"/>
  <c r="C750" i="7"/>
  <c r="C402" i="7" s="1"/>
  <c r="D750" i="7"/>
  <c r="E750" i="7"/>
  <c r="F750" i="7"/>
  <c r="G750" i="7"/>
  <c r="H750" i="7"/>
  <c r="J748" i="7"/>
  <c r="J719" i="7"/>
  <c r="J718" i="7"/>
  <c r="J717" i="7"/>
  <c r="J716" i="7"/>
  <c r="J750" i="7"/>
  <c r="J749" i="7"/>
  <c r="J685" i="7"/>
  <c r="J686" i="7"/>
  <c r="J684" i="7"/>
  <c r="C222" i="7"/>
  <c r="J62" i="7"/>
  <c r="J28" i="7"/>
  <c r="K2" i="7"/>
  <c r="D579" i="7"/>
  <c r="D325" i="7"/>
  <c r="D326" i="7"/>
  <c r="D460" i="7"/>
  <c r="D464" i="7"/>
  <c r="D585" i="7"/>
  <c r="D698" i="7"/>
  <c r="D374" i="7"/>
  <c r="D401" i="7"/>
  <c r="D344" i="7"/>
  <c r="D327" i="7"/>
  <c r="D461" i="7"/>
  <c r="D465" i="7"/>
  <c r="D349" i="7"/>
  <c r="D761" i="7"/>
  <c r="D39" i="7"/>
  <c r="D324" i="7"/>
  <c r="D328" i="7"/>
  <c r="D462" i="7"/>
  <c r="D480" i="7"/>
  <c r="D350" i="7"/>
  <c r="D729" i="7"/>
  <c r="D762" i="7"/>
  <c r="D667" i="7"/>
  <c r="C262" i="7"/>
  <c r="C481" i="7"/>
  <c r="C374" i="7"/>
  <c r="C39" i="7"/>
  <c r="E761" i="7"/>
  <c r="E762" i="7"/>
  <c r="E730" i="7"/>
  <c r="E729" i="7"/>
  <c r="E697" i="7"/>
  <c r="E585" i="7"/>
  <c r="E465" i="7"/>
  <c r="E464" i="7"/>
  <c r="E463" i="7"/>
  <c r="E461" i="7"/>
  <c r="E460" i="7"/>
  <c r="E480" i="7"/>
  <c r="E329" i="7"/>
  <c r="E328" i="7"/>
  <c r="E327" i="7"/>
  <c r="E325" i="7"/>
  <c r="E324" i="7"/>
  <c r="E37" i="7"/>
  <c r="C538" i="7"/>
  <c r="C350" i="7"/>
  <c r="C485" i="7"/>
  <c r="C512" i="7"/>
  <c r="C537" i="7"/>
  <c r="D400" i="7"/>
  <c r="K639" i="7" l="1"/>
  <c r="K60" i="7"/>
  <c r="K645" i="7"/>
  <c r="K646" i="7" s="1"/>
  <c r="K654" i="7"/>
  <c r="K655" i="7" s="1"/>
  <c r="K652" i="7"/>
  <c r="K634" i="7" s="1"/>
  <c r="K651" i="7"/>
  <c r="K650" i="7"/>
  <c r="K31" i="7"/>
  <c r="K61" i="7" s="1"/>
  <c r="K633" i="7"/>
  <c r="K641" i="7"/>
  <c r="K638" i="7"/>
  <c r="J640" i="7"/>
  <c r="J632" i="7" s="1"/>
  <c r="D296" i="7"/>
  <c r="D297" i="7"/>
  <c r="AE160" i="1"/>
  <c r="K673" i="7"/>
  <c r="K584" i="7"/>
  <c r="K578" i="7"/>
  <c r="K624" i="7"/>
  <c r="K620" i="7"/>
  <c r="K616" i="7"/>
  <c r="K612" i="7"/>
  <c r="K38" i="7"/>
  <c r="K42" i="7"/>
  <c r="K35" i="7"/>
  <c r="D292" i="7"/>
  <c r="D293" i="7"/>
  <c r="D295" i="7"/>
  <c r="D291" i="7"/>
  <c r="D294" i="7"/>
  <c r="D432" i="7"/>
  <c r="D430" i="7"/>
  <c r="D427" i="7"/>
  <c r="D428" i="7"/>
  <c r="D429" i="7"/>
  <c r="D431" i="7"/>
  <c r="D511" i="7"/>
  <c r="C487" i="7"/>
  <c r="C513" i="7"/>
  <c r="D486" i="7"/>
  <c r="C539" i="7"/>
  <c r="C511" i="7"/>
  <c r="E731" i="7"/>
  <c r="E699" i="7"/>
  <c r="D351" i="7"/>
  <c r="D402" i="7"/>
  <c r="D763" i="7"/>
  <c r="J687" i="7"/>
  <c r="A752" i="7"/>
  <c r="C764" i="7" s="1"/>
  <c r="C751" i="7"/>
  <c r="D751" i="7"/>
  <c r="E751" i="7"/>
  <c r="F751" i="7"/>
  <c r="G751" i="7"/>
  <c r="H751" i="7"/>
  <c r="C763" i="7"/>
  <c r="I751" i="7"/>
  <c r="A688" i="7"/>
  <c r="F700" i="7" s="1"/>
  <c r="C687" i="7"/>
  <c r="D687" i="7"/>
  <c r="E687" i="7"/>
  <c r="F687" i="7"/>
  <c r="G687" i="7"/>
  <c r="H687" i="7"/>
  <c r="I687" i="7"/>
  <c r="C699" i="7"/>
  <c r="D376" i="7"/>
  <c r="A720" i="7"/>
  <c r="K720" i="7" s="1"/>
  <c r="C719" i="7"/>
  <c r="D719" i="7"/>
  <c r="E719" i="7"/>
  <c r="F719" i="7"/>
  <c r="G719" i="7"/>
  <c r="H719" i="7"/>
  <c r="C731" i="7"/>
  <c r="C732" i="7"/>
  <c r="I719" i="7"/>
  <c r="K751" i="7"/>
  <c r="K750" i="7"/>
  <c r="K748" i="7"/>
  <c r="K719" i="7"/>
  <c r="K749" i="7"/>
  <c r="K717" i="7"/>
  <c r="K687" i="7"/>
  <c r="K685" i="7"/>
  <c r="K718" i="7"/>
  <c r="K686" i="7"/>
  <c r="K684" i="7"/>
  <c r="K716" i="7"/>
  <c r="D345" i="7"/>
  <c r="D481" i="7"/>
  <c r="K28" i="7"/>
  <c r="K62" i="7"/>
  <c r="L2" i="7"/>
  <c r="E326" i="7"/>
  <c r="E344" i="7"/>
  <c r="E462" i="7"/>
  <c r="E579" i="7"/>
  <c r="E698" i="7"/>
  <c r="E763" i="7"/>
  <c r="E376" i="7"/>
  <c r="E349" i="7"/>
  <c r="E402" i="7"/>
  <c r="E401" i="7"/>
  <c r="D375" i="7"/>
  <c r="E350" i="7"/>
  <c r="E375" i="7"/>
  <c r="F667" i="7"/>
  <c r="E667" i="7"/>
  <c r="E400" i="7"/>
  <c r="E39" i="7"/>
  <c r="D538" i="7"/>
  <c r="D537" i="7"/>
  <c r="C486" i="7"/>
  <c r="D485" i="7"/>
  <c r="F763" i="7"/>
  <c r="F762" i="7"/>
  <c r="F402" i="7"/>
  <c r="F401" i="7"/>
  <c r="F400" i="7"/>
  <c r="F731" i="7"/>
  <c r="F730" i="7"/>
  <c r="F729" i="7"/>
  <c r="F376" i="7"/>
  <c r="F375" i="7"/>
  <c r="F374" i="7"/>
  <c r="F699" i="7"/>
  <c r="F698" i="7"/>
  <c r="F697" i="7"/>
  <c r="F350" i="7"/>
  <c r="F349" i="7"/>
  <c r="F585" i="7"/>
  <c r="F579" i="7"/>
  <c r="F480" i="7"/>
  <c r="F465" i="7"/>
  <c r="F464" i="7"/>
  <c r="F463" i="7"/>
  <c r="F462" i="7"/>
  <c r="F461" i="7"/>
  <c r="F460" i="7"/>
  <c r="F329" i="7"/>
  <c r="F328" i="7"/>
  <c r="F327" i="7"/>
  <c r="F326" i="7"/>
  <c r="F325" i="7"/>
  <c r="F324" i="7"/>
  <c r="F344" i="7"/>
  <c r="F37" i="7"/>
  <c r="E345" i="7"/>
  <c r="E481" i="7"/>
  <c r="L639" i="7" l="1"/>
  <c r="L60" i="7"/>
  <c r="L645" i="7"/>
  <c r="L646" i="7" s="1"/>
  <c r="L654" i="7"/>
  <c r="L655" i="7" s="1"/>
  <c r="L652" i="7"/>
  <c r="L634" i="7" s="1"/>
  <c r="L651" i="7"/>
  <c r="L650" i="7"/>
  <c r="K632" i="7"/>
  <c r="K640" i="7"/>
  <c r="L633" i="7"/>
  <c r="L31" i="7"/>
  <c r="L61" i="7" s="1"/>
  <c r="L641" i="7"/>
  <c r="L638" i="7"/>
  <c r="AF160" i="1"/>
  <c r="L673" i="7"/>
  <c r="L620" i="7"/>
  <c r="L612" i="7"/>
  <c r="L584" i="7"/>
  <c r="L578" i="7"/>
  <c r="L624" i="7"/>
  <c r="L616" i="7"/>
  <c r="L38" i="7"/>
  <c r="L42" i="7"/>
  <c r="L35" i="7"/>
  <c r="D513" i="7"/>
  <c r="E512" i="7"/>
  <c r="E486" i="7"/>
  <c r="D512" i="7"/>
  <c r="E538" i="7"/>
  <c r="E537" i="7"/>
  <c r="E539" i="7"/>
  <c r="D539" i="7"/>
  <c r="E485" i="7"/>
  <c r="D487" i="7"/>
  <c r="E513" i="7"/>
  <c r="F764" i="7"/>
  <c r="F732" i="7"/>
  <c r="F352" i="7"/>
  <c r="E377" i="7"/>
  <c r="F377" i="7"/>
  <c r="K688" i="7"/>
  <c r="E352" i="7"/>
  <c r="E403" i="7"/>
  <c r="C377" i="7"/>
  <c r="D377" i="7"/>
  <c r="C352" i="7"/>
  <c r="D352" i="7"/>
  <c r="A721" i="7"/>
  <c r="C733" i="7" s="1"/>
  <c r="C720" i="7"/>
  <c r="D720" i="7"/>
  <c r="E720" i="7"/>
  <c r="F720" i="7"/>
  <c r="G720" i="7"/>
  <c r="H720" i="7"/>
  <c r="I720" i="7"/>
  <c r="J720" i="7"/>
  <c r="D732" i="7"/>
  <c r="A689" i="7"/>
  <c r="E701" i="7" s="1"/>
  <c r="C688" i="7"/>
  <c r="D688" i="7"/>
  <c r="E688" i="7"/>
  <c r="F688" i="7"/>
  <c r="G688" i="7"/>
  <c r="H688" i="7"/>
  <c r="I688" i="7"/>
  <c r="C701" i="7"/>
  <c r="J688" i="7"/>
  <c r="E700" i="7"/>
  <c r="D700" i="7"/>
  <c r="E732" i="7"/>
  <c r="K752" i="7"/>
  <c r="C700" i="7"/>
  <c r="C403" i="7"/>
  <c r="D403" i="7"/>
  <c r="A753" i="7"/>
  <c r="C765" i="7" s="1"/>
  <c r="C752" i="7"/>
  <c r="D752" i="7"/>
  <c r="E752" i="7"/>
  <c r="F752" i="7"/>
  <c r="G752" i="7"/>
  <c r="H752" i="7"/>
  <c r="I752" i="7"/>
  <c r="D765" i="7"/>
  <c r="E764" i="7"/>
  <c r="J752" i="7"/>
  <c r="D764" i="7"/>
  <c r="E765" i="7"/>
  <c r="L751" i="7"/>
  <c r="L749" i="7"/>
  <c r="L752" i="7"/>
  <c r="L750" i="7"/>
  <c r="L748" i="7"/>
  <c r="L719" i="7"/>
  <c r="L717" i="7"/>
  <c r="L688" i="7"/>
  <c r="L687" i="7"/>
  <c r="L686" i="7"/>
  <c r="L685" i="7"/>
  <c r="L684" i="7"/>
  <c r="L720" i="7"/>
  <c r="L718" i="7"/>
  <c r="L716" i="7"/>
  <c r="L28" i="7"/>
  <c r="L62" i="7"/>
  <c r="M2" i="7"/>
  <c r="E351" i="7"/>
  <c r="E374" i="7"/>
  <c r="F403" i="7"/>
  <c r="F351" i="7"/>
  <c r="G667" i="7"/>
  <c r="F39" i="7"/>
  <c r="F485" i="7"/>
  <c r="F513" i="7"/>
  <c r="F537" i="7"/>
  <c r="F538" i="7"/>
  <c r="G764" i="7"/>
  <c r="G763" i="7"/>
  <c r="G762" i="7"/>
  <c r="G403" i="7"/>
  <c r="G402" i="7"/>
  <c r="G401" i="7"/>
  <c r="G400" i="7"/>
  <c r="G732" i="7"/>
  <c r="G731" i="7"/>
  <c r="G730" i="7"/>
  <c r="G729" i="7"/>
  <c r="G377" i="7"/>
  <c r="G376" i="7"/>
  <c r="G375" i="7"/>
  <c r="G374" i="7"/>
  <c r="G700" i="7"/>
  <c r="G699" i="7"/>
  <c r="G698" i="7"/>
  <c r="G697" i="7"/>
  <c r="G352" i="7"/>
  <c r="G351" i="7"/>
  <c r="G350" i="7"/>
  <c r="G349" i="7"/>
  <c r="G585" i="7"/>
  <c r="G579" i="7"/>
  <c r="G465" i="7"/>
  <c r="G464" i="7"/>
  <c r="G463" i="7"/>
  <c r="G462" i="7"/>
  <c r="G461" i="7"/>
  <c r="G460" i="7"/>
  <c r="G480" i="7"/>
  <c r="G344" i="7"/>
  <c r="G329" i="7"/>
  <c r="G328" i="7"/>
  <c r="G327" i="7"/>
  <c r="G326" i="7"/>
  <c r="G325" i="7"/>
  <c r="G324" i="7"/>
  <c r="G37" i="7"/>
  <c r="F345" i="7"/>
  <c r="F486" i="7"/>
  <c r="F511" i="7"/>
  <c r="F539" i="7"/>
  <c r="F481" i="7"/>
  <c r="F512" i="7"/>
  <c r="M639" i="7" l="1"/>
  <c r="M60" i="7"/>
  <c r="M645" i="7"/>
  <c r="M646" i="7" s="1"/>
  <c r="M654" i="7"/>
  <c r="M655" i="7" s="1"/>
  <c r="M652" i="7"/>
  <c r="M634" i="7" s="1"/>
  <c r="M651" i="7"/>
  <c r="M650" i="7"/>
  <c r="M31" i="7"/>
  <c r="M61" i="7" s="1"/>
  <c r="M633" i="7"/>
  <c r="M641" i="7"/>
  <c r="L640" i="7"/>
  <c r="L632" i="7" s="1"/>
  <c r="M638" i="7"/>
  <c r="AG160" i="1"/>
  <c r="M673" i="7"/>
  <c r="M584" i="7"/>
  <c r="M578" i="7"/>
  <c r="M624" i="7"/>
  <c r="M620" i="7"/>
  <c r="M616" i="7"/>
  <c r="M612" i="7"/>
  <c r="M38" i="7"/>
  <c r="M42" i="7"/>
  <c r="M35" i="7"/>
  <c r="E511" i="7"/>
  <c r="F514" i="7"/>
  <c r="D488" i="7"/>
  <c r="E514" i="7"/>
  <c r="C488" i="7"/>
  <c r="F488" i="7"/>
  <c r="D514" i="7"/>
  <c r="F487" i="7"/>
  <c r="C514" i="7"/>
  <c r="F540" i="7"/>
  <c r="E540" i="7"/>
  <c r="D540" i="7"/>
  <c r="E488" i="7"/>
  <c r="E487" i="7"/>
  <c r="C540" i="7"/>
  <c r="G733" i="7"/>
  <c r="E733" i="7"/>
  <c r="L721" i="7"/>
  <c r="G378" i="7"/>
  <c r="D701" i="7"/>
  <c r="G353" i="7"/>
  <c r="G701" i="7"/>
  <c r="L689" i="7"/>
  <c r="G404" i="7"/>
  <c r="D733" i="7"/>
  <c r="G765" i="7"/>
  <c r="L753" i="7"/>
  <c r="F733" i="7"/>
  <c r="C353" i="7"/>
  <c r="D353" i="7"/>
  <c r="F353" i="7"/>
  <c r="E353" i="7"/>
  <c r="D404" i="7"/>
  <c r="C404" i="7"/>
  <c r="F404" i="7"/>
  <c r="E404" i="7"/>
  <c r="A690" i="7"/>
  <c r="C702" i="7" s="1"/>
  <c r="C689" i="7"/>
  <c r="D689" i="7"/>
  <c r="E689" i="7"/>
  <c r="F689" i="7"/>
  <c r="G689" i="7"/>
  <c r="H689" i="7"/>
  <c r="I689" i="7"/>
  <c r="J689" i="7"/>
  <c r="K689" i="7"/>
  <c r="F701" i="7"/>
  <c r="C378" i="7"/>
  <c r="D378" i="7"/>
  <c r="F378" i="7"/>
  <c r="E378" i="7"/>
  <c r="A754" i="7"/>
  <c r="E766" i="7" s="1"/>
  <c r="C753" i="7"/>
  <c r="D753" i="7"/>
  <c r="E753" i="7"/>
  <c r="F753" i="7"/>
  <c r="G753" i="7"/>
  <c r="H753" i="7"/>
  <c r="I753" i="7"/>
  <c r="J753" i="7"/>
  <c r="K753" i="7"/>
  <c r="F765" i="7"/>
  <c r="A722" i="7"/>
  <c r="D734" i="7" s="1"/>
  <c r="C721" i="7"/>
  <c r="D721" i="7"/>
  <c r="E721" i="7"/>
  <c r="F721" i="7"/>
  <c r="G721" i="7"/>
  <c r="H721" i="7"/>
  <c r="I721" i="7"/>
  <c r="J721" i="7"/>
  <c r="K721" i="7"/>
  <c r="M752" i="7"/>
  <c r="M750" i="7"/>
  <c r="M749" i="7"/>
  <c r="M748" i="7"/>
  <c r="M753" i="7"/>
  <c r="M716" i="7"/>
  <c r="M721" i="7"/>
  <c r="M719" i="7"/>
  <c r="M751" i="7"/>
  <c r="M720" i="7"/>
  <c r="M718" i="7"/>
  <c r="M688" i="7"/>
  <c r="M686" i="7"/>
  <c r="M684" i="7"/>
  <c r="M717" i="7"/>
  <c r="M689" i="7"/>
  <c r="M687" i="7"/>
  <c r="M685" i="7"/>
  <c r="M62" i="7"/>
  <c r="M28" i="7"/>
  <c r="N2" i="7"/>
  <c r="H667" i="7"/>
  <c r="G39" i="7"/>
  <c r="G485" i="7"/>
  <c r="G488" i="7"/>
  <c r="G512" i="7"/>
  <c r="G540" i="7"/>
  <c r="G513" i="7"/>
  <c r="G537" i="7"/>
  <c r="H765" i="7"/>
  <c r="H764" i="7"/>
  <c r="H763" i="7"/>
  <c r="H762" i="7"/>
  <c r="H404" i="7"/>
  <c r="H403" i="7"/>
  <c r="H402" i="7"/>
  <c r="H401" i="7"/>
  <c r="H400" i="7"/>
  <c r="H733" i="7"/>
  <c r="H732" i="7"/>
  <c r="H731" i="7"/>
  <c r="H730" i="7"/>
  <c r="H729" i="7"/>
  <c r="H378" i="7"/>
  <c r="H377" i="7"/>
  <c r="H376" i="7"/>
  <c r="H375" i="7"/>
  <c r="H374" i="7"/>
  <c r="H701" i="7"/>
  <c r="H700" i="7"/>
  <c r="H699" i="7"/>
  <c r="H698" i="7"/>
  <c r="H697" i="7"/>
  <c r="H353" i="7"/>
  <c r="H352" i="7"/>
  <c r="H351" i="7"/>
  <c r="H350" i="7"/>
  <c r="H349" i="7"/>
  <c r="H585" i="7"/>
  <c r="H579" i="7"/>
  <c r="H480" i="7"/>
  <c r="H465" i="7"/>
  <c r="H464" i="7"/>
  <c r="H463" i="7"/>
  <c r="H462" i="7"/>
  <c r="H461" i="7"/>
  <c r="H460" i="7"/>
  <c r="H329" i="7"/>
  <c r="H328" i="7"/>
  <c r="H327" i="7"/>
  <c r="H326" i="7"/>
  <c r="H325" i="7"/>
  <c r="H324" i="7"/>
  <c r="H344" i="7"/>
  <c r="H37" i="7"/>
  <c r="G345" i="7"/>
  <c r="G487" i="7"/>
  <c r="G486" i="7"/>
  <c r="G514" i="7"/>
  <c r="G538" i="7"/>
  <c r="G511" i="7"/>
  <c r="G539" i="7"/>
  <c r="G481" i="7"/>
  <c r="N639" i="7" l="1"/>
  <c r="N60" i="7"/>
  <c r="N645" i="7"/>
  <c r="N646" i="7" s="1"/>
  <c r="N654" i="7"/>
  <c r="N655" i="7" s="1"/>
  <c r="N652" i="7"/>
  <c r="N634" i="7" s="1"/>
  <c r="N651" i="7"/>
  <c r="N650" i="7"/>
  <c r="N633" i="7"/>
  <c r="N31" i="7"/>
  <c r="N61" i="7" s="1"/>
  <c r="N641" i="7"/>
  <c r="M640" i="7"/>
  <c r="M632" i="7" s="1"/>
  <c r="N638" i="7"/>
  <c r="AH160" i="1"/>
  <c r="N673" i="7"/>
  <c r="N578" i="7"/>
  <c r="N624" i="7"/>
  <c r="N620" i="7"/>
  <c r="N616" i="7"/>
  <c r="N612" i="7"/>
  <c r="N584" i="7"/>
  <c r="N38" i="7"/>
  <c r="N42" i="7"/>
  <c r="N35" i="7"/>
  <c r="C489" i="7"/>
  <c r="G489" i="7"/>
  <c r="E541" i="7"/>
  <c r="E515" i="7"/>
  <c r="F541" i="7"/>
  <c r="G515" i="7"/>
  <c r="F515" i="7"/>
  <c r="C541" i="7"/>
  <c r="D489" i="7"/>
  <c r="D515" i="7"/>
  <c r="D541" i="7"/>
  <c r="F489" i="7"/>
  <c r="C515" i="7"/>
  <c r="E489" i="7"/>
  <c r="G541" i="7"/>
  <c r="H734" i="7"/>
  <c r="H766" i="7"/>
  <c r="H702" i="7"/>
  <c r="F702" i="7"/>
  <c r="M722" i="7"/>
  <c r="E734" i="7"/>
  <c r="F734" i="7"/>
  <c r="H354" i="7"/>
  <c r="D702" i="7"/>
  <c r="C734" i="7"/>
  <c r="E702" i="7"/>
  <c r="M690" i="7"/>
  <c r="H379" i="7"/>
  <c r="M754" i="7"/>
  <c r="F766" i="7"/>
  <c r="D766" i="7"/>
  <c r="C766" i="7"/>
  <c r="H405" i="7"/>
  <c r="A723" i="7"/>
  <c r="E735" i="7" s="1"/>
  <c r="C722" i="7"/>
  <c r="D722" i="7"/>
  <c r="E722" i="7"/>
  <c r="F722" i="7"/>
  <c r="G722" i="7"/>
  <c r="H722" i="7"/>
  <c r="I722" i="7"/>
  <c r="J722" i="7"/>
  <c r="K722" i="7"/>
  <c r="L722" i="7"/>
  <c r="G734" i="7"/>
  <c r="C405" i="7"/>
  <c r="D405" i="7"/>
  <c r="E405" i="7"/>
  <c r="F405" i="7"/>
  <c r="G405" i="7"/>
  <c r="C354" i="7"/>
  <c r="D354" i="7"/>
  <c r="E354" i="7"/>
  <c r="G354" i="7"/>
  <c r="F354" i="7"/>
  <c r="C379" i="7"/>
  <c r="D379" i="7"/>
  <c r="E379" i="7"/>
  <c r="F379" i="7"/>
  <c r="G379" i="7"/>
  <c r="A755" i="7"/>
  <c r="G767" i="7" s="1"/>
  <c r="C754" i="7"/>
  <c r="D754" i="7"/>
  <c r="E754" i="7"/>
  <c r="F754" i="7"/>
  <c r="G754" i="7"/>
  <c r="H754" i="7"/>
  <c r="I754" i="7"/>
  <c r="J754" i="7"/>
  <c r="K754" i="7"/>
  <c r="G766" i="7"/>
  <c r="L754" i="7"/>
  <c r="A691" i="7"/>
  <c r="G703" i="7" s="1"/>
  <c r="C690" i="7"/>
  <c r="D690" i="7"/>
  <c r="E690" i="7"/>
  <c r="F690" i="7"/>
  <c r="G690" i="7"/>
  <c r="H690" i="7"/>
  <c r="I690" i="7"/>
  <c r="C703" i="7"/>
  <c r="J690" i="7"/>
  <c r="K690" i="7"/>
  <c r="L690" i="7"/>
  <c r="G702" i="7"/>
  <c r="N754" i="7"/>
  <c r="N752" i="7"/>
  <c r="N750" i="7"/>
  <c r="N722" i="7"/>
  <c r="N721" i="7"/>
  <c r="N720" i="7"/>
  <c r="N719" i="7"/>
  <c r="N718" i="7"/>
  <c r="N717" i="7"/>
  <c r="N716" i="7"/>
  <c r="N749" i="7"/>
  <c r="N753" i="7"/>
  <c r="N748" i="7"/>
  <c r="N751" i="7"/>
  <c r="N690" i="7"/>
  <c r="N688" i="7"/>
  <c r="N686" i="7"/>
  <c r="N684" i="7"/>
  <c r="N689" i="7"/>
  <c r="N687" i="7"/>
  <c r="N685" i="7"/>
  <c r="N62" i="7"/>
  <c r="N28" i="7"/>
  <c r="O2" i="7"/>
  <c r="I667" i="7"/>
  <c r="H39" i="7"/>
  <c r="H486" i="7"/>
  <c r="H487" i="7"/>
  <c r="H511" i="7"/>
  <c r="H515" i="7"/>
  <c r="H539" i="7"/>
  <c r="H481" i="7"/>
  <c r="H512" i="7"/>
  <c r="H540" i="7"/>
  <c r="I766" i="7"/>
  <c r="I765" i="7"/>
  <c r="I764" i="7"/>
  <c r="I763" i="7"/>
  <c r="I405" i="7"/>
  <c r="I404" i="7"/>
  <c r="I403" i="7"/>
  <c r="I402" i="7"/>
  <c r="I401" i="7"/>
  <c r="I379" i="7"/>
  <c r="I378" i="7"/>
  <c r="I400" i="7"/>
  <c r="I734" i="7"/>
  <c r="I733" i="7"/>
  <c r="I732" i="7"/>
  <c r="I731" i="7"/>
  <c r="I730" i="7"/>
  <c r="I729" i="7"/>
  <c r="I354" i="7"/>
  <c r="I353" i="7"/>
  <c r="I377" i="7"/>
  <c r="I375" i="7"/>
  <c r="I374" i="7"/>
  <c r="I702" i="7"/>
  <c r="I701" i="7"/>
  <c r="I700" i="7"/>
  <c r="I699" i="7"/>
  <c r="I698" i="7"/>
  <c r="I697" i="7"/>
  <c r="I352" i="7"/>
  <c r="I351" i="7"/>
  <c r="I350" i="7"/>
  <c r="I349" i="7"/>
  <c r="I585" i="7"/>
  <c r="I579" i="7"/>
  <c r="I465" i="7"/>
  <c r="I464" i="7"/>
  <c r="I463" i="7"/>
  <c r="I462" i="7"/>
  <c r="I461" i="7"/>
  <c r="I460" i="7"/>
  <c r="I376" i="7"/>
  <c r="I480" i="7"/>
  <c r="I344" i="7"/>
  <c r="I329" i="7"/>
  <c r="I328" i="7"/>
  <c r="I327" i="7"/>
  <c r="I326" i="7"/>
  <c r="I325" i="7"/>
  <c r="I324" i="7"/>
  <c r="I37" i="7"/>
  <c r="H345" i="7"/>
  <c r="H488" i="7"/>
  <c r="H485" i="7"/>
  <c r="H489" i="7"/>
  <c r="H513" i="7"/>
  <c r="H537" i="7"/>
  <c r="H541" i="7"/>
  <c r="H514" i="7"/>
  <c r="H538" i="7"/>
  <c r="O639" i="7" l="1"/>
  <c r="O60" i="7"/>
  <c r="O645" i="7"/>
  <c r="O646" i="7" s="1"/>
  <c r="O654" i="7"/>
  <c r="O655" i="7" s="1"/>
  <c r="O652" i="7"/>
  <c r="O634" i="7" s="1"/>
  <c r="O651" i="7"/>
  <c r="O650" i="7"/>
  <c r="O31" i="7"/>
  <c r="O61" i="7" s="1"/>
  <c r="O633" i="7"/>
  <c r="O641" i="7"/>
  <c r="N640" i="7"/>
  <c r="N632" i="7" s="1"/>
  <c r="O638" i="7"/>
  <c r="AI160" i="1"/>
  <c r="O673" i="7"/>
  <c r="O584" i="7"/>
  <c r="O624" i="7"/>
  <c r="O620" i="7"/>
  <c r="O612" i="7"/>
  <c r="O578" i="7"/>
  <c r="O616" i="7"/>
  <c r="O38" i="7"/>
  <c r="O42" i="7"/>
  <c r="O35" i="7"/>
  <c r="G516" i="7"/>
  <c r="D490" i="7"/>
  <c r="H516" i="7"/>
  <c r="E516" i="7"/>
  <c r="G542" i="7"/>
  <c r="D516" i="7"/>
  <c r="F542" i="7"/>
  <c r="H542" i="7"/>
  <c r="C490" i="7"/>
  <c r="C516" i="7"/>
  <c r="E542" i="7"/>
  <c r="F490" i="7"/>
  <c r="D542" i="7"/>
  <c r="H490" i="7"/>
  <c r="G490" i="7"/>
  <c r="C542" i="7"/>
  <c r="F516" i="7"/>
  <c r="E490" i="7"/>
  <c r="C767" i="7"/>
  <c r="F767" i="7"/>
  <c r="I735" i="7"/>
  <c r="N723" i="7"/>
  <c r="F735" i="7"/>
  <c r="C735" i="7"/>
  <c r="I767" i="7"/>
  <c r="E767" i="7"/>
  <c r="D767" i="7"/>
  <c r="I703" i="7"/>
  <c r="N755" i="7"/>
  <c r="I380" i="7"/>
  <c r="D735" i="7"/>
  <c r="D703" i="7"/>
  <c r="G735" i="7"/>
  <c r="N691" i="7"/>
  <c r="F703" i="7"/>
  <c r="I406" i="7"/>
  <c r="A756" i="7"/>
  <c r="D768" i="7" s="1"/>
  <c r="C755" i="7"/>
  <c r="D755" i="7"/>
  <c r="E755" i="7"/>
  <c r="F755" i="7"/>
  <c r="G755" i="7"/>
  <c r="H755" i="7"/>
  <c r="I755" i="7"/>
  <c r="C768" i="7"/>
  <c r="J755" i="7"/>
  <c r="K755" i="7"/>
  <c r="L755" i="7"/>
  <c r="H767" i="7"/>
  <c r="M755" i="7"/>
  <c r="C355" i="7"/>
  <c r="E355" i="7"/>
  <c r="D355" i="7"/>
  <c r="F355" i="7"/>
  <c r="G355" i="7"/>
  <c r="H355" i="7"/>
  <c r="C380" i="7"/>
  <c r="D380" i="7"/>
  <c r="F380" i="7"/>
  <c r="E380" i="7"/>
  <c r="G380" i="7"/>
  <c r="H380" i="7"/>
  <c r="A692" i="7"/>
  <c r="E704" i="7" s="1"/>
  <c r="C691" i="7"/>
  <c r="D691" i="7"/>
  <c r="E691" i="7"/>
  <c r="F691" i="7"/>
  <c r="G691" i="7"/>
  <c r="H691" i="7"/>
  <c r="I691" i="7"/>
  <c r="C704" i="7"/>
  <c r="J691" i="7"/>
  <c r="K691" i="7"/>
  <c r="L691" i="7"/>
  <c r="M691" i="7"/>
  <c r="H703" i="7"/>
  <c r="A724" i="7"/>
  <c r="F736" i="7" s="1"/>
  <c r="C723" i="7"/>
  <c r="D723" i="7"/>
  <c r="E723" i="7"/>
  <c r="F723" i="7"/>
  <c r="G723" i="7"/>
  <c r="H723" i="7"/>
  <c r="I723" i="7"/>
  <c r="J723" i="7"/>
  <c r="K723" i="7"/>
  <c r="L723" i="7"/>
  <c r="M723" i="7"/>
  <c r="H735" i="7"/>
  <c r="I355" i="7"/>
  <c r="E703" i="7"/>
  <c r="C406" i="7"/>
  <c r="D406" i="7"/>
  <c r="E406" i="7"/>
  <c r="F406" i="7"/>
  <c r="G406" i="7"/>
  <c r="H406" i="7"/>
  <c r="O755" i="7"/>
  <c r="O754" i="7"/>
  <c r="O753" i="7"/>
  <c r="O752" i="7"/>
  <c r="O751" i="7"/>
  <c r="O750" i="7"/>
  <c r="O748" i="7"/>
  <c r="O723" i="7"/>
  <c r="O721" i="7"/>
  <c r="O749" i="7"/>
  <c r="O722" i="7"/>
  <c r="O720" i="7"/>
  <c r="O718" i="7"/>
  <c r="O716" i="7"/>
  <c r="O689" i="7"/>
  <c r="O687" i="7"/>
  <c r="O685" i="7"/>
  <c r="O717" i="7"/>
  <c r="O691" i="7"/>
  <c r="O719" i="7"/>
  <c r="O690" i="7"/>
  <c r="O688" i="7"/>
  <c r="O686" i="7"/>
  <c r="O684" i="7"/>
  <c r="O28" i="7"/>
  <c r="O62" i="7"/>
  <c r="P2" i="7"/>
  <c r="J667" i="7"/>
  <c r="I489" i="7"/>
  <c r="I488" i="7"/>
  <c r="I512" i="7"/>
  <c r="I516" i="7"/>
  <c r="I540" i="7"/>
  <c r="I513" i="7"/>
  <c r="I537" i="7"/>
  <c r="I541" i="7"/>
  <c r="I39" i="7"/>
  <c r="J767" i="7"/>
  <c r="J766" i="7"/>
  <c r="J765" i="7"/>
  <c r="J764" i="7"/>
  <c r="J763" i="7"/>
  <c r="J406" i="7"/>
  <c r="J405" i="7"/>
  <c r="J404" i="7"/>
  <c r="J403" i="7"/>
  <c r="J402" i="7"/>
  <c r="J401" i="7"/>
  <c r="J400" i="7"/>
  <c r="J735" i="7"/>
  <c r="J734" i="7"/>
  <c r="J733" i="7"/>
  <c r="J732" i="7"/>
  <c r="J731" i="7"/>
  <c r="J730" i="7"/>
  <c r="J729" i="7"/>
  <c r="J380" i="7"/>
  <c r="J379" i="7"/>
  <c r="J378" i="7"/>
  <c r="J377" i="7"/>
  <c r="J376" i="7"/>
  <c r="J375" i="7"/>
  <c r="J374" i="7"/>
  <c r="J703" i="7"/>
  <c r="J702" i="7"/>
  <c r="J701" i="7"/>
  <c r="J700" i="7"/>
  <c r="J699" i="7"/>
  <c r="J698" i="7"/>
  <c r="J697" i="7"/>
  <c r="J355" i="7"/>
  <c r="J354" i="7"/>
  <c r="J353" i="7"/>
  <c r="J352" i="7"/>
  <c r="J351" i="7"/>
  <c r="J350" i="7"/>
  <c r="J349" i="7"/>
  <c r="J585" i="7"/>
  <c r="J579" i="7"/>
  <c r="J480" i="7"/>
  <c r="J465" i="7"/>
  <c r="J464" i="7"/>
  <c r="J463" i="7"/>
  <c r="J462" i="7"/>
  <c r="J461" i="7"/>
  <c r="J460" i="7"/>
  <c r="J329" i="7"/>
  <c r="J328" i="7"/>
  <c r="J327" i="7"/>
  <c r="J326" i="7"/>
  <c r="J325" i="7"/>
  <c r="J324" i="7"/>
  <c r="J344" i="7"/>
  <c r="J37" i="7"/>
  <c r="I345" i="7"/>
  <c r="I485" i="7"/>
  <c r="I487" i="7"/>
  <c r="I486" i="7"/>
  <c r="I490" i="7"/>
  <c r="I514" i="7"/>
  <c r="I538" i="7"/>
  <c r="I542" i="7"/>
  <c r="I511" i="7"/>
  <c r="I515" i="7"/>
  <c r="I539" i="7"/>
  <c r="I481" i="7"/>
  <c r="P639" i="7" l="1"/>
  <c r="P60" i="7"/>
  <c r="P645" i="7"/>
  <c r="P646" i="7" s="1"/>
  <c r="C736" i="7"/>
  <c r="P654" i="7"/>
  <c r="P655" i="7" s="1"/>
  <c r="P652" i="7"/>
  <c r="P634" i="7" s="1"/>
  <c r="P651" i="7"/>
  <c r="P650" i="7"/>
  <c r="P31" i="7"/>
  <c r="P61" i="7" s="1"/>
  <c r="P633" i="7"/>
  <c r="P641" i="7"/>
  <c r="P638" i="7"/>
  <c r="O640" i="7"/>
  <c r="O632" i="7" s="1"/>
  <c r="AJ160" i="1"/>
  <c r="P673" i="7"/>
  <c r="P624" i="7"/>
  <c r="P616" i="7"/>
  <c r="P584" i="7"/>
  <c r="P578" i="7"/>
  <c r="P620" i="7"/>
  <c r="P612" i="7"/>
  <c r="P38" i="7"/>
  <c r="P42" i="7"/>
  <c r="P35" i="7"/>
  <c r="O692" i="7"/>
  <c r="C491" i="7"/>
  <c r="H543" i="7"/>
  <c r="D517" i="7"/>
  <c r="I491" i="7"/>
  <c r="G543" i="7"/>
  <c r="C517" i="7"/>
  <c r="F543" i="7"/>
  <c r="H491" i="7"/>
  <c r="F517" i="7"/>
  <c r="E543" i="7"/>
  <c r="G491" i="7"/>
  <c r="D543" i="7"/>
  <c r="H517" i="7"/>
  <c r="F491" i="7"/>
  <c r="I517" i="7"/>
  <c r="C543" i="7"/>
  <c r="G517" i="7"/>
  <c r="D491" i="7"/>
  <c r="E517" i="7"/>
  <c r="E491" i="7"/>
  <c r="I543" i="7"/>
  <c r="E736" i="7"/>
  <c r="G704" i="7"/>
  <c r="D704" i="7"/>
  <c r="J704" i="7"/>
  <c r="H704" i="7"/>
  <c r="F704" i="7"/>
  <c r="J768" i="7"/>
  <c r="F768" i="7"/>
  <c r="O724" i="7"/>
  <c r="H736" i="7"/>
  <c r="G736" i="7"/>
  <c r="J356" i="7"/>
  <c r="H768" i="7"/>
  <c r="J736" i="7"/>
  <c r="D736" i="7"/>
  <c r="E768" i="7"/>
  <c r="O756" i="7"/>
  <c r="G768" i="7"/>
  <c r="J381" i="7"/>
  <c r="A725" i="7"/>
  <c r="D737" i="7" s="1"/>
  <c r="C724" i="7"/>
  <c r="D724" i="7"/>
  <c r="E724" i="7"/>
  <c r="F724" i="7"/>
  <c r="G724" i="7"/>
  <c r="H724" i="7"/>
  <c r="I724" i="7"/>
  <c r="J724" i="7"/>
  <c r="K724" i="7"/>
  <c r="L724" i="7"/>
  <c r="M724" i="7"/>
  <c r="I736" i="7"/>
  <c r="N724" i="7"/>
  <c r="D407" i="7"/>
  <c r="C407" i="7"/>
  <c r="E407" i="7"/>
  <c r="F407" i="7"/>
  <c r="G407" i="7"/>
  <c r="H407" i="7"/>
  <c r="I407" i="7"/>
  <c r="C356" i="7"/>
  <c r="D356" i="7"/>
  <c r="F356" i="7"/>
  <c r="E356" i="7"/>
  <c r="G356" i="7"/>
  <c r="H356" i="7"/>
  <c r="I356" i="7"/>
  <c r="A757" i="7"/>
  <c r="I769" i="7" s="1"/>
  <c r="C756" i="7"/>
  <c r="D756" i="7"/>
  <c r="E756" i="7"/>
  <c r="F756" i="7"/>
  <c r="G756" i="7"/>
  <c r="H756" i="7"/>
  <c r="I756" i="7"/>
  <c r="C769" i="7"/>
  <c r="J756" i="7"/>
  <c r="K756" i="7"/>
  <c r="L756" i="7"/>
  <c r="M756" i="7"/>
  <c r="I768" i="7"/>
  <c r="N756" i="7"/>
  <c r="J407" i="7"/>
  <c r="C381" i="7"/>
  <c r="E381" i="7"/>
  <c r="D381" i="7"/>
  <c r="F381" i="7"/>
  <c r="G381" i="7"/>
  <c r="H381" i="7"/>
  <c r="I381" i="7"/>
  <c r="A693" i="7"/>
  <c r="F705" i="7" s="1"/>
  <c r="C692" i="7"/>
  <c r="D692" i="7"/>
  <c r="E692" i="7"/>
  <c r="F692" i="7"/>
  <c r="G692" i="7"/>
  <c r="H692" i="7"/>
  <c r="I692" i="7"/>
  <c r="C705" i="7"/>
  <c r="J692" i="7"/>
  <c r="K692" i="7"/>
  <c r="L692" i="7"/>
  <c r="M692" i="7"/>
  <c r="N692" i="7"/>
  <c r="I704" i="7"/>
  <c r="P755" i="7"/>
  <c r="P753" i="7"/>
  <c r="P751" i="7"/>
  <c r="P754" i="7"/>
  <c r="P750" i="7"/>
  <c r="P752" i="7"/>
  <c r="P723" i="7"/>
  <c r="P721" i="7"/>
  <c r="P717" i="7"/>
  <c r="P748" i="7"/>
  <c r="P749" i="7"/>
  <c r="P724" i="7"/>
  <c r="P722" i="7"/>
  <c r="P720" i="7"/>
  <c r="P756" i="7"/>
  <c r="P690" i="7"/>
  <c r="P689" i="7"/>
  <c r="P688" i="7"/>
  <c r="P687" i="7"/>
  <c r="P686" i="7"/>
  <c r="P685" i="7"/>
  <c r="P684" i="7"/>
  <c r="P719" i="7"/>
  <c r="P716" i="7"/>
  <c r="P691" i="7"/>
  <c r="P718" i="7"/>
  <c r="P692" i="7"/>
  <c r="P28" i="7"/>
  <c r="P62" i="7"/>
  <c r="Q2" i="7"/>
  <c r="K667" i="7"/>
  <c r="J490" i="7"/>
  <c r="J485" i="7"/>
  <c r="J489" i="7"/>
  <c r="J513" i="7"/>
  <c r="J517" i="7"/>
  <c r="J537" i="7"/>
  <c r="J541" i="7"/>
  <c r="J514" i="7"/>
  <c r="J538" i="7"/>
  <c r="J542" i="7"/>
  <c r="J39" i="7"/>
  <c r="K769" i="7"/>
  <c r="K768" i="7"/>
  <c r="K767" i="7"/>
  <c r="K766" i="7"/>
  <c r="K765" i="7"/>
  <c r="K764" i="7"/>
  <c r="K763" i="7"/>
  <c r="K407" i="7"/>
  <c r="K406" i="7"/>
  <c r="K405" i="7"/>
  <c r="K404" i="7"/>
  <c r="K403" i="7"/>
  <c r="K402" i="7"/>
  <c r="K381" i="7"/>
  <c r="K380" i="7"/>
  <c r="K379" i="7"/>
  <c r="K378" i="7"/>
  <c r="K401" i="7"/>
  <c r="K736" i="7"/>
  <c r="K735" i="7"/>
  <c r="K734" i="7"/>
  <c r="K733" i="7"/>
  <c r="K732" i="7"/>
  <c r="K731" i="7"/>
  <c r="K730" i="7"/>
  <c r="K729" i="7"/>
  <c r="K377" i="7"/>
  <c r="K356" i="7"/>
  <c r="K355" i="7"/>
  <c r="K354" i="7"/>
  <c r="K353" i="7"/>
  <c r="K376" i="7"/>
  <c r="K375" i="7"/>
  <c r="K374" i="7"/>
  <c r="K704" i="7"/>
  <c r="K703" i="7"/>
  <c r="K702" i="7"/>
  <c r="K701" i="7"/>
  <c r="K700" i="7"/>
  <c r="K699" i="7"/>
  <c r="K698" i="7"/>
  <c r="K697" i="7"/>
  <c r="K351" i="7"/>
  <c r="K352" i="7"/>
  <c r="K350" i="7"/>
  <c r="K585" i="7"/>
  <c r="K579" i="7"/>
  <c r="K465" i="7"/>
  <c r="K464" i="7"/>
  <c r="K463" i="7"/>
  <c r="K462" i="7"/>
  <c r="K461" i="7"/>
  <c r="K460" i="7"/>
  <c r="K480" i="7"/>
  <c r="K344" i="7"/>
  <c r="K329" i="7"/>
  <c r="K328" i="7"/>
  <c r="K327" i="7"/>
  <c r="K326" i="7"/>
  <c r="K325" i="7"/>
  <c r="K324" i="7"/>
  <c r="K37" i="7"/>
  <c r="J488" i="7"/>
  <c r="J345" i="7"/>
  <c r="J486" i="7"/>
  <c r="J487" i="7"/>
  <c r="J491" i="7"/>
  <c r="J511" i="7"/>
  <c r="J515" i="7"/>
  <c r="J539" i="7"/>
  <c r="J543" i="7"/>
  <c r="J481" i="7"/>
  <c r="J512" i="7"/>
  <c r="J516" i="7"/>
  <c r="J540" i="7"/>
  <c r="Q639" i="7" l="1"/>
  <c r="Q60" i="7"/>
  <c r="Q645" i="7"/>
  <c r="Q646" i="7" s="1"/>
  <c r="Q654" i="7"/>
  <c r="Q655" i="7" s="1"/>
  <c r="Q652" i="7"/>
  <c r="Q634" i="7" s="1"/>
  <c r="Q651" i="7"/>
  <c r="Q650" i="7"/>
  <c r="P632" i="7"/>
  <c r="P640" i="7"/>
  <c r="Q633" i="7"/>
  <c r="Q31" i="7"/>
  <c r="Q61" i="7" s="1"/>
  <c r="Q641" i="7"/>
  <c r="Q638" i="7"/>
  <c r="K737" i="7"/>
  <c r="AK160" i="1"/>
  <c r="Q673" i="7"/>
  <c r="Q584" i="7"/>
  <c r="Q578" i="7"/>
  <c r="Q624" i="7"/>
  <c r="Q620" i="7"/>
  <c r="Q616" i="7"/>
  <c r="Q612" i="7"/>
  <c r="Q38" i="7"/>
  <c r="Q42" i="7"/>
  <c r="Q35" i="7"/>
  <c r="E518" i="7"/>
  <c r="C492" i="7"/>
  <c r="D518" i="7"/>
  <c r="C518" i="7"/>
  <c r="I544" i="7"/>
  <c r="D544" i="7"/>
  <c r="J544" i="7"/>
  <c r="I492" i="7"/>
  <c r="H544" i="7"/>
  <c r="D492" i="7"/>
  <c r="I518" i="7"/>
  <c r="H492" i="7"/>
  <c r="G544" i="7"/>
  <c r="H518" i="7"/>
  <c r="G492" i="7"/>
  <c r="F544" i="7"/>
  <c r="G518" i="7"/>
  <c r="E492" i="7"/>
  <c r="E544" i="7"/>
  <c r="J492" i="7"/>
  <c r="F518" i="7"/>
  <c r="F492" i="7"/>
  <c r="C544" i="7"/>
  <c r="J518" i="7"/>
  <c r="C737" i="7"/>
  <c r="G737" i="7"/>
  <c r="G705" i="7"/>
  <c r="P693" i="7"/>
  <c r="K382" i="7"/>
  <c r="F769" i="7"/>
  <c r="H769" i="7"/>
  <c r="K408" i="7"/>
  <c r="I705" i="7"/>
  <c r="D705" i="7"/>
  <c r="E737" i="7"/>
  <c r="E769" i="7"/>
  <c r="H705" i="7"/>
  <c r="E705" i="7"/>
  <c r="G769" i="7"/>
  <c r="D769" i="7"/>
  <c r="I737" i="7"/>
  <c r="K705" i="7"/>
  <c r="P725" i="7"/>
  <c r="P757" i="7"/>
  <c r="H737" i="7"/>
  <c r="F737" i="7"/>
  <c r="K357" i="7"/>
  <c r="C408" i="7"/>
  <c r="D408" i="7"/>
  <c r="E408" i="7"/>
  <c r="F408" i="7"/>
  <c r="G408" i="7"/>
  <c r="H408" i="7"/>
  <c r="I408" i="7"/>
  <c r="J408" i="7"/>
  <c r="C693" i="7"/>
  <c r="D693" i="7"/>
  <c r="D694" i="7" s="1"/>
  <c r="D679" i="7" s="1"/>
  <c r="D101" i="7" s="1"/>
  <c r="E693" i="7"/>
  <c r="E694" i="7" s="1"/>
  <c r="E679" i="7" s="1"/>
  <c r="E101" i="7" s="1"/>
  <c r="F693" i="7"/>
  <c r="F694" i="7" s="1"/>
  <c r="F679" i="7" s="1"/>
  <c r="F101" i="7" s="1"/>
  <c r="G693" i="7"/>
  <c r="G694" i="7" s="1"/>
  <c r="G679" i="7" s="1"/>
  <c r="G101" i="7" s="1"/>
  <c r="H693" i="7"/>
  <c r="H694" i="7" s="1"/>
  <c r="H679" i="7" s="1"/>
  <c r="H101" i="7" s="1"/>
  <c r="I693" i="7"/>
  <c r="I694" i="7" s="1"/>
  <c r="I679" i="7" s="1"/>
  <c r="I101" i="7" s="1"/>
  <c r="J693" i="7"/>
  <c r="J694" i="7" s="1"/>
  <c r="J679" i="7" s="1"/>
  <c r="J101" i="7" s="1"/>
  <c r="K693" i="7"/>
  <c r="K694" i="7" s="1"/>
  <c r="K679" i="7" s="1"/>
  <c r="K101" i="7" s="1"/>
  <c r="L693" i="7"/>
  <c r="M693" i="7"/>
  <c r="N693" i="7"/>
  <c r="O693" i="7"/>
  <c r="J705" i="7"/>
  <c r="C757" i="7"/>
  <c r="D757" i="7"/>
  <c r="D758" i="7" s="1"/>
  <c r="D743" i="7" s="1"/>
  <c r="D103" i="7" s="1"/>
  <c r="E757" i="7"/>
  <c r="E758" i="7" s="1"/>
  <c r="E743" i="7" s="1"/>
  <c r="E103" i="7" s="1"/>
  <c r="F757" i="7"/>
  <c r="F758" i="7" s="1"/>
  <c r="F743" i="7" s="1"/>
  <c r="F103" i="7" s="1"/>
  <c r="G757" i="7"/>
  <c r="G758" i="7" s="1"/>
  <c r="G743" i="7" s="1"/>
  <c r="G103" i="7" s="1"/>
  <c r="H757" i="7"/>
  <c r="H758" i="7" s="1"/>
  <c r="H743" i="7" s="1"/>
  <c r="H103" i="7" s="1"/>
  <c r="I757" i="7"/>
  <c r="I758" i="7" s="1"/>
  <c r="I743" i="7" s="1"/>
  <c r="I103" i="7" s="1"/>
  <c r="J757" i="7"/>
  <c r="J758" i="7" s="1"/>
  <c r="J743" i="7" s="1"/>
  <c r="J103" i="7" s="1"/>
  <c r="K757" i="7"/>
  <c r="K758" i="7" s="1"/>
  <c r="K743" i="7" s="1"/>
  <c r="K103" i="7" s="1"/>
  <c r="L757" i="7"/>
  <c r="M757" i="7"/>
  <c r="N757" i="7"/>
  <c r="O757" i="7"/>
  <c r="J769" i="7"/>
  <c r="C382" i="7"/>
  <c r="D382" i="7"/>
  <c r="F382" i="7"/>
  <c r="E382" i="7"/>
  <c r="G382" i="7"/>
  <c r="H382" i="7"/>
  <c r="I382" i="7"/>
  <c r="J382" i="7"/>
  <c r="C357" i="7"/>
  <c r="D357" i="7"/>
  <c r="E357" i="7"/>
  <c r="F357" i="7"/>
  <c r="G357" i="7"/>
  <c r="H357" i="7"/>
  <c r="I357" i="7"/>
  <c r="J357" i="7"/>
  <c r="C725" i="7"/>
  <c r="D725" i="7"/>
  <c r="D726" i="7" s="1"/>
  <c r="D711" i="7" s="1"/>
  <c r="D102" i="7" s="1"/>
  <c r="E725" i="7"/>
  <c r="E726" i="7" s="1"/>
  <c r="E711" i="7" s="1"/>
  <c r="E102" i="7" s="1"/>
  <c r="F725" i="7"/>
  <c r="F726" i="7" s="1"/>
  <c r="F711" i="7" s="1"/>
  <c r="F102" i="7" s="1"/>
  <c r="G725" i="7"/>
  <c r="G726" i="7" s="1"/>
  <c r="G711" i="7" s="1"/>
  <c r="G102" i="7" s="1"/>
  <c r="H725" i="7"/>
  <c r="H726" i="7" s="1"/>
  <c r="H711" i="7" s="1"/>
  <c r="H102" i="7" s="1"/>
  <c r="I725" i="7"/>
  <c r="I726" i="7" s="1"/>
  <c r="I711" i="7" s="1"/>
  <c r="I102" i="7" s="1"/>
  <c r="J725" i="7"/>
  <c r="J726" i="7" s="1"/>
  <c r="J711" i="7" s="1"/>
  <c r="J102" i="7" s="1"/>
  <c r="K725" i="7"/>
  <c r="K726" i="7" s="1"/>
  <c r="K711" i="7" s="1"/>
  <c r="K102" i="7" s="1"/>
  <c r="L725" i="7"/>
  <c r="M725" i="7"/>
  <c r="N725" i="7"/>
  <c r="J737" i="7"/>
  <c r="O725" i="7"/>
  <c r="Q749" i="7"/>
  <c r="Q748" i="7"/>
  <c r="Q757" i="7"/>
  <c r="Q755" i="7"/>
  <c r="Q753" i="7"/>
  <c r="Q751" i="7"/>
  <c r="Q754" i="7"/>
  <c r="Q724" i="7"/>
  <c r="Q722" i="7"/>
  <c r="Q756" i="7"/>
  <c r="Q750" i="7"/>
  <c r="Q752" i="7"/>
  <c r="Q725" i="7"/>
  <c r="Q723" i="7"/>
  <c r="Q721" i="7"/>
  <c r="Q719" i="7"/>
  <c r="Q717" i="7"/>
  <c r="Q693" i="7"/>
  <c r="Q691" i="7"/>
  <c r="Q716" i="7"/>
  <c r="Q689" i="7"/>
  <c r="Q687" i="7"/>
  <c r="Q685" i="7"/>
  <c r="Q718" i="7"/>
  <c r="Q692" i="7"/>
  <c r="Q690" i="7"/>
  <c r="Q688" i="7"/>
  <c r="Q686" i="7"/>
  <c r="Q684" i="7"/>
  <c r="Q720" i="7"/>
  <c r="Q62" i="7"/>
  <c r="Q28" i="7"/>
  <c r="R2" i="7"/>
  <c r="L667" i="7"/>
  <c r="K513" i="7"/>
  <c r="K492" i="7"/>
  <c r="K541" i="7"/>
  <c r="K488" i="7"/>
  <c r="K517" i="7"/>
  <c r="K345" i="7"/>
  <c r="K489" i="7"/>
  <c r="L769" i="7"/>
  <c r="L768" i="7"/>
  <c r="L767" i="7"/>
  <c r="L766" i="7"/>
  <c r="L765" i="7"/>
  <c r="L764" i="7"/>
  <c r="L762" i="7"/>
  <c r="L408" i="7"/>
  <c r="L407" i="7"/>
  <c r="L406" i="7"/>
  <c r="L405" i="7"/>
  <c r="L404" i="7"/>
  <c r="L403" i="7"/>
  <c r="L402" i="7"/>
  <c r="L401" i="7"/>
  <c r="L737" i="7"/>
  <c r="L736" i="7"/>
  <c r="L735" i="7"/>
  <c r="L734" i="7"/>
  <c r="L733" i="7"/>
  <c r="L732" i="7"/>
  <c r="L731" i="7"/>
  <c r="L730" i="7"/>
  <c r="L729" i="7"/>
  <c r="L382" i="7"/>
  <c r="L381" i="7"/>
  <c r="L380" i="7"/>
  <c r="L379" i="7"/>
  <c r="L378" i="7"/>
  <c r="L377" i="7"/>
  <c r="L376" i="7"/>
  <c r="L375" i="7"/>
  <c r="L374" i="7"/>
  <c r="L705" i="7"/>
  <c r="L704" i="7"/>
  <c r="L703" i="7"/>
  <c r="L702" i="7"/>
  <c r="L701" i="7"/>
  <c r="L700" i="7"/>
  <c r="L699" i="7"/>
  <c r="L698" i="7"/>
  <c r="L697" i="7"/>
  <c r="L357" i="7"/>
  <c r="L356" i="7"/>
  <c r="L355" i="7"/>
  <c r="L354" i="7"/>
  <c r="L353" i="7"/>
  <c r="L352" i="7"/>
  <c r="L351" i="7"/>
  <c r="L350" i="7"/>
  <c r="L585" i="7"/>
  <c r="L579" i="7"/>
  <c r="L480" i="7"/>
  <c r="L465" i="7"/>
  <c r="L464" i="7"/>
  <c r="L463" i="7"/>
  <c r="L462" i="7"/>
  <c r="L461" i="7"/>
  <c r="L460" i="7"/>
  <c r="L329" i="7"/>
  <c r="L328" i="7"/>
  <c r="L327" i="7"/>
  <c r="L326" i="7"/>
  <c r="L325" i="7"/>
  <c r="L324" i="7"/>
  <c r="L344" i="7"/>
  <c r="L37" i="7"/>
  <c r="K491" i="7"/>
  <c r="K512" i="7"/>
  <c r="K516" i="7"/>
  <c r="K540" i="7"/>
  <c r="K544" i="7"/>
  <c r="K39" i="7"/>
  <c r="K349" i="7"/>
  <c r="K400" i="7"/>
  <c r="K487" i="7"/>
  <c r="K486" i="7"/>
  <c r="K490" i="7"/>
  <c r="K514" i="7"/>
  <c r="K518" i="7"/>
  <c r="K538" i="7"/>
  <c r="K542" i="7"/>
  <c r="K511" i="7"/>
  <c r="K515" i="7"/>
  <c r="K539" i="7"/>
  <c r="K543" i="7"/>
  <c r="K481" i="7"/>
  <c r="R639" i="7" l="1"/>
  <c r="R60" i="7"/>
  <c r="R645" i="7"/>
  <c r="R646" i="7" s="1"/>
  <c r="R654" i="7"/>
  <c r="R655" i="7" s="1"/>
  <c r="R652" i="7"/>
  <c r="R634" i="7" s="1"/>
  <c r="R651" i="7"/>
  <c r="R650" i="7"/>
  <c r="R633" i="7"/>
  <c r="R31" i="7"/>
  <c r="R61" i="7" s="1"/>
  <c r="Q640" i="7"/>
  <c r="Q632" i="7" s="1"/>
  <c r="R641" i="7"/>
  <c r="R638" i="7"/>
  <c r="AL160" i="1"/>
  <c r="R673" i="7"/>
  <c r="R620" i="7"/>
  <c r="R616" i="7"/>
  <c r="R584" i="7"/>
  <c r="R578" i="7"/>
  <c r="R624" i="7"/>
  <c r="R612" i="7"/>
  <c r="R38" i="7"/>
  <c r="R42" i="7"/>
  <c r="R35" i="7"/>
  <c r="D493" i="7"/>
  <c r="D519" i="7"/>
  <c r="H545" i="7"/>
  <c r="K519" i="7"/>
  <c r="G545" i="7"/>
  <c r="J493" i="7"/>
  <c r="J519" i="7"/>
  <c r="F545" i="7"/>
  <c r="I493" i="7"/>
  <c r="I519" i="7"/>
  <c r="E545" i="7"/>
  <c r="H493" i="7"/>
  <c r="H519" i="7"/>
  <c r="D545" i="7"/>
  <c r="G493" i="7"/>
  <c r="G519" i="7"/>
  <c r="C545" i="7"/>
  <c r="K545" i="7"/>
  <c r="C493" i="7"/>
  <c r="F493" i="7"/>
  <c r="E519" i="7"/>
  <c r="J545" i="7"/>
  <c r="K493" i="7"/>
  <c r="C519" i="7"/>
  <c r="E493" i="7"/>
  <c r="F519" i="7"/>
  <c r="I545" i="7"/>
  <c r="L358" i="7"/>
  <c r="L409" i="7"/>
  <c r="L383" i="7"/>
  <c r="J104" i="7"/>
  <c r="H104" i="7"/>
  <c r="I104" i="7"/>
  <c r="D104" i="7"/>
  <c r="G104" i="7"/>
  <c r="C358" i="7"/>
  <c r="D358" i="7"/>
  <c r="E358" i="7"/>
  <c r="F358" i="7"/>
  <c r="G358" i="7"/>
  <c r="H358" i="7"/>
  <c r="I358" i="7"/>
  <c r="J358" i="7"/>
  <c r="K358" i="7"/>
  <c r="C694" i="7"/>
  <c r="C679" i="7" s="1"/>
  <c r="C101" i="7" s="1"/>
  <c r="C383" i="7"/>
  <c r="D383" i="7"/>
  <c r="E383" i="7"/>
  <c r="F383" i="7"/>
  <c r="G383" i="7"/>
  <c r="H383" i="7"/>
  <c r="I383" i="7"/>
  <c r="J383" i="7"/>
  <c r="K383" i="7"/>
  <c r="C726" i="7"/>
  <c r="C711" i="7" s="1"/>
  <c r="C102" i="7" s="1"/>
  <c r="F104" i="7"/>
  <c r="C409" i="7"/>
  <c r="D409" i="7"/>
  <c r="F409" i="7"/>
  <c r="E409" i="7"/>
  <c r="G409" i="7"/>
  <c r="H409" i="7"/>
  <c r="I409" i="7"/>
  <c r="J409" i="7"/>
  <c r="K409" i="7"/>
  <c r="C758" i="7"/>
  <c r="C743" i="7" s="1"/>
  <c r="C103" i="7" s="1"/>
  <c r="E104" i="7"/>
  <c r="R756" i="7"/>
  <c r="R754" i="7"/>
  <c r="R752" i="7"/>
  <c r="R750" i="7"/>
  <c r="R755" i="7"/>
  <c r="R751" i="7"/>
  <c r="R749" i="7"/>
  <c r="R725" i="7"/>
  <c r="R724" i="7"/>
  <c r="R723" i="7"/>
  <c r="R722" i="7"/>
  <c r="R721" i="7"/>
  <c r="R720" i="7"/>
  <c r="R719" i="7"/>
  <c r="R718" i="7"/>
  <c r="R717" i="7"/>
  <c r="R716" i="7"/>
  <c r="R693" i="7"/>
  <c r="R692" i="7"/>
  <c r="R691" i="7"/>
  <c r="R753" i="7"/>
  <c r="R748" i="7"/>
  <c r="R757" i="7"/>
  <c r="R690" i="7"/>
  <c r="R688" i="7"/>
  <c r="R686" i="7"/>
  <c r="R684" i="7"/>
  <c r="R689" i="7"/>
  <c r="R687" i="7"/>
  <c r="R685" i="7"/>
  <c r="R62" i="7"/>
  <c r="R28" i="7"/>
  <c r="S2" i="7"/>
  <c r="M667" i="7"/>
  <c r="L400" i="7"/>
  <c r="L694" i="7"/>
  <c r="L679" i="7" s="1"/>
  <c r="L101" i="7" s="1"/>
  <c r="L758" i="7"/>
  <c r="L743" i="7" s="1"/>
  <c r="L103" i="7" s="1"/>
  <c r="L349" i="7"/>
  <c r="L39" i="7"/>
  <c r="L726" i="7"/>
  <c r="L711" i="7" s="1"/>
  <c r="L102" i="7" s="1"/>
  <c r="K537" i="7"/>
  <c r="L490" i="7"/>
  <c r="L345" i="7"/>
  <c r="L488" i="7"/>
  <c r="L489" i="7"/>
  <c r="L493" i="7"/>
  <c r="L513" i="7"/>
  <c r="L517" i="7"/>
  <c r="L541" i="7"/>
  <c r="L545" i="7"/>
  <c r="L514" i="7"/>
  <c r="L518" i="7"/>
  <c r="L538" i="7"/>
  <c r="L542" i="7"/>
  <c r="K485" i="7"/>
  <c r="M769" i="7"/>
  <c r="M768" i="7"/>
  <c r="M767" i="7"/>
  <c r="M766" i="7"/>
  <c r="M765" i="7"/>
  <c r="M764" i="7"/>
  <c r="M761" i="7"/>
  <c r="M409" i="7"/>
  <c r="M408" i="7"/>
  <c r="M407" i="7"/>
  <c r="M406" i="7"/>
  <c r="M405" i="7"/>
  <c r="M404" i="7"/>
  <c r="M403" i="7"/>
  <c r="M402" i="7"/>
  <c r="M401" i="7"/>
  <c r="M383" i="7"/>
  <c r="M382" i="7"/>
  <c r="M381" i="7"/>
  <c r="M380" i="7"/>
  <c r="M379" i="7"/>
  <c r="M378" i="7"/>
  <c r="M377" i="7"/>
  <c r="M737" i="7"/>
  <c r="M736" i="7"/>
  <c r="M735" i="7"/>
  <c r="M734" i="7"/>
  <c r="M733" i="7"/>
  <c r="M732" i="7"/>
  <c r="M731" i="7"/>
  <c r="M730" i="7"/>
  <c r="M729" i="7"/>
  <c r="M358" i="7"/>
  <c r="M357" i="7"/>
  <c r="M356" i="7"/>
  <c r="M355" i="7"/>
  <c r="M354" i="7"/>
  <c r="M353" i="7"/>
  <c r="M376" i="7"/>
  <c r="M375" i="7"/>
  <c r="M374" i="7"/>
  <c r="M705" i="7"/>
  <c r="M704" i="7"/>
  <c r="M703" i="7"/>
  <c r="M702" i="7"/>
  <c r="M701" i="7"/>
  <c r="M700" i="7"/>
  <c r="M699" i="7"/>
  <c r="M698" i="7"/>
  <c r="M697" i="7"/>
  <c r="M352" i="7"/>
  <c r="M351" i="7"/>
  <c r="M350" i="7"/>
  <c r="M349" i="7"/>
  <c r="M585" i="7"/>
  <c r="M579" i="7"/>
  <c r="M465" i="7"/>
  <c r="M464" i="7"/>
  <c r="M463" i="7"/>
  <c r="M462" i="7"/>
  <c r="M461" i="7"/>
  <c r="M460" i="7"/>
  <c r="M480" i="7"/>
  <c r="M344" i="7"/>
  <c r="M329" i="7"/>
  <c r="M328" i="7"/>
  <c r="M327" i="7"/>
  <c r="M326" i="7"/>
  <c r="M325" i="7"/>
  <c r="M324" i="7"/>
  <c r="M37" i="7"/>
  <c r="L486" i="7"/>
  <c r="L492" i="7"/>
  <c r="L487" i="7"/>
  <c r="L491" i="7"/>
  <c r="L511" i="7"/>
  <c r="L515" i="7"/>
  <c r="L519" i="7"/>
  <c r="L539" i="7"/>
  <c r="L543" i="7"/>
  <c r="L481" i="7"/>
  <c r="L512" i="7"/>
  <c r="L516" i="7"/>
  <c r="L540" i="7"/>
  <c r="L544" i="7"/>
  <c r="K104" i="7"/>
  <c r="S639" i="7" l="1"/>
  <c r="S60" i="7"/>
  <c r="S645" i="7"/>
  <c r="S646" i="7" s="1"/>
  <c r="S654" i="7"/>
  <c r="S655" i="7" s="1"/>
  <c r="S652" i="7"/>
  <c r="S634" i="7" s="1"/>
  <c r="S651" i="7"/>
  <c r="S650" i="7"/>
  <c r="S31" i="7"/>
  <c r="S61" i="7" s="1"/>
  <c r="S633" i="7"/>
  <c r="S641" i="7"/>
  <c r="R640" i="7"/>
  <c r="R632" i="7" s="1"/>
  <c r="S638" i="7"/>
  <c r="AM160" i="1"/>
  <c r="S673" i="7"/>
  <c r="S584" i="7"/>
  <c r="S578" i="7"/>
  <c r="S624" i="7"/>
  <c r="S620" i="7"/>
  <c r="S616" i="7"/>
  <c r="S612" i="7"/>
  <c r="S38" i="7"/>
  <c r="S42" i="7"/>
  <c r="S35" i="7"/>
  <c r="H494" i="7"/>
  <c r="J546" i="7"/>
  <c r="E520" i="7"/>
  <c r="G494" i="7"/>
  <c r="L485" i="7"/>
  <c r="I546" i="7"/>
  <c r="D520" i="7"/>
  <c r="F494" i="7"/>
  <c r="F520" i="7"/>
  <c r="L537" i="7"/>
  <c r="H546" i="7"/>
  <c r="K520" i="7"/>
  <c r="C520" i="7"/>
  <c r="E494" i="7"/>
  <c r="L520" i="7"/>
  <c r="G546" i="7"/>
  <c r="J520" i="7"/>
  <c r="D494" i="7"/>
  <c r="L546" i="7"/>
  <c r="C546" i="7"/>
  <c r="E546" i="7"/>
  <c r="I520" i="7"/>
  <c r="K494" i="7"/>
  <c r="C494" i="7"/>
  <c r="L494" i="7"/>
  <c r="K546" i="7"/>
  <c r="F546" i="7"/>
  <c r="H520" i="7"/>
  <c r="J494" i="7"/>
  <c r="D546" i="7"/>
  <c r="G520" i="7"/>
  <c r="I494" i="7"/>
  <c r="C104" i="7"/>
  <c r="S757" i="7"/>
  <c r="S756" i="7"/>
  <c r="S755" i="7"/>
  <c r="S754" i="7"/>
  <c r="S753" i="7"/>
  <c r="S752" i="7"/>
  <c r="S751" i="7"/>
  <c r="S750" i="7"/>
  <c r="S720" i="7"/>
  <c r="S749" i="7"/>
  <c r="S725" i="7"/>
  <c r="S723" i="7"/>
  <c r="S721" i="7"/>
  <c r="S719" i="7"/>
  <c r="S748" i="7"/>
  <c r="S724" i="7"/>
  <c r="S722" i="7"/>
  <c r="S718" i="7"/>
  <c r="S716" i="7"/>
  <c r="S691" i="7"/>
  <c r="S690" i="7"/>
  <c r="S688" i="7"/>
  <c r="S686" i="7"/>
  <c r="S684" i="7"/>
  <c r="S717" i="7"/>
  <c r="S692" i="7"/>
  <c r="S689" i="7"/>
  <c r="S687" i="7"/>
  <c r="S685" i="7"/>
  <c r="S693" i="7"/>
  <c r="S28" i="7"/>
  <c r="S62" i="7"/>
  <c r="T2" i="7"/>
  <c r="N667" i="7"/>
  <c r="M400" i="7"/>
  <c r="L104" i="7"/>
  <c r="M758" i="7"/>
  <c r="M743" i="7" s="1"/>
  <c r="M103" i="7" s="1"/>
  <c r="M39" i="7"/>
  <c r="M486" i="7"/>
  <c r="M515" i="7"/>
  <c r="M519" i="7"/>
  <c r="M538" i="7"/>
  <c r="M493" i="7"/>
  <c r="M542" i="7"/>
  <c r="M546" i="7"/>
  <c r="M489" i="7"/>
  <c r="M491" i="7"/>
  <c r="M488" i="7"/>
  <c r="M492" i="7"/>
  <c r="M512" i="7"/>
  <c r="M516" i="7"/>
  <c r="M520" i="7"/>
  <c r="M540" i="7"/>
  <c r="M544" i="7"/>
  <c r="M513" i="7"/>
  <c r="M517" i="7"/>
  <c r="M541" i="7"/>
  <c r="M545" i="7"/>
  <c r="N769" i="7"/>
  <c r="N768" i="7"/>
  <c r="N767" i="7"/>
  <c r="N766" i="7"/>
  <c r="N765" i="7"/>
  <c r="N764" i="7"/>
  <c r="N761" i="7"/>
  <c r="N409" i="7"/>
  <c r="N408" i="7"/>
  <c r="N407" i="7"/>
  <c r="N406" i="7"/>
  <c r="N405" i="7"/>
  <c r="N404" i="7"/>
  <c r="N403" i="7"/>
  <c r="N402" i="7"/>
  <c r="N401" i="7"/>
  <c r="N400" i="7"/>
  <c r="N737" i="7"/>
  <c r="N736" i="7"/>
  <c r="N735" i="7"/>
  <c r="N734" i="7"/>
  <c r="N733" i="7"/>
  <c r="N732" i="7"/>
  <c r="N731" i="7"/>
  <c r="N730" i="7"/>
  <c r="N729" i="7"/>
  <c r="N383" i="7"/>
  <c r="N382" i="7"/>
  <c r="N381" i="7"/>
  <c r="N380" i="7"/>
  <c r="N379" i="7"/>
  <c r="N378" i="7"/>
  <c r="N377" i="7"/>
  <c r="N376" i="7"/>
  <c r="N375" i="7"/>
  <c r="N374" i="7"/>
  <c r="N705" i="7"/>
  <c r="N704" i="7"/>
  <c r="N703" i="7"/>
  <c r="N702" i="7"/>
  <c r="N701" i="7"/>
  <c r="N700" i="7"/>
  <c r="N699" i="7"/>
  <c r="N698" i="7"/>
  <c r="N697" i="7"/>
  <c r="N358" i="7"/>
  <c r="N357" i="7"/>
  <c r="N356" i="7"/>
  <c r="N355" i="7"/>
  <c r="N354" i="7"/>
  <c r="N353" i="7"/>
  <c r="N352" i="7"/>
  <c r="N351" i="7"/>
  <c r="N350" i="7"/>
  <c r="N349" i="7"/>
  <c r="N585" i="7"/>
  <c r="N579" i="7"/>
  <c r="N480" i="7"/>
  <c r="N465" i="7"/>
  <c r="N464" i="7"/>
  <c r="N463" i="7"/>
  <c r="N462" i="7"/>
  <c r="N461" i="7"/>
  <c r="N460" i="7"/>
  <c r="N329" i="7"/>
  <c r="N328" i="7"/>
  <c r="N327" i="7"/>
  <c r="N326" i="7"/>
  <c r="N325" i="7"/>
  <c r="N324" i="7"/>
  <c r="N344" i="7"/>
  <c r="N37" i="7"/>
  <c r="M345" i="7"/>
  <c r="M485" i="7"/>
  <c r="M487" i="7"/>
  <c r="M490" i="7"/>
  <c r="M494" i="7"/>
  <c r="M514" i="7"/>
  <c r="M518" i="7"/>
  <c r="M511" i="7"/>
  <c r="M539" i="7"/>
  <c r="M543" i="7"/>
  <c r="M481" i="7"/>
  <c r="M694" i="7"/>
  <c r="M679" i="7" s="1"/>
  <c r="M101" i="7" s="1"/>
  <c r="M726" i="7"/>
  <c r="M711" i="7" s="1"/>
  <c r="M102" i="7" s="1"/>
  <c r="T639" i="7" l="1"/>
  <c r="T60" i="7"/>
  <c r="T645" i="7"/>
  <c r="T646" i="7" s="1"/>
  <c r="T654" i="7"/>
  <c r="T655" i="7" s="1"/>
  <c r="T652" i="7"/>
  <c r="T634" i="7" s="1"/>
  <c r="T651" i="7"/>
  <c r="T650" i="7"/>
  <c r="T31" i="7"/>
  <c r="T61" i="7" s="1"/>
  <c r="T633" i="7"/>
  <c r="T641" i="7"/>
  <c r="S640" i="7"/>
  <c r="S632" i="7" s="1"/>
  <c r="T638" i="7"/>
  <c r="AN160" i="1"/>
  <c r="T673" i="7"/>
  <c r="T620" i="7"/>
  <c r="T612" i="7"/>
  <c r="T584" i="7"/>
  <c r="T578" i="7"/>
  <c r="T624" i="7"/>
  <c r="T616" i="7"/>
  <c r="T38" i="7"/>
  <c r="T42" i="7"/>
  <c r="T35" i="7"/>
  <c r="M537" i="7"/>
  <c r="T756" i="7"/>
  <c r="T754" i="7"/>
  <c r="T752" i="7"/>
  <c r="T750" i="7"/>
  <c r="T748" i="7"/>
  <c r="T749" i="7"/>
  <c r="T755" i="7"/>
  <c r="T725" i="7"/>
  <c r="T723" i="7"/>
  <c r="T721" i="7"/>
  <c r="T757" i="7"/>
  <c r="T751" i="7"/>
  <c r="T753" i="7"/>
  <c r="T724" i="7"/>
  <c r="T722" i="7"/>
  <c r="T720" i="7"/>
  <c r="T718" i="7"/>
  <c r="T716" i="7"/>
  <c r="T692" i="7"/>
  <c r="T690" i="7"/>
  <c r="T689" i="7"/>
  <c r="T688" i="7"/>
  <c r="T687" i="7"/>
  <c r="T686" i="7"/>
  <c r="T685" i="7"/>
  <c r="T684" i="7"/>
  <c r="T717" i="7"/>
  <c r="T719" i="7"/>
  <c r="T693" i="7"/>
  <c r="T691" i="7"/>
  <c r="T28" i="7"/>
  <c r="T62" i="7"/>
  <c r="U2" i="7"/>
  <c r="O667" i="7"/>
  <c r="N514" i="7"/>
  <c r="N490" i="7"/>
  <c r="N492" i="7"/>
  <c r="N538" i="7"/>
  <c r="N542" i="7"/>
  <c r="N546" i="7"/>
  <c r="N518" i="7"/>
  <c r="N488" i="7"/>
  <c r="N345" i="7"/>
  <c r="N486" i="7"/>
  <c r="N494" i="7"/>
  <c r="N487" i="7"/>
  <c r="N491" i="7"/>
  <c r="N511" i="7"/>
  <c r="N515" i="7"/>
  <c r="N519" i="7"/>
  <c r="N539" i="7"/>
  <c r="N543" i="7"/>
  <c r="N481" i="7"/>
  <c r="N512" i="7"/>
  <c r="N516" i="7"/>
  <c r="N520" i="7"/>
  <c r="N540" i="7"/>
  <c r="N544" i="7"/>
  <c r="O769" i="7"/>
  <c r="O768" i="7"/>
  <c r="O767" i="7"/>
  <c r="O766" i="7"/>
  <c r="O765" i="7"/>
  <c r="O763" i="7"/>
  <c r="O409" i="7"/>
  <c r="O408" i="7"/>
  <c r="O407" i="7"/>
  <c r="O406" i="7"/>
  <c r="O405" i="7"/>
  <c r="O404" i="7"/>
  <c r="O403" i="7"/>
  <c r="O402" i="7"/>
  <c r="O761" i="7"/>
  <c r="O400" i="7"/>
  <c r="O383" i="7"/>
  <c r="O382" i="7"/>
  <c r="O381" i="7"/>
  <c r="O380" i="7"/>
  <c r="O379" i="7"/>
  <c r="O378" i="7"/>
  <c r="O377" i="7"/>
  <c r="O401" i="7"/>
  <c r="O737" i="7"/>
  <c r="O736" i="7"/>
  <c r="O735" i="7"/>
  <c r="O734" i="7"/>
  <c r="O733" i="7"/>
  <c r="O732" i="7"/>
  <c r="O731" i="7"/>
  <c r="O730" i="7"/>
  <c r="O729" i="7"/>
  <c r="O358" i="7"/>
  <c r="O357" i="7"/>
  <c r="O356" i="7"/>
  <c r="O355" i="7"/>
  <c r="O354" i="7"/>
  <c r="O353" i="7"/>
  <c r="O376" i="7"/>
  <c r="O375" i="7"/>
  <c r="O374" i="7"/>
  <c r="O705" i="7"/>
  <c r="O704" i="7"/>
  <c r="O703" i="7"/>
  <c r="O702" i="7"/>
  <c r="O701" i="7"/>
  <c r="O700" i="7"/>
  <c r="O699" i="7"/>
  <c r="O698" i="7"/>
  <c r="O351" i="7"/>
  <c r="O352" i="7"/>
  <c r="O350" i="7"/>
  <c r="O585" i="7"/>
  <c r="O579" i="7"/>
  <c r="O465" i="7"/>
  <c r="O464" i="7"/>
  <c r="O463" i="7"/>
  <c r="O462" i="7"/>
  <c r="O461" i="7"/>
  <c r="O460" i="7"/>
  <c r="O480" i="7"/>
  <c r="O344" i="7"/>
  <c r="O329" i="7"/>
  <c r="O328" i="7"/>
  <c r="O327" i="7"/>
  <c r="O326" i="7"/>
  <c r="O325" i="7"/>
  <c r="O324" i="7"/>
  <c r="O37" i="7"/>
  <c r="N485" i="7"/>
  <c r="N489" i="7"/>
  <c r="N493" i="7"/>
  <c r="N513" i="7"/>
  <c r="N517" i="7"/>
  <c r="N537" i="7"/>
  <c r="N541" i="7"/>
  <c r="N545" i="7"/>
  <c r="M104" i="7"/>
  <c r="N39" i="7"/>
  <c r="N694" i="7"/>
  <c r="N679" i="7" s="1"/>
  <c r="N101" i="7" s="1"/>
  <c r="N726" i="7"/>
  <c r="N711" i="7" s="1"/>
  <c r="N102" i="7" s="1"/>
  <c r="N758" i="7"/>
  <c r="N743" i="7" s="1"/>
  <c r="N103" i="7" s="1"/>
  <c r="U639" i="7" l="1"/>
  <c r="U60" i="7"/>
  <c r="U645" i="7"/>
  <c r="U646" i="7" s="1"/>
  <c r="U654" i="7"/>
  <c r="U655" i="7" s="1"/>
  <c r="U652" i="7"/>
  <c r="U634" i="7" s="1"/>
  <c r="U651" i="7"/>
  <c r="U650" i="7"/>
  <c r="U633" i="7"/>
  <c r="U31" i="7"/>
  <c r="U61" i="7" s="1"/>
  <c r="U641" i="7"/>
  <c r="T640" i="7"/>
  <c r="T632" i="7" s="1"/>
  <c r="U638" i="7"/>
  <c r="AO160" i="1"/>
  <c r="U673" i="7"/>
  <c r="U584" i="7"/>
  <c r="U578" i="7"/>
  <c r="U624" i="7"/>
  <c r="U620" i="7"/>
  <c r="U616" i="7"/>
  <c r="U612" i="7"/>
  <c r="U38" i="7"/>
  <c r="U42" i="7"/>
  <c r="U35" i="7"/>
  <c r="U757" i="7"/>
  <c r="U755" i="7"/>
  <c r="U753" i="7"/>
  <c r="U751" i="7"/>
  <c r="U749" i="7"/>
  <c r="U748" i="7"/>
  <c r="U725" i="7"/>
  <c r="U756" i="7"/>
  <c r="U752" i="7"/>
  <c r="U754" i="7"/>
  <c r="U750" i="7"/>
  <c r="U724" i="7"/>
  <c r="U722" i="7"/>
  <c r="U720" i="7"/>
  <c r="U723" i="7"/>
  <c r="U721" i="7"/>
  <c r="U719" i="7"/>
  <c r="U717" i="7"/>
  <c r="U693" i="7"/>
  <c r="U692" i="7"/>
  <c r="U718" i="7"/>
  <c r="U689" i="7"/>
  <c r="U687" i="7"/>
  <c r="U685" i="7"/>
  <c r="U691" i="7"/>
  <c r="U716" i="7"/>
  <c r="U690" i="7"/>
  <c r="U688" i="7"/>
  <c r="U686" i="7"/>
  <c r="U684" i="7"/>
  <c r="U62" i="7"/>
  <c r="U28" i="7"/>
  <c r="V2" i="7"/>
  <c r="P667" i="7"/>
  <c r="O39" i="7"/>
  <c r="O694" i="7"/>
  <c r="O679" i="7" s="1"/>
  <c r="O101" i="7" s="1"/>
  <c r="O726" i="7"/>
  <c r="O711" i="7" s="1"/>
  <c r="O102" i="7" s="1"/>
  <c r="O513" i="7"/>
  <c r="O492" i="7"/>
  <c r="O541" i="7"/>
  <c r="O488" i="7"/>
  <c r="O516" i="7"/>
  <c r="P769" i="7"/>
  <c r="P768" i="7"/>
  <c r="P767" i="7"/>
  <c r="P766" i="7"/>
  <c r="P765" i="7"/>
  <c r="P763" i="7"/>
  <c r="P761" i="7"/>
  <c r="P409" i="7"/>
  <c r="P408" i="7"/>
  <c r="P407" i="7"/>
  <c r="P406" i="7"/>
  <c r="P405" i="7"/>
  <c r="P404" i="7"/>
  <c r="P403" i="7"/>
  <c r="P402" i="7"/>
  <c r="P401" i="7"/>
  <c r="P400" i="7"/>
  <c r="P737" i="7"/>
  <c r="P736" i="7"/>
  <c r="P735" i="7"/>
  <c r="P734" i="7"/>
  <c r="P733" i="7"/>
  <c r="P732" i="7"/>
  <c r="P731" i="7"/>
  <c r="P730" i="7"/>
  <c r="P729" i="7"/>
  <c r="P383" i="7"/>
  <c r="P382" i="7"/>
  <c r="P381" i="7"/>
  <c r="P380" i="7"/>
  <c r="P379" i="7"/>
  <c r="P378" i="7"/>
  <c r="P377" i="7"/>
  <c r="P376" i="7"/>
  <c r="P375" i="7"/>
  <c r="P374" i="7"/>
  <c r="P705" i="7"/>
  <c r="P704" i="7"/>
  <c r="P703" i="7"/>
  <c r="P702" i="7"/>
  <c r="P701" i="7"/>
  <c r="P700" i="7"/>
  <c r="P699" i="7"/>
  <c r="P698" i="7"/>
  <c r="P358" i="7"/>
  <c r="P357" i="7"/>
  <c r="P356" i="7"/>
  <c r="P355" i="7"/>
  <c r="P354" i="7"/>
  <c r="P353" i="7"/>
  <c r="P352" i="7"/>
  <c r="P351" i="7"/>
  <c r="P350" i="7"/>
  <c r="P585" i="7"/>
  <c r="P579" i="7"/>
  <c r="P480" i="7"/>
  <c r="P465" i="7"/>
  <c r="P464" i="7"/>
  <c r="P463" i="7"/>
  <c r="P462" i="7"/>
  <c r="P461" i="7"/>
  <c r="P460" i="7"/>
  <c r="P329" i="7"/>
  <c r="P328" i="7"/>
  <c r="P327" i="7"/>
  <c r="P326" i="7"/>
  <c r="P325" i="7"/>
  <c r="P324" i="7"/>
  <c r="P344" i="7"/>
  <c r="P37" i="7"/>
  <c r="O489" i="7"/>
  <c r="O490" i="7"/>
  <c r="O514" i="7"/>
  <c r="O538" i="7"/>
  <c r="O542" i="7"/>
  <c r="O546" i="7"/>
  <c r="O515" i="7"/>
  <c r="O519" i="7"/>
  <c r="O543" i="7"/>
  <c r="O481" i="7"/>
  <c r="O491" i="7"/>
  <c r="O493" i="7"/>
  <c r="O512" i="7"/>
  <c r="O520" i="7"/>
  <c r="O540" i="7"/>
  <c r="O544" i="7"/>
  <c r="O517" i="7"/>
  <c r="O537" i="7"/>
  <c r="O545" i="7"/>
  <c r="N104" i="7"/>
  <c r="O349" i="7"/>
  <c r="O758" i="7"/>
  <c r="O743" i="7" s="1"/>
  <c r="O103" i="7" s="1"/>
  <c r="O345" i="7"/>
  <c r="O487" i="7"/>
  <c r="O486" i="7"/>
  <c r="O494" i="7"/>
  <c r="O518" i="7"/>
  <c r="O511" i="7"/>
  <c r="O539" i="7"/>
  <c r="V639" i="7" l="1"/>
  <c r="V60" i="7"/>
  <c r="V645" i="7"/>
  <c r="V646" i="7" s="1"/>
  <c r="V654" i="7"/>
  <c r="V655" i="7" s="1"/>
  <c r="V652" i="7"/>
  <c r="V634" i="7" s="1"/>
  <c r="V651" i="7"/>
  <c r="V650" i="7"/>
  <c r="V633" i="7"/>
  <c r="V31" i="7"/>
  <c r="V61" i="7" s="1"/>
  <c r="V641" i="7"/>
  <c r="U640" i="7"/>
  <c r="U632" i="7" s="1"/>
  <c r="V638" i="7"/>
  <c r="AP160" i="1"/>
  <c r="V673" i="7"/>
  <c r="V578" i="7"/>
  <c r="V624" i="7"/>
  <c r="V620" i="7"/>
  <c r="V616" i="7"/>
  <c r="V612" i="7"/>
  <c r="V584" i="7"/>
  <c r="V38" i="7"/>
  <c r="V42" i="7"/>
  <c r="V35" i="7"/>
  <c r="V757" i="7"/>
  <c r="V755" i="7"/>
  <c r="V753" i="7"/>
  <c r="V751" i="7"/>
  <c r="V724" i="7"/>
  <c r="V723" i="7"/>
  <c r="V722" i="7"/>
  <c r="V721" i="7"/>
  <c r="V720" i="7"/>
  <c r="V719" i="7"/>
  <c r="V718" i="7"/>
  <c r="V717" i="7"/>
  <c r="V716" i="7"/>
  <c r="V693" i="7"/>
  <c r="V692" i="7"/>
  <c r="V691" i="7"/>
  <c r="V750" i="7"/>
  <c r="V725" i="7"/>
  <c r="V756" i="7"/>
  <c r="V752" i="7"/>
  <c r="V748" i="7"/>
  <c r="V754" i="7"/>
  <c r="V749" i="7"/>
  <c r="V689" i="7"/>
  <c r="V687" i="7"/>
  <c r="V685" i="7"/>
  <c r="V690" i="7"/>
  <c r="V688" i="7"/>
  <c r="V686" i="7"/>
  <c r="V684" i="7"/>
  <c r="V62" i="7"/>
  <c r="V28" i="7"/>
  <c r="W2" i="7"/>
  <c r="Q667" i="7"/>
  <c r="O104" i="7"/>
  <c r="O485" i="7"/>
  <c r="P490" i="7"/>
  <c r="P345" i="7"/>
  <c r="P488" i="7"/>
  <c r="P489" i="7"/>
  <c r="P493" i="7"/>
  <c r="P513" i="7"/>
  <c r="P517" i="7"/>
  <c r="P537" i="7"/>
  <c r="P541" i="7"/>
  <c r="P545" i="7"/>
  <c r="P514" i="7"/>
  <c r="P518" i="7"/>
  <c r="P538" i="7"/>
  <c r="P542" i="7"/>
  <c r="P546" i="7"/>
  <c r="P39" i="7"/>
  <c r="P349" i="7"/>
  <c r="P694" i="7"/>
  <c r="P679" i="7" s="1"/>
  <c r="P101" i="7" s="1"/>
  <c r="P726" i="7"/>
  <c r="P711" i="7" s="1"/>
  <c r="P102" i="7" s="1"/>
  <c r="P758" i="7"/>
  <c r="P743" i="7" s="1"/>
  <c r="P103" i="7" s="1"/>
  <c r="Q769" i="7"/>
  <c r="Q768" i="7"/>
  <c r="Q767" i="7"/>
  <c r="Q766" i="7"/>
  <c r="Q765" i="7"/>
  <c r="Q763" i="7"/>
  <c r="Q761" i="7"/>
  <c r="Q409" i="7"/>
  <c r="Q408" i="7"/>
  <c r="Q407" i="7"/>
  <c r="Q406" i="7"/>
  <c r="Q405" i="7"/>
  <c r="Q404" i="7"/>
  <c r="Q403" i="7"/>
  <c r="Q402" i="7"/>
  <c r="Q401" i="7"/>
  <c r="Q383" i="7"/>
  <c r="Q382" i="7"/>
  <c r="Q381" i="7"/>
  <c r="Q380" i="7"/>
  <c r="Q379" i="7"/>
  <c r="Q378" i="7"/>
  <c r="Q377" i="7"/>
  <c r="Q400" i="7"/>
  <c r="Q737" i="7"/>
  <c r="Q736" i="7"/>
  <c r="Q735" i="7"/>
  <c r="Q734" i="7"/>
  <c r="Q733" i="7"/>
  <c r="Q732" i="7"/>
  <c r="Q731" i="7"/>
  <c r="Q730" i="7"/>
  <c r="Q729" i="7"/>
  <c r="Q376" i="7"/>
  <c r="Q358" i="7"/>
  <c r="Q357" i="7"/>
  <c r="Q356" i="7"/>
  <c r="Q355" i="7"/>
  <c r="Q354" i="7"/>
  <c r="Q353" i="7"/>
  <c r="Q375" i="7"/>
  <c r="Q705" i="7"/>
  <c r="Q704" i="7"/>
  <c r="Q703" i="7"/>
  <c r="Q702" i="7"/>
  <c r="Q701" i="7"/>
  <c r="Q700" i="7"/>
  <c r="Q699" i="7"/>
  <c r="Q698" i="7"/>
  <c r="Q352" i="7"/>
  <c r="Q351" i="7"/>
  <c r="Q350" i="7"/>
  <c r="Q585" i="7"/>
  <c r="Q579" i="7"/>
  <c r="Q465" i="7"/>
  <c r="Q464" i="7"/>
  <c r="Q463" i="7"/>
  <c r="Q462" i="7"/>
  <c r="Q461" i="7"/>
  <c r="Q460" i="7"/>
  <c r="Q480" i="7"/>
  <c r="Q344" i="7"/>
  <c r="Q329" i="7"/>
  <c r="Q328" i="7"/>
  <c r="Q327" i="7"/>
  <c r="Q326" i="7"/>
  <c r="Q325" i="7"/>
  <c r="Q324" i="7"/>
  <c r="Q37" i="7"/>
  <c r="P486" i="7"/>
  <c r="P494" i="7"/>
  <c r="P492" i="7"/>
  <c r="P487" i="7"/>
  <c r="P491" i="7"/>
  <c r="P511" i="7"/>
  <c r="P515" i="7"/>
  <c r="P519" i="7"/>
  <c r="P539" i="7"/>
  <c r="P543" i="7"/>
  <c r="P481" i="7"/>
  <c r="P512" i="7"/>
  <c r="P516" i="7"/>
  <c r="P520" i="7"/>
  <c r="P540" i="7"/>
  <c r="P544" i="7"/>
  <c r="W639" i="7" l="1"/>
  <c r="W60" i="7"/>
  <c r="W645" i="7"/>
  <c r="W646" i="7" s="1"/>
  <c r="W654" i="7"/>
  <c r="W655" i="7" s="1"/>
  <c r="W652" i="7"/>
  <c r="W634" i="7" s="1"/>
  <c r="W651" i="7"/>
  <c r="W650" i="7"/>
  <c r="W31" i="7"/>
  <c r="W61" i="7" s="1"/>
  <c r="W633" i="7"/>
  <c r="W641" i="7"/>
  <c r="V640" i="7"/>
  <c r="V632" i="7" s="1"/>
  <c r="W638" i="7"/>
  <c r="AQ160" i="1"/>
  <c r="W673" i="7"/>
  <c r="W584" i="7"/>
  <c r="W578" i="7"/>
  <c r="W616" i="7"/>
  <c r="W624" i="7"/>
  <c r="W620" i="7"/>
  <c r="W612" i="7"/>
  <c r="W38" i="7"/>
  <c r="W42" i="7"/>
  <c r="W35" i="7"/>
  <c r="W757" i="7"/>
  <c r="W756" i="7"/>
  <c r="W755" i="7"/>
  <c r="W754" i="7"/>
  <c r="W753" i="7"/>
  <c r="W752" i="7"/>
  <c r="W751" i="7"/>
  <c r="W750" i="7"/>
  <c r="W749" i="7"/>
  <c r="W725" i="7"/>
  <c r="W748" i="7"/>
  <c r="W724" i="7"/>
  <c r="W722" i="7"/>
  <c r="W723" i="7"/>
  <c r="W721" i="7"/>
  <c r="W719" i="7"/>
  <c r="W717" i="7"/>
  <c r="W693" i="7"/>
  <c r="W691" i="7"/>
  <c r="W718" i="7"/>
  <c r="W690" i="7"/>
  <c r="W688" i="7"/>
  <c r="W686" i="7"/>
  <c r="W684" i="7"/>
  <c r="W720" i="7"/>
  <c r="W716" i="7"/>
  <c r="W692" i="7"/>
  <c r="W689" i="7"/>
  <c r="W687" i="7"/>
  <c r="W685" i="7"/>
  <c r="W28" i="7"/>
  <c r="W62" i="7"/>
  <c r="X2" i="7"/>
  <c r="R667" i="7"/>
  <c r="Q349" i="7"/>
  <c r="Q726" i="7"/>
  <c r="Q711" i="7" s="1"/>
  <c r="Q102" i="7" s="1"/>
  <c r="Q39" i="7"/>
  <c r="Q374" i="7"/>
  <c r="Q694" i="7"/>
  <c r="Q679" i="7" s="1"/>
  <c r="Q101" i="7" s="1"/>
  <c r="Q489" i="7"/>
  <c r="Q491" i="7"/>
  <c r="Q488" i="7"/>
  <c r="Q492" i="7"/>
  <c r="Q512" i="7"/>
  <c r="Q516" i="7"/>
  <c r="Q520" i="7"/>
  <c r="Q540" i="7"/>
  <c r="Q544" i="7"/>
  <c r="Q513" i="7"/>
  <c r="Q517" i="7"/>
  <c r="Q537" i="7"/>
  <c r="Q541" i="7"/>
  <c r="Q545" i="7"/>
  <c r="P485" i="7"/>
  <c r="Q758" i="7"/>
  <c r="Q743" i="7" s="1"/>
  <c r="Q103" i="7" s="1"/>
  <c r="P104" i="7"/>
  <c r="R769" i="7"/>
  <c r="R768" i="7"/>
  <c r="R767" i="7"/>
  <c r="R766" i="7"/>
  <c r="R764" i="7"/>
  <c r="R762" i="7"/>
  <c r="R761" i="7"/>
  <c r="R409" i="7"/>
  <c r="R408" i="7"/>
  <c r="R407" i="7"/>
  <c r="R406" i="7"/>
  <c r="R405" i="7"/>
  <c r="R404" i="7"/>
  <c r="R403" i="7"/>
  <c r="R402" i="7"/>
  <c r="R401" i="7"/>
  <c r="R400" i="7"/>
  <c r="R737" i="7"/>
  <c r="R736" i="7"/>
  <c r="R735" i="7"/>
  <c r="R734" i="7"/>
  <c r="R733" i="7"/>
  <c r="R732" i="7"/>
  <c r="R731" i="7"/>
  <c r="R730" i="7"/>
  <c r="R728" i="7"/>
  <c r="R383" i="7"/>
  <c r="R382" i="7"/>
  <c r="R381" i="7"/>
  <c r="R380" i="7"/>
  <c r="R379" i="7"/>
  <c r="R378" i="7"/>
  <c r="R377" i="7"/>
  <c r="R376" i="7"/>
  <c r="R375" i="7"/>
  <c r="R374" i="7"/>
  <c r="R705" i="7"/>
  <c r="R704" i="7"/>
  <c r="R703" i="7"/>
  <c r="R702" i="7"/>
  <c r="R701" i="7"/>
  <c r="R700" i="7"/>
  <c r="R699" i="7"/>
  <c r="R698" i="7"/>
  <c r="R696" i="7"/>
  <c r="R358" i="7"/>
  <c r="R357" i="7"/>
  <c r="R356" i="7"/>
  <c r="R355" i="7"/>
  <c r="R354" i="7"/>
  <c r="R353" i="7"/>
  <c r="R352" i="7"/>
  <c r="R351" i="7"/>
  <c r="R350" i="7"/>
  <c r="R585" i="7"/>
  <c r="R579" i="7"/>
  <c r="R480" i="7"/>
  <c r="R465" i="7"/>
  <c r="R464" i="7"/>
  <c r="R463" i="7"/>
  <c r="R462" i="7"/>
  <c r="R461" i="7"/>
  <c r="R460" i="7"/>
  <c r="R329" i="7"/>
  <c r="R328" i="7"/>
  <c r="R327" i="7"/>
  <c r="R326" i="7"/>
  <c r="R325" i="7"/>
  <c r="R324" i="7"/>
  <c r="R344" i="7"/>
  <c r="R37" i="7"/>
  <c r="Q345" i="7"/>
  <c r="Q493" i="7"/>
  <c r="Q487" i="7"/>
  <c r="Q486" i="7"/>
  <c r="Q490" i="7"/>
  <c r="Q494" i="7"/>
  <c r="Q514" i="7"/>
  <c r="Q518" i="7"/>
  <c r="Q538" i="7"/>
  <c r="Q542" i="7"/>
  <c r="Q546" i="7"/>
  <c r="Q515" i="7"/>
  <c r="Q519" i="7"/>
  <c r="Q539" i="7"/>
  <c r="Q543" i="7"/>
  <c r="Q481" i="7"/>
  <c r="X639" i="7" l="1"/>
  <c r="X60" i="7"/>
  <c r="X645" i="7"/>
  <c r="X646" i="7" s="1"/>
  <c r="X654" i="7"/>
  <c r="X655" i="7" s="1"/>
  <c r="X652" i="7"/>
  <c r="X634" i="7" s="1"/>
  <c r="X651" i="7"/>
  <c r="X650" i="7"/>
  <c r="X633" i="7"/>
  <c r="X31" i="7"/>
  <c r="X61" i="7" s="1"/>
  <c r="X641" i="7"/>
  <c r="W640" i="7"/>
  <c r="W632" i="7" s="1"/>
  <c r="X638" i="7"/>
  <c r="X673" i="7"/>
  <c r="X616" i="7"/>
  <c r="X584" i="7"/>
  <c r="X578" i="7"/>
  <c r="X624" i="7"/>
  <c r="X620" i="7"/>
  <c r="X612" i="7"/>
  <c r="X38" i="7"/>
  <c r="X42" i="7"/>
  <c r="X35" i="7"/>
  <c r="Q511" i="7"/>
  <c r="Q485" i="7"/>
  <c r="X756" i="7"/>
  <c r="X754" i="7"/>
  <c r="X752" i="7"/>
  <c r="X750" i="7"/>
  <c r="X757" i="7"/>
  <c r="X753" i="7"/>
  <c r="X749" i="7"/>
  <c r="X755" i="7"/>
  <c r="X748" i="7"/>
  <c r="X724" i="7"/>
  <c r="X722" i="7"/>
  <c r="X718" i="7"/>
  <c r="X751" i="7"/>
  <c r="X723" i="7"/>
  <c r="X721" i="7"/>
  <c r="X719" i="7"/>
  <c r="X725" i="7"/>
  <c r="X690" i="7"/>
  <c r="X689" i="7"/>
  <c r="X688" i="7"/>
  <c r="X687" i="7"/>
  <c r="X686" i="7"/>
  <c r="X685" i="7"/>
  <c r="X684" i="7"/>
  <c r="X720" i="7"/>
  <c r="X716" i="7"/>
  <c r="X693" i="7"/>
  <c r="X691" i="7"/>
  <c r="X692" i="7"/>
  <c r="X717" i="7"/>
  <c r="X28" i="7"/>
  <c r="X62" i="7"/>
  <c r="Y2" i="7"/>
  <c r="S667" i="7"/>
  <c r="B455" i="7"/>
  <c r="E434" i="7" s="1"/>
  <c r="E433" i="7" s="1"/>
  <c r="R349" i="7"/>
  <c r="Q104" i="7"/>
  <c r="S769" i="7"/>
  <c r="S768" i="7"/>
  <c r="S767" i="7"/>
  <c r="S766" i="7"/>
  <c r="S764" i="7"/>
  <c r="S762" i="7"/>
  <c r="S409" i="7"/>
  <c r="S408" i="7"/>
  <c r="S407" i="7"/>
  <c r="S406" i="7"/>
  <c r="S405" i="7"/>
  <c r="S404" i="7"/>
  <c r="S403" i="7"/>
  <c r="S402" i="7"/>
  <c r="S761" i="7"/>
  <c r="S400" i="7"/>
  <c r="S383" i="7"/>
  <c r="S382" i="7"/>
  <c r="S381" i="7"/>
  <c r="S380" i="7"/>
  <c r="S379" i="7"/>
  <c r="S378" i="7"/>
  <c r="S377" i="7"/>
  <c r="S401" i="7"/>
  <c r="S737" i="7"/>
  <c r="S736" i="7"/>
  <c r="S735" i="7"/>
  <c r="S734" i="7"/>
  <c r="S733" i="7"/>
  <c r="S732" i="7"/>
  <c r="S731" i="7"/>
  <c r="S730" i="7"/>
  <c r="S728" i="7"/>
  <c r="S358" i="7"/>
  <c r="S357" i="7"/>
  <c r="S356" i="7"/>
  <c r="S355" i="7"/>
  <c r="S354" i="7"/>
  <c r="S353" i="7"/>
  <c r="S376" i="7"/>
  <c r="S375" i="7"/>
  <c r="S374" i="7"/>
  <c r="S705" i="7"/>
  <c r="S704" i="7"/>
  <c r="S703" i="7"/>
  <c r="S702" i="7"/>
  <c r="S701" i="7"/>
  <c r="S700" i="7"/>
  <c r="S699" i="7"/>
  <c r="S698" i="7"/>
  <c r="S696" i="7"/>
  <c r="S351" i="7"/>
  <c r="S352" i="7"/>
  <c r="S350" i="7"/>
  <c r="S585" i="7"/>
  <c r="S579" i="7"/>
  <c r="S465" i="7"/>
  <c r="S464" i="7"/>
  <c r="S463" i="7"/>
  <c r="S462" i="7"/>
  <c r="S461" i="7"/>
  <c r="S460" i="7"/>
  <c r="S480" i="7"/>
  <c r="S344" i="7"/>
  <c r="S329" i="7"/>
  <c r="S328" i="7"/>
  <c r="S327" i="7"/>
  <c r="S326" i="7"/>
  <c r="S325" i="7"/>
  <c r="S324" i="7"/>
  <c r="S37" i="7"/>
  <c r="R492" i="7"/>
  <c r="R490" i="7"/>
  <c r="R489" i="7"/>
  <c r="R493" i="7"/>
  <c r="R513" i="7"/>
  <c r="R517" i="7"/>
  <c r="R537" i="7"/>
  <c r="R541" i="7"/>
  <c r="R545" i="7"/>
  <c r="R514" i="7"/>
  <c r="R518" i="7"/>
  <c r="R538" i="7"/>
  <c r="R542" i="7"/>
  <c r="R546" i="7"/>
  <c r="R39" i="7"/>
  <c r="R694" i="7"/>
  <c r="R679" i="7" s="1"/>
  <c r="R101" i="7" s="1"/>
  <c r="R726" i="7"/>
  <c r="R711" i="7" s="1"/>
  <c r="R102" i="7" s="1"/>
  <c r="R758" i="7"/>
  <c r="R743" i="7" s="1"/>
  <c r="R103" i="7" s="1"/>
  <c r="R488" i="7"/>
  <c r="R345" i="7"/>
  <c r="R486" i="7"/>
  <c r="R494" i="7"/>
  <c r="R487" i="7"/>
  <c r="R491" i="7"/>
  <c r="R511" i="7"/>
  <c r="R515" i="7"/>
  <c r="R519" i="7"/>
  <c r="R539" i="7"/>
  <c r="R543" i="7"/>
  <c r="R481" i="7"/>
  <c r="R512" i="7"/>
  <c r="R516" i="7"/>
  <c r="R520" i="7"/>
  <c r="R540" i="7"/>
  <c r="R544" i="7"/>
  <c r="Y639" i="7" l="1"/>
  <c r="Y60" i="7"/>
  <c r="Y645" i="7"/>
  <c r="Y646" i="7" s="1"/>
  <c r="Y654" i="7"/>
  <c r="Y655" i="7" s="1"/>
  <c r="Y652" i="7"/>
  <c r="Y634" i="7" s="1"/>
  <c r="Y651" i="7"/>
  <c r="Y650" i="7"/>
  <c r="Y31" i="7"/>
  <c r="Y61" i="7" s="1"/>
  <c r="Y633" i="7"/>
  <c r="Y641" i="7"/>
  <c r="X640" i="7"/>
  <c r="X632" i="7" s="1"/>
  <c r="Y638" i="7"/>
  <c r="Y673" i="7"/>
  <c r="Y584" i="7"/>
  <c r="Y578" i="7"/>
  <c r="Y624" i="7"/>
  <c r="Y620" i="7"/>
  <c r="Y616" i="7"/>
  <c r="Y612" i="7"/>
  <c r="Y38" i="7"/>
  <c r="Y42" i="7"/>
  <c r="Y35" i="7"/>
  <c r="E430" i="7"/>
  <c r="B456" i="7"/>
  <c r="E291" i="7"/>
  <c r="E294" i="7"/>
  <c r="E296" i="7"/>
  <c r="E295" i="7"/>
  <c r="E292" i="7"/>
  <c r="E293" i="7"/>
  <c r="R485" i="7"/>
  <c r="Y748" i="7"/>
  <c r="Y725" i="7"/>
  <c r="Y756" i="7"/>
  <c r="Y754" i="7"/>
  <c r="Y752" i="7"/>
  <c r="Y750" i="7"/>
  <c r="Y751" i="7"/>
  <c r="Y757" i="7"/>
  <c r="Y723" i="7"/>
  <c r="Y721" i="7"/>
  <c r="Y753" i="7"/>
  <c r="Y749" i="7"/>
  <c r="Y755" i="7"/>
  <c r="Y724" i="7"/>
  <c r="Y722" i="7"/>
  <c r="Y720" i="7"/>
  <c r="Y718" i="7"/>
  <c r="Y716" i="7"/>
  <c r="Y692" i="7"/>
  <c r="Y693" i="7"/>
  <c r="Y691" i="7"/>
  <c r="Y690" i="7"/>
  <c r="Y688" i="7"/>
  <c r="Y686" i="7"/>
  <c r="Y684" i="7"/>
  <c r="Y719" i="7"/>
  <c r="Y717" i="7"/>
  <c r="Y689" i="7"/>
  <c r="Y687" i="7"/>
  <c r="Y685" i="7"/>
  <c r="Y62" i="7"/>
  <c r="Y28" i="7"/>
  <c r="Z2" i="7"/>
  <c r="C234" i="7"/>
  <c r="T667" i="7"/>
  <c r="S349" i="7"/>
  <c r="T769" i="7"/>
  <c r="T768" i="7"/>
  <c r="T767" i="7"/>
  <c r="T766" i="7"/>
  <c r="T764" i="7"/>
  <c r="T762" i="7"/>
  <c r="T761" i="7"/>
  <c r="T409" i="7"/>
  <c r="T408" i="7"/>
  <c r="T407" i="7"/>
  <c r="T406" i="7"/>
  <c r="T405" i="7"/>
  <c r="T404" i="7"/>
  <c r="T403" i="7"/>
  <c r="T402" i="7"/>
  <c r="T401" i="7"/>
  <c r="T400" i="7"/>
  <c r="T737" i="7"/>
  <c r="T736" i="7"/>
  <c r="T735" i="7"/>
  <c r="T734" i="7"/>
  <c r="T733" i="7"/>
  <c r="T732" i="7"/>
  <c r="T731" i="7"/>
  <c r="T730" i="7"/>
  <c r="T728" i="7"/>
  <c r="T383" i="7"/>
  <c r="T382" i="7"/>
  <c r="T381" i="7"/>
  <c r="T380" i="7"/>
  <c r="T379" i="7"/>
  <c r="T378" i="7"/>
  <c r="T377" i="7"/>
  <c r="T376" i="7"/>
  <c r="T375" i="7"/>
  <c r="T374" i="7"/>
  <c r="T705" i="7"/>
  <c r="T704" i="7"/>
  <c r="T703" i="7"/>
  <c r="T702" i="7"/>
  <c r="T701" i="7"/>
  <c r="T700" i="7"/>
  <c r="T699" i="7"/>
  <c r="T698" i="7"/>
  <c r="T696" i="7"/>
  <c r="T358" i="7"/>
  <c r="T357" i="7"/>
  <c r="T356" i="7"/>
  <c r="T355" i="7"/>
  <c r="T354" i="7"/>
  <c r="T353" i="7"/>
  <c r="T352" i="7"/>
  <c r="T351" i="7"/>
  <c r="T350" i="7"/>
  <c r="T585" i="7"/>
  <c r="T579" i="7"/>
  <c r="T480" i="7"/>
  <c r="T465" i="7"/>
  <c r="T464" i="7"/>
  <c r="T463" i="7"/>
  <c r="T462" i="7"/>
  <c r="T461" i="7"/>
  <c r="T460" i="7"/>
  <c r="T329" i="7"/>
  <c r="T328" i="7"/>
  <c r="T327" i="7"/>
  <c r="T326" i="7"/>
  <c r="T325" i="7"/>
  <c r="T324" i="7"/>
  <c r="T344" i="7"/>
  <c r="T37" i="7"/>
  <c r="S345" i="7"/>
  <c r="S487" i="7"/>
  <c r="S489" i="7"/>
  <c r="S486" i="7"/>
  <c r="S490" i="7"/>
  <c r="S494" i="7"/>
  <c r="S514" i="7"/>
  <c r="S518" i="7"/>
  <c r="S538" i="7"/>
  <c r="S542" i="7"/>
  <c r="S546" i="7"/>
  <c r="S511" i="7"/>
  <c r="S515" i="7"/>
  <c r="S519" i="7"/>
  <c r="S539" i="7"/>
  <c r="S543" i="7"/>
  <c r="S481" i="7"/>
  <c r="R104" i="7"/>
  <c r="S39" i="7"/>
  <c r="S694" i="7"/>
  <c r="S679" i="7" s="1"/>
  <c r="S101" i="7" s="1"/>
  <c r="S726" i="7"/>
  <c r="S711" i="7" s="1"/>
  <c r="S102" i="7" s="1"/>
  <c r="S491" i="7"/>
  <c r="S493" i="7"/>
  <c r="S488" i="7"/>
  <c r="S492" i="7"/>
  <c r="S512" i="7"/>
  <c r="S516" i="7"/>
  <c r="S520" i="7"/>
  <c r="S540" i="7"/>
  <c r="S544" i="7"/>
  <c r="S513" i="7"/>
  <c r="S517" i="7"/>
  <c r="S537" i="7"/>
  <c r="S541" i="7"/>
  <c r="S545" i="7"/>
  <c r="S758" i="7"/>
  <c r="S743" i="7" s="1"/>
  <c r="S103" i="7" s="1"/>
  <c r="Z639" i="7" l="1"/>
  <c r="Z60" i="7"/>
  <c r="Z645" i="7"/>
  <c r="Z646" i="7" s="1"/>
  <c r="Z654" i="7"/>
  <c r="Z655" i="7" s="1"/>
  <c r="Z652" i="7"/>
  <c r="Z634" i="7" s="1"/>
  <c r="Z651" i="7"/>
  <c r="Z650" i="7"/>
  <c r="Z633" i="7"/>
  <c r="Z31" i="7"/>
  <c r="Z61" i="7" s="1"/>
  <c r="Z641" i="7"/>
  <c r="Y640" i="7"/>
  <c r="Y632" i="7" s="1"/>
  <c r="Z638" i="7"/>
  <c r="Z673" i="7"/>
  <c r="Z584" i="7"/>
  <c r="Z612" i="7"/>
  <c r="Z578" i="7"/>
  <c r="Z624" i="7"/>
  <c r="Z620" i="7"/>
  <c r="Z616" i="7"/>
  <c r="Z38" i="7"/>
  <c r="Z42" i="7"/>
  <c r="Z35" i="7"/>
  <c r="E427" i="7"/>
  <c r="E429" i="7"/>
  <c r="E428" i="7"/>
  <c r="E432" i="7"/>
  <c r="E431" i="7"/>
  <c r="S485" i="7"/>
  <c r="Z757" i="7"/>
  <c r="Z755" i="7"/>
  <c r="Z753" i="7"/>
  <c r="Z751" i="7"/>
  <c r="Z749" i="7"/>
  <c r="Z754" i="7"/>
  <c r="Z750" i="7"/>
  <c r="Z748" i="7"/>
  <c r="Z724" i="7"/>
  <c r="Z723" i="7"/>
  <c r="Z722" i="7"/>
  <c r="Z721" i="7"/>
  <c r="Z720" i="7"/>
  <c r="Z719" i="7"/>
  <c r="Z718" i="7"/>
  <c r="Z717" i="7"/>
  <c r="Z716" i="7"/>
  <c r="Z693" i="7"/>
  <c r="Z692" i="7"/>
  <c r="Z691" i="7"/>
  <c r="Z756" i="7"/>
  <c r="Z752" i="7"/>
  <c r="Z725" i="7"/>
  <c r="Z684" i="7"/>
  <c r="Z689" i="7"/>
  <c r="Z687" i="7"/>
  <c r="Z685" i="7"/>
  <c r="Z690" i="7"/>
  <c r="Z688" i="7"/>
  <c r="Z686" i="7"/>
  <c r="Z62" i="7"/>
  <c r="Z28" i="7"/>
  <c r="AA2" i="7"/>
  <c r="U667" i="7"/>
  <c r="T349" i="7"/>
  <c r="T758" i="7"/>
  <c r="T743" i="7" s="1"/>
  <c r="T103" i="7" s="1"/>
  <c r="U769" i="7"/>
  <c r="U768" i="7"/>
  <c r="U767" i="7"/>
  <c r="U765" i="7"/>
  <c r="U764" i="7"/>
  <c r="U762" i="7"/>
  <c r="U761" i="7"/>
  <c r="U409" i="7"/>
  <c r="U408" i="7"/>
  <c r="U407" i="7"/>
  <c r="U406" i="7"/>
  <c r="U405" i="7"/>
  <c r="U404" i="7"/>
  <c r="U403" i="7"/>
  <c r="U402" i="7"/>
  <c r="U401" i="7"/>
  <c r="U383" i="7"/>
  <c r="U382" i="7"/>
  <c r="U381" i="7"/>
  <c r="U380" i="7"/>
  <c r="U379" i="7"/>
  <c r="U378" i="7"/>
  <c r="U377" i="7"/>
  <c r="U400" i="7"/>
  <c r="U737" i="7"/>
  <c r="U736" i="7"/>
  <c r="U735" i="7"/>
  <c r="U734" i="7"/>
  <c r="U733" i="7"/>
  <c r="U732" i="7"/>
  <c r="U731" i="7"/>
  <c r="U730" i="7"/>
  <c r="U728" i="7"/>
  <c r="U376" i="7"/>
  <c r="U358" i="7"/>
  <c r="U357" i="7"/>
  <c r="U356" i="7"/>
  <c r="U355" i="7"/>
  <c r="U354" i="7"/>
  <c r="U353" i="7"/>
  <c r="U375" i="7"/>
  <c r="U374" i="7"/>
  <c r="U705" i="7"/>
  <c r="U704" i="7"/>
  <c r="U703" i="7"/>
  <c r="U702" i="7"/>
  <c r="U701" i="7"/>
  <c r="U700" i="7"/>
  <c r="U699" i="7"/>
  <c r="U698" i="7"/>
  <c r="U696" i="7"/>
  <c r="U352" i="7"/>
  <c r="U351" i="7"/>
  <c r="U350" i="7"/>
  <c r="U585" i="7"/>
  <c r="U579" i="7"/>
  <c r="U465" i="7"/>
  <c r="U464" i="7"/>
  <c r="U463" i="7"/>
  <c r="U462" i="7"/>
  <c r="U461" i="7"/>
  <c r="U460" i="7"/>
  <c r="U480" i="7"/>
  <c r="U344" i="7"/>
  <c r="U329" i="7"/>
  <c r="U328" i="7"/>
  <c r="U327" i="7"/>
  <c r="U326" i="7"/>
  <c r="U325" i="7"/>
  <c r="U324" i="7"/>
  <c r="U37" i="7"/>
  <c r="T490" i="7"/>
  <c r="T345" i="7"/>
  <c r="T488" i="7"/>
  <c r="T489" i="7"/>
  <c r="T493" i="7"/>
  <c r="T513" i="7"/>
  <c r="T517" i="7"/>
  <c r="T537" i="7"/>
  <c r="T541" i="7"/>
  <c r="T545" i="7"/>
  <c r="T514" i="7"/>
  <c r="T518" i="7"/>
  <c r="T538" i="7"/>
  <c r="T542" i="7"/>
  <c r="T546" i="7"/>
  <c r="T39" i="7"/>
  <c r="T694" i="7"/>
  <c r="T679" i="7" s="1"/>
  <c r="T101" i="7" s="1"/>
  <c r="T726" i="7"/>
  <c r="T711" i="7" s="1"/>
  <c r="T102" i="7" s="1"/>
  <c r="T486" i="7"/>
  <c r="T494" i="7"/>
  <c r="T492" i="7"/>
  <c r="T487" i="7"/>
  <c r="T491" i="7"/>
  <c r="T511" i="7"/>
  <c r="T515" i="7"/>
  <c r="T519" i="7"/>
  <c r="T539" i="7"/>
  <c r="T543" i="7"/>
  <c r="T481" i="7"/>
  <c r="T512" i="7"/>
  <c r="T516" i="7"/>
  <c r="T520" i="7"/>
  <c r="T540" i="7"/>
  <c r="T544" i="7"/>
  <c r="S104" i="7"/>
  <c r="AA639" i="7" l="1"/>
  <c r="AA60" i="7"/>
  <c r="AA645" i="7"/>
  <c r="AA646" i="7" s="1"/>
  <c r="AA652" i="7"/>
  <c r="AA634" i="7" s="1"/>
  <c r="AA651" i="7"/>
  <c r="AA650" i="7"/>
  <c r="AA654" i="7"/>
  <c r="AA655" i="7" s="1"/>
  <c r="Z632" i="7"/>
  <c r="AA31" i="7"/>
  <c r="AA61" i="7" s="1"/>
  <c r="AA633" i="7"/>
  <c r="AA641" i="7"/>
  <c r="Z640" i="7"/>
  <c r="AA638" i="7"/>
  <c r="AA666" i="7"/>
  <c r="AA672" i="7"/>
  <c r="AA584" i="7"/>
  <c r="AA578" i="7"/>
  <c r="AA624" i="7"/>
  <c r="AA620" i="7"/>
  <c r="AA616" i="7"/>
  <c r="AA612" i="7"/>
  <c r="AA38" i="7"/>
  <c r="AA42" i="7"/>
  <c r="AA35" i="7"/>
  <c r="T485" i="7"/>
  <c r="AA757" i="7"/>
  <c r="AA756" i="7"/>
  <c r="AA755" i="7"/>
  <c r="AA754" i="7"/>
  <c r="AA753" i="7"/>
  <c r="AA752" i="7"/>
  <c r="AA751" i="7"/>
  <c r="AA750" i="7"/>
  <c r="AA749" i="7"/>
  <c r="AA725" i="7"/>
  <c r="AA724" i="7"/>
  <c r="AA722" i="7"/>
  <c r="AA720" i="7"/>
  <c r="AA748" i="7"/>
  <c r="AA723" i="7"/>
  <c r="AA721" i="7"/>
  <c r="AA719" i="7"/>
  <c r="AA717" i="7"/>
  <c r="AA693" i="7"/>
  <c r="AA689" i="7"/>
  <c r="AA687" i="7"/>
  <c r="AA685" i="7"/>
  <c r="AA716" i="7"/>
  <c r="AA692" i="7"/>
  <c r="AA690" i="7"/>
  <c r="AA688" i="7"/>
  <c r="AA686" i="7"/>
  <c r="AA684" i="7"/>
  <c r="AA718" i="7"/>
  <c r="AA691" i="7"/>
  <c r="AA28" i="7"/>
  <c r="AA62" i="7"/>
  <c r="AB2" i="7"/>
  <c r="V667" i="7"/>
  <c r="U349" i="7"/>
  <c r="U758" i="7"/>
  <c r="U743" i="7" s="1"/>
  <c r="U103" i="7" s="1"/>
  <c r="V769" i="7"/>
  <c r="V768" i="7"/>
  <c r="V767" i="7"/>
  <c r="V765" i="7"/>
  <c r="V764" i="7"/>
  <c r="V762" i="7"/>
  <c r="V761" i="7"/>
  <c r="V409" i="7"/>
  <c r="V408" i="7"/>
  <c r="V407" i="7"/>
  <c r="V406" i="7"/>
  <c r="V405" i="7"/>
  <c r="V404" i="7"/>
  <c r="V403" i="7"/>
  <c r="V402" i="7"/>
  <c r="V401" i="7"/>
  <c r="V400" i="7"/>
  <c r="V737" i="7"/>
  <c r="V736" i="7"/>
  <c r="V735" i="7"/>
  <c r="V734" i="7"/>
  <c r="V733" i="7"/>
  <c r="V732" i="7"/>
  <c r="V731" i="7"/>
  <c r="V730" i="7"/>
  <c r="V728" i="7"/>
  <c r="V383" i="7"/>
  <c r="V382" i="7"/>
  <c r="V381" i="7"/>
  <c r="V380" i="7"/>
  <c r="V379" i="7"/>
  <c r="V378" i="7"/>
  <c r="V377" i="7"/>
  <c r="V376" i="7"/>
  <c r="V375" i="7"/>
  <c r="V374" i="7"/>
  <c r="V705" i="7"/>
  <c r="V704" i="7"/>
  <c r="V703" i="7"/>
  <c r="V702" i="7"/>
  <c r="V701" i="7"/>
  <c r="V700" i="7"/>
  <c r="V699" i="7"/>
  <c r="V698" i="7"/>
  <c r="V696" i="7"/>
  <c r="V358" i="7"/>
  <c r="V357" i="7"/>
  <c r="V356" i="7"/>
  <c r="V355" i="7"/>
  <c r="V354" i="7"/>
  <c r="V353" i="7"/>
  <c r="V352" i="7"/>
  <c r="V351" i="7"/>
  <c r="V350" i="7"/>
  <c r="V585" i="7"/>
  <c r="V579" i="7"/>
  <c r="V480" i="7"/>
  <c r="V465" i="7"/>
  <c r="V464" i="7"/>
  <c r="V463" i="7"/>
  <c r="V462" i="7"/>
  <c r="V461" i="7"/>
  <c r="V460" i="7"/>
  <c r="V329" i="7"/>
  <c r="V328" i="7"/>
  <c r="V327" i="7"/>
  <c r="V326" i="7"/>
  <c r="V325" i="7"/>
  <c r="V324" i="7"/>
  <c r="V344" i="7"/>
  <c r="V37" i="7"/>
  <c r="U345" i="7"/>
  <c r="U493" i="7"/>
  <c r="U487" i="7"/>
  <c r="U486" i="7"/>
  <c r="U490" i="7"/>
  <c r="U494" i="7"/>
  <c r="U514" i="7"/>
  <c r="U518" i="7"/>
  <c r="U538" i="7"/>
  <c r="U542" i="7"/>
  <c r="U546" i="7"/>
  <c r="U511" i="7"/>
  <c r="U515" i="7"/>
  <c r="U519" i="7"/>
  <c r="U539" i="7"/>
  <c r="U543" i="7"/>
  <c r="U481" i="7"/>
  <c r="T104" i="7"/>
  <c r="U39" i="7"/>
  <c r="U694" i="7"/>
  <c r="U679" i="7" s="1"/>
  <c r="U101" i="7" s="1"/>
  <c r="U726" i="7"/>
  <c r="U711" i="7" s="1"/>
  <c r="U102" i="7" s="1"/>
  <c r="U489" i="7"/>
  <c r="U491" i="7"/>
  <c r="U488" i="7"/>
  <c r="U492" i="7"/>
  <c r="U512" i="7"/>
  <c r="U516" i="7"/>
  <c r="U520" i="7"/>
  <c r="U540" i="7"/>
  <c r="U544" i="7"/>
  <c r="U513" i="7"/>
  <c r="U517" i="7"/>
  <c r="U537" i="7"/>
  <c r="U541" i="7"/>
  <c r="U545" i="7"/>
  <c r="AB639" i="7" l="1"/>
  <c r="AB29" i="7"/>
  <c r="AB60" i="7"/>
  <c r="AB645" i="7"/>
  <c r="AB646" i="7" s="1"/>
  <c r="AB654" i="7"/>
  <c r="AB655" i="7" s="1"/>
  <c r="AB652" i="7"/>
  <c r="AB634" i="7" s="1"/>
  <c r="AB651" i="7"/>
  <c r="AB650" i="7"/>
  <c r="AB31" i="7"/>
  <c r="AB61" i="7" s="1"/>
  <c r="AB633" i="7"/>
  <c r="AB641" i="7"/>
  <c r="AA640" i="7"/>
  <c r="AA632" i="7" s="1"/>
  <c r="AB638" i="7"/>
  <c r="AB672" i="7"/>
  <c r="AB666" i="7"/>
  <c r="AB474" i="7"/>
  <c r="AB338" i="7"/>
  <c r="AB673" i="7"/>
  <c r="AB620" i="7"/>
  <c r="AB612" i="7"/>
  <c r="AB584" i="7"/>
  <c r="AB578" i="7"/>
  <c r="AB624" i="7"/>
  <c r="AB616" i="7"/>
  <c r="AB38" i="7"/>
  <c r="AB35" i="7"/>
  <c r="AB42" i="7"/>
  <c r="U485" i="7"/>
  <c r="AB757" i="7"/>
  <c r="AB755" i="7"/>
  <c r="AB753" i="7"/>
  <c r="AB751" i="7"/>
  <c r="AB725" i="7"/>
  <c r="AB752" i="7"/>
  <c r="AB749" i="7"/>
  <c r="AB724" i="7"/>
  <c r="AB722" i="7"/>
  <c r="AB754" i="7"/>
  <c r="AB748" i="7"/>
  <c r="AB756" i="7"/>
  <c r="AB750" i="7"/>
  <c r="AB723" i="7"/>
  <c r="AB721" i="7"/>
  <c r="AB719" i="7"/>
  <c r="AB717" i="7"/>
  <c r="AB693" i="7"/>
  <c r="AB691" i="7"/>
  <c r="AB690" i="7"/>
  <c r="AB689" i="7"/>
  <c r="AB688" i="7"/>
  <c r="AB687" i="7"/>
  <c r="AB686" i="7"/>
  <c r="AB685" i="7"/>
  <c r="AB684" i="7"/>
  <c r="AB716" i="7"/>
  <c r="AB692" i="7"/>
  <c r="AB720" i="7"/>
  <c r="AB718" i="7"/>
  <c r="AB28" i="7"/>
  <c r="AB62" i="7"/>
  <c r="AC2" i="7"/>
  <c r="W667" i="7"/>
  <c r="V694" i="7"/>
  <c r="V679" i="7" s="1"/>
  <c r="V101" i="7" s="1"/>
  <c r="V758" i="7"/>
  <c r="V743" i="7" s="1"/>
  <c r="V103" i="7" s="1"/>
  <c r="V349" i="7"/>
  <c r="V39" i="7"/>
  <c r="V726" i="7"/>
  <c r="V711" i="7" s="1"/>
  <c r="V102" i="7" s="1"/>
  <c r="W769" i="7"/>
  <c r="W768" i="7"/>
  <c r="W767" i="7"/>
  <c r="W765" i="7"/>
  <c r="W763" i="7"/>
  <c r="W762" i="7"/>
  <c r="W409" i="7"/>
  <c r="W408" i="7"/>
  <c r="W407" i="7"/>
  <c r="W406" i="7"/>
  <c r="W405" i="7"/>
  <c r="W404" i="7"/>
  <c r="W403" i="7"/>
  <c r="W402" i="7"/>
  <c r="W760" i="7"/>
  <c r="W400" i="7"/>
  <c r="W383" i="7"/>
  <c r="W382" i="7"/>
  <c r="W381" i="7"/>
  <c r="W380" i="7"/>
  <c r="W379" i="7"/>
  <c r="W378" i="7"/>
  <c r="W377" i="7"/>
  <c r="W401" i="7"/>
  <c r="W737" i="7"/>
  <c r="W736" i="7"/>
  <c r="W735" i="7"/>
  <c r="W734" i="7"/>
  <c r="W733" i="7"/>
  <c r="W732" i="7"/>
  <c r="W731" i="7"/>
  <c r="W730" i="7"/>
  <c r="W728" i="7"/>
  <c r="W358" i="7"/>
  <c r="W357" i="7"/>
  <c r="W356" i="7"/>
  <c r="W355" i="7"/>
  <c r="W354" i="7"/>
  <c r="W353" i="7"/>
  <c r="W376" i="7"/>
  <c r="W375" i="7"/>
  <c r="W374" i="7"/>
  <c r="W705" i="7"/>
  <c r="W704" i="7"/>
  <c r="W703" i="7"/>
  <c r="W702" i="7"/>
  <c r="W701" i="7"/>
  <c r="W700" i="7"/>
  <c r="W699" i="7"/>
  <c r="W698" i="7"/>
  <c r="W696" i="7"/>
  <c r="W351" i="7"/>
  <c r="W352" i="7"/>
  <c r="W350" i="7"/>
  <c r="W585" i="7"/>
  <c r="W579" i="7"/>
  <c r="W465" i="7"/>
  <c r="W464" i="7"/>
  <c r="W463" i="7"/>
  <c r="W462" i="7"/>
  <c r="W461" i="7"/>
  <c r="W460" i="7"/>
  <c r="W480" i="7"/>
  <c r="W344" i="7"/>
  <c r="W329" i="7"/>
  <c r="W328" i="7"/>
  <c r="W327" i="7"/>
  <c r="W326" i="7"/>
  <c r="W325" i="7"/>
  <c r="W324" i="7"/>
  <c r="W37" i="7"/>
  <c r="V488" i="7"/>
  <c r="V345" i="7"/>
  <c r="V486" i="7"/>
  <c r="V494" i="7"/>
  <c r="V487" i="7"/>
  <c r="V491" i="7"/>
  <c r="V511" i="7"/>
  <c r="V515" i="7"/>
  <c r="V519" i="7"/>
  <c r="V539" i="7"/>
  <c r="V543" i="7"/>
  <c r="V481" i="7"/>
  <c r="V512" i="7"/>
  <c r="V516" i="7"/>
  <c r="V520" i="7"/>
  <c r="V540" i="7"/>
  <c r="V544" i="7"/>
  <c r="V492" i="7"/>
  <c r="V490" i="7"/>
  <c r="V489" i="7"/>
  <c r="V493" i="7"/>
  <c r="V513" i="7"/>
  <c r="V517" i="7"/>
  <c r="V537" i="7"/>
  <c r="V541" i="7"/>
  <c r="V545" i="7"/>
  <c r="V514" i="7"/>
  <c r="V518" i="7"/>
  <c r="V538" i="7"/>
  <c r="V542" i="7"/>
  <c r="V546" i="7"/>
  <c r="U104" i="7"/>
  <c r="AC29" i="7" l="1"/>
  <c r="AC639" i="7"/>
  <c r="AC60" i="7"/>
  <c r="AC645" i="7"/>
  <c r="AC646" i="7" s="1"/>
  <c r="AC654" i="7"/>
  <c r="AC655" i="7" s="1"/>
  <c r="AC652" i="7"/>
  <c r="AC634" i="7" s="1"/>
  <c r="AC651" i="7"/>
  <c r="AC650" i="7"/>
  <c r="AC633" i="7"/>
  <c r="AC31" i="7"/>
  <c r="AC61" i="7" s="1"/>
  <c r="AC641" i="7"/>
  <c r="AB640" i="7"/>
  <c r="AB632" i="7" s="1"/>
  <c r="AC638" i="7"/>
  <c r="AC672" i="7"/>
  <c r="AC666" i="7"/>
  <c r="AB95" i="7"/>
  <c r="AC474" i="7"/>
  <c r="AC338" i="7"/>
  <c r="AC673" i="7"/>
  <c r="AC584" i="7"/>
  <c r="AC578" i="7"/>
  <c r="AC624" i="7"/>
  <c r="AC620" i="7"/>
  <c r="AC616" i="7"/>
  <c r="AC612" i="7"/>
  <c r="AC38" i="7"/>
  <c r="AC42" i="7"/>
  <c r="AC35" i="7"/>
  <c r="V485" i="7"/>
  <c r="AC756" i="7"/>
  <c r="AC754" i="7"/>
  <c r="AC752" i="7"/>
  <c r="AC750" i="7"/>
  <c r="AC748" i="7"/>
  <c r="AC725" i="7"/>
  <c r="AC755" i="7"/>
  <c r="AC751" i="7"/>
  <c r="AC757" i="7"/>
  <c r="AC749" i="7"/>
  <c r="AC716" i="7"/>
  <c r="AC753" i="7"/>
  <c r="AC723" i="7"/>
  <c r="AC721" i="7"/>
  <c r="AC719" i="7"/>
  <c r="AC724" i="7"/>
  <c r="AC722" i="7"/>
  <c r="AC720" i="7"/>
  <c r="AC718" i="7"/>
  <c r="AC717" i="7"/>
  <c r="AC690" i="7"/>
  <c r="AC688" i="7"/>
  <c r="AC686" i="7"/>
  <c r="AC684" i="7"/>
  <c r="AC691" i="7"/>
  <c r="AC693" i="7"/>
  <c r="AC692" i="7"/>
  <c r="AC689" i="7"/>
  <c r="AC687" i="7"/>
  <c r="AC685" i="7"/>
  <c r="AC62" i="7"/>
  <c r="AC28" i="7"/>
  <c r="AD2" i="7"/>
  <c r="W642" i="7"/>
  <c r="X667" i="7"/>
  <c r="W250" i="7"/>
  <c r="W213" i="7"/>
  <c r="W77" i="7"/>
  <c r="W93" i="7"/>
  <c r="V104" i="7"/>
  <c r="W349" i="7"/>
  <c r="W39" i="7"/>
  <c r="W726" i="7"/>
  <c r="W711" i="7" s="1"/>
  <c r="W102" i="7" s="1"/>
  <c r="W694" i="7"/>
  <c r="W679" i="7" s="1"/>
  <c r="W101" i="7" s="1"/>
  <c r="W491" i="7"/>
  <c r="W493" i="7"/>
  <c r="W488" i="7"/>
  <c r="W492" i="7"/>
  <c r="W512" i="7"/>
  <c r="W516" i="7"/>
  <c r="W520" i="7"/>
  <c r="W540" i="7"/>
  <c r="W544" i="7"/>
  <c r="W513" i="7"/>
  <c r="W517" i="7"/>
  <c r="W537" i="7"/>
  <c r="W541" i="7"/>
  <c r="W545" i="7"/>
  <c r="X659" i="7"/>
  <c r="W758" i="7"/>
  <c r="W743" i="7" s="1"/>
  <c r="W103" i="7" s="1"/>
  <c r="X769" i="7"/>
  <c r="X768" i="7"/>
  <c r="X766" i="7"/>
  <c r="X765" i="7"/>
  <c r="X763" i="7"/>
  <c r="X762" i="7"/>
  <c r="X760" i="7"/>
  <c r="X409" i="7"/>
  <c r="X408" i="7"/>
  <c r="X407" i="7"/>
  <c r="X406" i="7"/>
  <c r="X405" i="7"/>
  <c r="X403" i="7"/>
  <c r="X402" i="7"/>
  <c r="X401" i="7"/>
  <c r="X400" i="7"/>
  <c r="X737" i="7"/>
  <c r="X736" i="7"/>
  <c r="X735" i="7"/>
  <c r="X734" i="7"/>
  <c r="X733" i="7"/>
  <c r="X732" i="7"/>
  <c r="X731" i="7"/>
  <c r="X730" i="7"/>
  <c r="X728" i="7"/>
  <c r="X383" i="7"/>
  <c r="X382" i="7"/>
  <c r="X381" i="7"/>
  <c r="X380" i="7"/>
  <c r="X379" i="7"/>
  <c r="X378" i="7"/>
  <c r="X377" i="7"/>
  <c r="X376" i="7"/>
  <c r="X375" i="7"/>
  <c r="X374" i="7"/>
  <c r="X705" i="7"/>
  <c r="X704" i="7"/>
  <c r="X703" i="7"/>
  <c r="X702" i="7"/>
  <c r="X701" i="7"/>
  <c r="X700" i="7"/>
  <c r="X699" i="7"/>
  <c r="X698" i="7"/>
  <c r="X696" i="7"/>
  <c r="X358" i="7"/>
  <c r="X357" i="7"/>
  <c r="X356" i="7"/>
  <c r="X355" i="7"/>
  <c r="X354" i="7"/>
  <c r="X353" i="7"/>
  <c r="X352" i="7"/>
  <c r="X351" i="7"/>
  <c r="X350" i="7"/>
  <c r="X585" i="7"/>
  <c r="X579" i="7"/>
  <c r="X480" i="7"/>
  <c r="X465" i="7"/>
  <c r="X464" i="7"/>
  <c r="X463" i="7"/>
  <c r="X462" i="7"/>
  <c r="X461" i="7"/>
  <c r="X460" i="7"/>
  <c r="X404" i="7"/>
  <c r="X329" i="7"/>
  <c r="X328" i="7"/>
  <c r="X327" i="7"/>
  <c r="X326" i="7"/>
  <c r="X325" i="7"/>
  <c r="X324" i="7"/>
  <c r="X344" i="7"/>
  <c r="X37" i="7"/>
  <c r="W345" i="7"/>
  <c r="W487" i="7"/>
  <c r="W489" i="7"/>
  <c r="W486" i="7"/>
  <c r="W490" i="7"/>
  <c r="W494" i="7"/>
  <c r="W514" i="7"/>
  <c r="W518" i="7"/>
  <c r="W538" i="7"/>
  <c r="W542" i="7"/>
  <c r="W546" i="7"/>
  <c r="W511" i="7"/>
  <c r="W515" i="7"/>
  <c r="W519" i="7"/>
  <c r="W539" i="7"/>
  <c r="W543" i="7"/>
  <c r="W481" i="7"/>
  <c r="AD639" i="7" l="1"/>
  <c r="AD29" i="7"/>
  <c r="AD60" i="7"/>
  <c r="AD645" i="7"/>
  <c r="AD646" i="7" s="1"/>
  <c r="AD654" i="7"/>
  <c r="AD655" i="7" s="1"/>
  <c r="AD652" i="7"/>
  <c r="AD634" i="7" s="1"/>
  <c r="AD651" i="7"/>
  <c r="AD650" i="7"/>
  <c r="AD633" i="7"/>
  <c r="AD31" i="7"/>
  <c r="AD61" i="7" s="1"/>
  <c r="AD641" i="7"/>
  <c r="AC640" i="7"/>
  <c r="AC632" i="7" s="1"/>
  <c r="AD638" i="7"/>
  <c r="AD672" i="7"/>
  <c r="AD666" i="7"/>
  <c r="AD474" i="7"/>
  <c r="AD338" i="7"/>
  <c r="AC95" i="7"/>
  <c r="AD673" i="7"/>
  <c r="AD624" i="7"/>
  <c r="AD620" i="7"/>
  <c r="AD616" i="7"/>
  <c r="AD612" i="7"/>
  <c r="AD584" i="7"/>
  <c r="AD578" i="7"/>
  <c r="AD38" i="7"/>
  <c r="AD42" i="7"/>
  <c r="AD35" i="7"/>
  <c r="W485" i="7"/>
  <c r="AD756" i="7"/>
  <c r="AD754" i="7"/>
  <c r="AD752" i="7"/>
  <c r="AD750" i="7"/>
  <c r="AD749" i="7"/>
  <c r="AD724" i="7"/>
  <c r="AD723" i="7"/>
  <c r="AD722" i="7"/>
  <c r="AD721" i="7"/>
  <c r="AD720" i="7"/>
  <c r="AD719" i="7"/>
  <c r="AD718" i="7"/>
  <c r="AD717" i="7"/>
  <c r="AD716" i="7"/>
  <c r="AD693" i="7"/>
  <c r="AD692" i="7"/>
  <c r="AD691" i="7"/>
  <c r="AD753" i="7"/>
  <c r="AD748" i="7"/>
  <c r="AD755" i="7"/>
  <c r="AD757" i="7"/>
  <c r="AD751" i="7"/>
  <c r="AD725" i="7"/>
  <c r="AD690" i="7"/>
  <c r="AD688" i="7"/>
  <c r="AD686" i="7"/>
  <c r="AD684" i="7"/>
  <c r="AD689" i="7"/>
  <c r="AD687" i="7"/>
  <c r="AD685" i="7"/>
  <c r="AD62" i="7"/>
  <c r="AD28" i="7"/>
  <c r="AE2" i="7"/>
  <c r="X642" i="7"/>
  <c r="Y667" i="7"/>
  <c r="X250" i="7"/>
  <c r="X213" i="7"/>
  <c r="X77" i="7"/>
  <c r="X349" i="7"/>
  <c r="W104" i="7"/>
  <c r="X490" i="7"/>
  <c r="X345" i="7"/>
  <c r="X488" i="7"/>
  <c r="X489" i="7"/>
  <c r="X493" i="7"/>
  <c r="X513" i="7"/>
  <c r="X517" i="7"/>
  <c r="X537" i="7"/>
  <c r="X541" i="7"/>
  <c r="X545" i="7"/>
  <c r="X514" i="7"/>
  <c r="X518" i="7"/>
  <c r="X538" i="7"/>
  <c r="X542" i="7"/>
  <c r="X546" i="7"/>
  <c r="Y659" i="7"/>
  <c r="X39" i="7"/>
  <c r="X93" i="7"/>
  <c r="X694" i="7"/>
  <c r="X679" i="7" s="1"/>
  <c r="X101" i="7" s="1"/>
  <c r="X726" i="7"/>
  <c r="X711" i="7" s="1"/>
  <c r="X102" i="7" s="1"/>
  <c r="X758" i="7"/>
  <c r="X743" i="7" s="1"/>
  <c r="X103" i="7" s="1"/>
  <c r="Y769" i="7"/>
  <c r="Y768" i="7"/>
  <c r="Y766" i="7"/>
  <c r="Y765" i="7"/>
  <c r="Y763" i="7"/>
  <c r="Y762" i="7"/>
  <c r="Y409" i="7"/>
  <c r="Y408" i="7"/>
  <c r="Y407" i="7"/>
  <c r="Y406" i="7"/>
  <c r="Y405" i="7"/>
  <c r="Y404" i="7"/>
  <c r="Y403" i="7"/>
  <c r="Y402" i="7"/>
  <c r="Y760" i="7"/>
  <c r="Y401" i="7"/>
  <c r="Y383" i="7"/>
  <c r="Y382" i="7"/>
  <c r="Y381" i="7"/>
  <c r="Y380" i="7"/>
  <c r="Y379" i="7"/>
  <c r="Y378" i="7"/>
  <c r="Y377" i="7"/>
  <c r="Y400" i="7"/>
  <c r="Y737" i="7"/>
  <c r="Y736" i="7"/>
  <c r="Y735" i="7"/>
  <c r="Y734" i="7"/>
  <c r="Y733" i="7"/>
  <c r="Y732" i="7"/>
  <c r="Y731" i="7"/>
  <c r="Y730" i="7"/>
  <c r="Y728" i="7"/>
  <c r="Y376" i="7"/>
  <c r="Y358" i="7"/>
  <c r="Y357" i="7"/>
  <c r="Y356" i="7"/>
  <c r="Y355" i="7"/>
  <c r="Y354" i="7"/>
  <c r="Y353" i="7"/>
  <c r="Y375" i="7"/>
  <c r="Y374" i="7"/>
  <c r="Y705" i="7"/>
  <c r="Y704" i="7"/>
  <c r="Y703" i="7"/>
  <c r="Y702" i="7"/>
  <c r="Y701" i="7"/>
  <c r="Y700" i="7"/>
  <c r="Y699" i="7"/>
  <c r="Y698" i="7"/>
  <c r="Y696" i="7"/>
  <c r="Y352" i="7"/>
  <c r="Y351" i="7"/>
  <c r="Y350" i="7"/>
  <c r="Y585" i="7"/>
  <c r="Y579" i="7"/>
  <c r="Y465" i="7"/>
  <c r="Y464" i="7"/>
  <c r="Y463" i="7"/>
  <c r="Y462" i="7"/>
  <c r="Y461" i="7"/>
  <c r="Y460" i="7"/>
  <c r="Y480" i="7"/>
  <c r="Y344" i="7"/>
  <c r="Y329" i="7"/>
  <c r="Y328" i="7"/>
  <c r="Y327" i="7"/>
  <c r="Y326" i="7"/>
  <c r="Y325" i="7"/>
  <c r="Y324" i="7"/>
  <c r="Y37" i="7"/>
  <c r="X486" i="7"/>
  <c r="X494" i="7"/>
  <c r="X492" i="7"/>
  <c r="X487" i="7"/>
  <c r="X491" i="7"/>
  <c r="X511" i="7"/>
  <c r="X515" i="7"/>
  <c r="X519" i="7"/>
  <c r="X539" i="7"/>
  <c r="X543" i="7"/>
  <c r="X481" i="7"/>
  <c r="X512" i="7"/>
  <c r="X516" i="7"/>
  <c r="X520" i="7"/>
  <c r="X540" i="7"/>
  <c r="X544" i="7"/>
  <c r="AE639" i="7" l="1"/>
  <c r="AE29" i="7"/>
  <c r="AE60" i="7"/>
  <c r="AE645" i="7"/>
  <c r="AE646" i="7" s="1"/>
  <c r="AE652" i="7"/>
  <c r="AE634" i="7" s="1"/>
  <c r="AE651" i="7"/>
  <c r="AE650" i="7"/>
  <c r="AE654" i="7"/>
  <c r="AE655" i="7" s="1"/>
  <c r="AE31" i="7"/>
  <c r="AE61" i="7" s="1"/>
  <c r="AE633" i="7"/>
  <c r="AE641" i="7"/>
  <c r="AD640" i="7"/>
  <c r="AD632" i="7" s="1"/>
  <c r="AE638" i="7"/>
  <c r="AE666" i="7"/>
  <c r="AE672" i="7"/>
  <c r="AD95" i="7"/>
  <c r="AE474" i="7"/>
  <c r="AE338" i="7"/>
  <c r="AE673" i="7"/>
  <c r="AE584" i="7"/>
  <c r="AE578" i="7"/>
  <c r="AE624" i="7"/>
  <c r="AE620" i="7"/>
  <c r="AE612" i="7"/>
  <c r="AE616" i="7"/>
  <c r="AE38" i="7"/>
  <c r="AE42" i="7"/>
  <c r="AE35" i="7"/>
  <c r="W114" i="7"/>
  <c r="W115" i="7" s="1"/>
  <c r="X485" i="7"/>
  <c r="AE757" i="7"/>
  <c r="AE756" i="7"/>
  <c r="AE755" i="7"/>
  <c r="AE754" i="7"/>
  <c r="AE753" i="7"/>
  <c r="AE752" i="7"/>
  <c r="AE751" i="7"/>
  <c r="AE750" i="7"/>
  <c r="AE749" i="7"/>
  <c r="AE748" i="7"/>
  <c r="AE723" i="7"/>
  <c r="AE721" i="7"/>
  <c r="AE725" i="7"/>
  <c r="AE724" i="7"/>
  <c r="AE722" i="7"/>
  <c r="AE720" i="7"/>
  <c r="AE718" i="7"/>
  <c r="AE716" i="7"/>
  <c r="AE692" i="7"/>
  <c r="AE684" i="7"/>
  <c r="AE719" i="7"/>
  <c r="AE717" i="7"/>
  <c r="AE691" i="7"/>
  <c r="AE689" i="7"/>
  <c r="AE687" i="7"/>
  <c r="AE685" i="7"/>
  <c r="AE693" i="7"/>
  <c r="AE690" i="7"/>
  <c r="AE688" i="7"/>
  <c r="AE686" i="7"/>
  <c r="AE28" i="7"/>
  <c r="AE62" i="7"/>
  <c r="AF2" i="7"/>
  <c r="Y642" i="7"/>
  <c r="Z667" i="7"/>
  <c r="Y349" i="7"/>
  <c r="Y250" i="7"/>
  <c r="Y213" i="7"/>
  <c r="Y77" i="7"/>
  <c r="Y758" i="7"/>
  <c r="Y743" i="7" s="1"/>
  <c r="Y103" i="7" s="1"/>
  <c r="Y39" i="7"/>
  <c r="Z769" i="7"/>
  <c r="Z768" i="7"/>
  <c r="Z766" i="7"/>
  <c r="Z765" i="7"/>
  <c r="Z763" i="7"/>
  <c r="Z762" i="7"/>
  <c r="Z760" i="7"/>
  <c r="Z409" i="7"/>
  <c r="Z408" i="7"/>
  <c r="Z407" i="7"/>
  <c r="Z406" i="7"/>
  <c r="Z405" i="7"/>
  <c r="Z404" i="7"/>
  <c r="Z403" i="7"/>
  <c r="Z402" i="7"/>
  <c r="Z401" i="7"/>
  <c r="Z400" i="7"/>
  <c r="Z737" i="7"/>
  <c r="Z736" i="7"/>
  <c r="Z735" i="7"/>
  <c r="Z734" i="7"/>
  <c r="Z733" i="7"/>
  <c r="Z732" i="7"/>
  <c r="Z731" i="7"/>
  <c r="Z730" i="7"/>
  <c r="Z728" i="7"/>
  <c r="Z383" i="7"/>
  <c r="Z382" i="7"/>
  <c r="Z381" i="7"/>
  <c r="Z380" i="7"/>
  <c r="Z379" i="7"/>
  <c r="Z378" i="7"/>
  <c r="Z377" i="7"/>
  <c r="Z376" i="7"/>
  <c r="Z375" i="7"/>
  <c r="Z374" i="7"/>
  <c r="Z705" i="7"/>
  <c r="Z704" i="7"/>
  <c r="Z703" i="7"/>
  <c r="Z702" i="7"/>
  <c r="Z701" i="7"/>
  <c r="Z700" i="7"/>
  <c r="Z699" i="7"/>
  <c r="Z698" i="7"/>
  <c r="Z696" i="7"/>
  <c r="Z358" i="7"/>
  <c r="Z357" i="7"/>
  <c r="Z356" i="7"/>
  <c r="Z355" i="7"/>
  <c r="Z354" i="7"/>
  <c r="Z353" i="7"/>
  <c r="Z352" i="7"/>
  <c r="Z351" i="7"/>
  <c r="Z350" i="7"/>
  <c r="Z585" i="7"/>
  <c r="Z579" i="7"/>
  <c r="Z480" i="7"/>
  <c r="Z465" i="7"/>
  <c r="Z464" i="7"/>
  <c r="Z463" i="7"/>
  <c r="Z462" i="7"/>
  <c r="Z461" i="7"/>
  <c r="Z460" i="7"/>
  <c r="Z329" i="7"/>
  <c r="Z328" i="7"/>
  <c r="Z327" i="7"/>
  <c r="Z326" i="7"/>
  <c r="Z325" i="7"/>
  <c r="Z324" i="7"/>
  <c r="Z344" i="7"/>
  <c r="Z37" i="7"/>
  <c r="Y345" i="7"/>
  <c r="Y493" i="7"/>
  <c r="Y487" i="7"/>
  <c r="Y486" i="7"/>
  <c r="Y490" i="7"/>
  <c r="Y494" i="7"/>
  <c r="Y514" i="7"/>
  <c r="Y518" i="7"/>
  <c r="Y538" i="7"/>
  <c r="Y542" i="7"/>
  <c r="Y546" i="7"/>
  <c r="Y511" i="7"/>
  <c r="Y515" i="7"/>
  <c r="Y519" i="7"/>
  <c r="Y539" i="7"/>
  <c r="Y543" i="7"/>
  <c r="Y481" i="7"/>
  <c r="Y93" i="7"/>
  <c r="Y694" i="7"/>
  <c r="Y679" i="7" s="1"/>
  <c r="Y101" i="7" s="1"/>
  <c r="Y726" i="7"/>
  <c r="Y711" i="7" s="1"/>
  <c r="Y102" i="7" s="1"/>
  <c r="X104" i="7"/>
  <c r="Y489" i="7"/>
  <c r="Y491" i="7"/>
  <c r="Y488" i="7"/>
  <c r="Y492" i="7"/>
  <c r="Y512" i="7"/>
  <c r="Y516" i="7"/>
  <c r="Y520" i="7"/>
  <c r="Y540" i="7"/>
  <c r="Y544" i="7"/>
  <c r="Y513" i="7"/>
  <c r="Y517" i="7"/>
  <c r="Y537" i="7"/>
  <c r="Y541" i="7"/>
  <c r="Y545" i="7"/>
  <c r="Z659" i="7"/>
  <c r="AF639" i="7" l="1"/>
  <c r="AF29" i="7"/>
  <c r="AF60" i="7"/>
  <c r="AF645" i="7"/>
  <c r="AF646" i="7" s="1"/>
  <c r="AF654" i="7"/>
  <c r="AF655" i="7" s="1"/>
  <c r="AF652" i="7"/>
  <c r="AF634" i="7" s="1"/>
  <c r="AF651" i="7"/>
  <c r="AF650" i="7"/>
  <c r="AF31" i="7"/>
  <c r="AF61" i="7" s="1"/>
  <c r="AF633" i="7"/>
  <c r="AF641" i="7"/>
  <c r="AE640" i="7"/>
  <c r="AE632" i="7" s="1"/>
  <c r="AF638" i="7"/>
  <c r="AF672" i="7"/>
  <c r="AF666" i="7"/>
  <c r="AF474" i="7"/>
  <c r="AF338" i="7"/>
  <c r="AE95" i="7"/>
  <c r="AF673" i="7"/>
  <c r="W659" i="7"/>
  <c r="AF616" i="7"/>
  <c r="AF584" i="7"/>
  <c r="AF578" i="7"/>
  <c r="AF624" i="7"/>
  <c r="AF620" i="7"/>
  <c r="AF612" i="7"/>
  <c r="AF38" i="7"/>
  <c r="AF42" i="7"/>
  <c r="AF35" i="7"/>
  <c r="Y485" i="7"/>
  <c r="AF757" i="7"/>
  <c r="AF755" i="7"/>
  <c r="AF753" i="7"/>
  <c r="AF751" i="7"/>
  <c r="AF749" i="7"/>
  <c r="AF756" i="7"/>
  <c r="AF752" i="7"/>
  <c r="AF748" i="7"/>
  <c r="AF723" i="7"/>
  <c r="AF721" i="7"/>
  <c r="AF719" i="7"/>
  <c r="AF717" i="7"/>
  <c r="AF693" i="7"/>
  <c r="AF754" i="7"/>
  <c r="AF750" i="7"/>
  <c r="AF725" i="7"/>
  <c r="AF724" i="7"/>
  <c r="AF722" i="7"/>
  <c r="AF720" i="7"/>
  <c r="AF690" i="7"/>
  <c r="AF689" i="7"/>
  <c r="AF688" i="7"/>
  <c r="AF687" i="7"/>
  <c r="AF686" i="7"/>
  <c r="AF685" i="7"/>
  <c r="AF684" i="7"/>
  <c r="AF691" i="7"/>
  <c r="AF718" i="7"/>
  <c r="AF692" i="7"/>
  <c r="AF716" i="7"/>
  <c r="AF28" i="7"/>
  <c r="AF62" i="7"/>
  <c r="AG2" i="7"/>
  <c r="X114" i="7"/>
  <c r="X115" i="7" s="1"/>
  <c r="Z642" i="7"/>
  <c r="Z349" i="7"/>
  <c r="Z250" i="7"/>
  <c r="Z213" i="7"/>
  <c r="Z77" i="7"/>
  <c r="AA769" i="7"/>
  <c r="AA767" i="7"/>
  <c r="AA766" i="7"/>
  <c r="AA765" i="7"/>
  <c r="AA763" i="7"/>
  <c r="AA762" i="7"/>
  <c r="AA409" i="7"/>
  <c r="AA408" i="7"/>
  <c r="AA407" i="7"/>
  <c r="AA406" i="7"/>
  <c r="AA405" i="7"/>
  <c r="AA404" i="7"/>
  <c r="AA403" i="7"/>
  <c r="AA402" i="7"/>
  <c r="AA760" i="7"/>
  <c r="AA400" i="7"/>
  <c r="AA383" i="7"/>
  <c r="AA382" i="7"/>
  <c r="AA381" i="7"/>
  <c r="AA380" i="7"/>
  <c r="AA379" i="7"/>
  <c r="AA378" i="7"/>
  <c r="AA377" i="7"/>
  <c r="AA401" i="7"/>
  <c r="AA737" i="7"/>
  <c r="AA736" i="7"/>
  <c r="AA735" i="7"/>
  <c r="AA734" i="7"/>
  <c r="AA733" i="7"/>
  <c r="AA732" i="7"/>
  <c r="AA731" i="7"/>
  <c r="AA730" i="7"/>
  <c r="AA728" i="7"/>
  <c r="AA358" i="7"/>
  <c r="AA357" i="7"/>
  <c r="AA356" i="7"/>
  <c r="AA355" i="7"/>
  <c r="AA354" i="7"/>
  <c r="AA353" i="7"/>
  <c r="AA376" i="7"/>
  <c r="AA375" i="7"/>
  <c r="AA374" i="7"/>
  <c r="AA705" i="7"/>
  <c r="AA704" i="7"/>
  <c r="AA703" i="7"/>
  <c r="AA702" i="7"/>
  <c r="AA701" i="7"/>
  <c r="AA700" i="7"/>
  <c r="AA699" i="7"/>
  <c r="AA696" i="7"/>
  <c r="AA351" i="7"/>
  <c r="AA352" i="7"/>
  <c r="AA350" i="7"/>
  <c r="AA585" i="7"/>
  <c r="AA579" i="7"/>
  <c r="AA465" i="7"/>
  <c r="AA464" i="7"/>
  <c r="AA463" i="7"/>
  <c r="AA462" i="7"/>
  <c r="AA461" i="7"/>
  <c r="AA460" i="7"/>
  <c r="AA480" i="7"/>
  <c r="AA344" i="7"/>
  <c r="AA329" i="7"/>
  <c r="AA328" i="7"/>
  <c r="AA327" i="7"/>
  <c r="AA326" i="7"/>
  <c r="AA325" i="7"/>
  <c r="AA324" i="7"/>
  <c r="AA37" i="7"/>
  <c r="Z492" i="7"/>
  <c r="Z490" i="7"/>
  <c r="Z489" i="7"/>
  <c r="Z493" i="7"/>
  <c r="Z513" i="7"/>
  <c r="Z517" i="7"/>
  <c r="Z537" i="7"/>
  <c r="Z541" i="7"/>
  <c r="Z545" i="7"/>
  <c r="Z514" i="7"/>
  <c r="Z518" i="7"/>
  <c r="Z538" i="7"/>
  <c r="Z542" i="7"/>
  <c r="Z546" i="7"/>
  <c r="AA659" i="7"/>
  <c r="Z39" i="7"/>
  <c r="Z93" i="7"/>
  <c r="Z694" i="7"/>
  <c r="Z679" i="7" s="1"/>
  <c r="Z101" i="7" s="1"/>
  <c r="Z726" i="7"/>
  <c r="Z711" i="7" s="1"/>
  <c r="Z102" i="7" s="1"/>
  <c r="Z758" i="7"/>
  <c r="Z743" i="7" s="1"/>
  <c r="Z103" i="7" s="1"/>
  <c r="Z488" i="7"/>
  <c r="Z345" i="7"/>
  <c r="Z486" i="7"/>
  <c r="Z494" i="7"/>
  <c r="Z487" i="7"/>
  <c r="Z491" i="7"/>
  <c r="Z511" i="7"/>
  <c r="Z515" i="7"/>
  <c r="Z519" i="7"/>
  <c r="Z539" i="7"/>
  <c r="Z543" i="7"/>
  <c r="Z481" i="7"/>
  <c r="Z512" i="7"/>
  <c r="Z516" i="7"/>
  <c r="Z520" i="7"/>
  <c r="Z540" i="7"/>
  <c r="Z544" i="7"/>
  <c r="Y104" i="7"/>
  <c r="AG29" i="7" l="1"/>
  <c r="AG639" i="7"/>
  <c r="AG60" i="7"/>
  <c r="AG645" i="7"/>
  <c r="AG646" i="7" s="1"/>
  <c r="AG654" i="7"/>
  <c r="AG655" i="7" s="1"/>
  <c r="AG652" i="7"/>
  <c r="AG634" i="7" s="1"/>
  <c r="AG651" i="7"/>
  <c r="AG650" i="7"/>
  <c r="AG633" i="7"/>
  <c r="AG31" i="7"/>
  <c r="AG61" i="7" s="1"/>
  <c r="AG641" i="7"/>
  <c r="AF640" i="7"/>
  <c r="AF632" i="7" s="1"/>
  <c r="AG638" i="7"/>
  <c r="AG666" i="7"/>
  <c r="AG672" i="7"/>
  <c r="AG474" i="7"/>
  <c r="AG338" i="7"/>
  <c r="AF95" i="7"/>
  <c r="AG673" i="7"/>
  <c r="AG584" i="7"/>
  <c r="AG578" i="7"/>
  <c r="AG624" i="7"/>
  <c r="AG620" i="7"/>
  <c r="AG616" i="7"/>
  <c r="AG612" i="7"/>
  <c r="AG38" i="7"/>
  <c r="AG42" i="7"/>
  <c r="AG35" i="7"/>
  <c r="Z114" i="7"/>
  <c r="Z115" i="7" s="1"/>
  <c r="Z485" i="7"/>
  <c r="Y114" i="7"/>
  <c r="Y115" i="7" s="1"/>
  <c r="AG748" i="7"/>
  <c r="AG725" i="7"/>
  <c r="AG757" i="7"/>
  <c r="AG755" i="7"/>
  <c r="AG753" i="7"/>
  <c r="AG751" i="7"/>
  <c r="AG754" i="7"/>
  <c r="AG750" i="7"/>
  <c r="AG724" i="7"/>
  <c r="AG722" i="7"/>
  <c r="AG720" i="7"/>
  <c r="AG756" i="7"/>
  <c r="AG752" i="7"/>
  <c r="AG749" i="7"/>
  <c r="AG723" i="7"/>
  <c r="AG721" i="7"/>
  <c r="AG719" i="7"/>
  <c r="AG717" i="7"/>
  <c r="AG693" i="7"/>
  <c r="AG691" i="7"/>
  <c r="AG718" i="7"/>
  <c r="AG689" i="7"/>
  <c r="AG687" i="7"/>
  <c r="AG685" i="7"/>
  <c r="AG692" i="7"/>
  <c r="AG716" i="7"/>
  <c r="AG690" i="7"/>
  <c r="AG688" i="7"/>
  <c r="AG686" i="7"/>
  <c r="AG684" i="7"/>
  <c r="AG774" i="7"/>
  <c r="AG62" i="7"/>
  <c r="AG28" i="7"/>
  <c r="AH2" i="7"/>
  <c r="AA349" i="7"/>
  <c r="AA642" i="7"/>
  <c r="AB667" i="7"/>
  <c r="AA250" i="7"/>
  <c r="AA213" i="7"/>
  <c r="AA77" i="7"/>
  <c r="AA726" i="7"/>
  <c r="AA711" i="7" s="1"/>
  <c r="AA102" i="7" s="1"/>
  <c r="AA694" i="7"/>
  <c r="AA679" i="7" s="1"/>
  <c r="AA101" i="7" s="1"/>
  <c r="AA93" i="7"/>
  <c r="AB769" i="7"/>
  <c r="AB767" i="7"/>
  <c r="AB766" i="7"/>
  <c r="AB764" i="7"/>
  <c r="AB763" i="7"/>
  <c r="AB762" i="7"/>
  <c r="AB760" i="7"/>
  <c r="AB409" i="7"/>
  <c r="AB408" i="7"/>
  <c r="AB407" i="7"/>
  <c r="AB406" i="7"/>
  <c r="AB405" i="7"/>
  <c r="AB404" i="7"/>
  <c r="AB403" i="7"/>
  <c r="AB402" i="7"/>
  <c r="AB401" i="7"/>
  <c r="AB400" i="7"/>
  <c r="AB737" i="7"/>
  <c r="AB736" i="7"/>
  <c r="AB735" i="7"/>
  <c r="AB734" i="7"/>
  <c r="AB733" i="7"/>
  <c r="AB732" i="7"/>
  <c r="AB731" i="7"/>
  <c r="AB730" i="7"/>
  <c r="AB728" i="7"/>
  <c r="AB383" i="7"/>
  <c r="AB382" i="7"/>
  <c r="AB381" i="7"/>
  <c r="AB380" i="7"/>
  <c r="AB379" i="7"/>
  <c r="AB378" i="7"/>
  <c r="AB377" i="7"/>
  <c r="AB376" i="7"/>
  <c r="AB375" i="7"/>
  <c r="AB374" i="7"/>
  <c r="AB705" i="7"/>
  <c r="AB704" i="7"/>
  <c r="AB703" i="7"/>
  <c r="AB702" i="7"/>
  <c r="AB701" i="7"/>
  <c r="AB700" i="7"/>
  <c r="AB699" i="7"/>
  <c r="AB697" i="7"/>
  <c r="AB696" i="7"/>
  <c r="AB358" i="7"/>
  <c r="AB357" i="7"/>
  <c r="AB356" i="7"/>
  <c r="AB355" i="7"/>
  <c r="AB354" i="7"/>
  <c r="AB353" i="7"/>
  <c r="AB352" i="7"/>
  <c r="AB351" i="7"/>
  <c r="AB350" i="7"/>
  <c r="AB349" i="7"/>
  <c r="AB585" i="7"/>
  <c r="AB579" i="7"/>
  <c r="AB480" i="7"/>
  <c r="AB465" i="7"/>
  <c r="AB464" i="7"/>
  <c r="AB463" i="7"/>
  <c r="AB462" i="7"/>
  <c r="AB461" i="7"/>
  <c r="AB460" i="7"/>
  <c r="AB344" i="7"/>
  <c r="AB329" i="7"/>
  <c r="AB328" i="7"/>
  <c r="AB327" i="7"/>
  <c r="AB326" i="7"/>
  <c r="AB325" i="7"/>
  <c r="AB324" i="7"/>
  <c r="AB37" i="7"/>
  <c r="AA491" i="7"/>
  <c r="AA493" i="7"/>
  <c r="AA488" i="7"/>
  <c r="AA492" i="7"/>
  <c r="AA512" i="7"/>
  <c r="AA516" i="7"/>
  <c r="AA520" i="7"/>
  <c r="AA540" i="7"/>
  <c r="AA544" i="7"/>
  <c r="AA513" i="7"/>
  <c r="AA517" i="7"/>
  <c r="AA537" i="7"/>
  <c r="AA541" i="7"/>
  <c r="AA545" i="7"/>
  <c r="AB659" i="7"/>
  <c r="Z104" i="7"/>
  <c r="AA39" i="7"/>
  <c r="AA758" i="7"/>
  <c r="AA743" i="7" s="1"/>
  <c r="AA103" i="7" s="1"/>
  <c r="AA345" i="7"/>
  <c r="AA487" i="7"/>
  <c r="AA489" i="7"/>
  <c r="AA486" i="7"/>
  <c r="AA490" i="7"/>
  <c r="AA494" i="7"/>
  <c r="AA514" i="7"/>
  <c r="AA518" i="7"/>
  <c r="AA538" i="7"/>
  <c r="AA542" i="7"/>
  <c r="AA546" i="7"/>
  <c r="AA511" i="7"/>
  <c r="AA515" i="7"/>
  <c r="AA519" i="7"/>
  <c r="AA539" i="7"/>
  <c r="AA543" i="7"/>
  <c r="AA481" i="7"/>
  <c r="AH639" i="7" l="1"/>
  <c r="AH29" i="7"/>
  <c r="AH60" i="7"/>
  <c r="AH645" i="7"/>
  <c r="AH646" i="7" s="1"/>
  <c r="AH654" i="7"/>
  <c r="AH655" i="7" s="1"/>
  <c r="AH652" i="7"/>
  <c r="AH634" i="7" s="1"/>
  <c r="AH651" i="7"/>
  <c r="AH650" i="7"/>
  <c r="AH633" i="7"/>
  <c r="AH31" i="7"/>
  <c r="AH61" i="7" s="1"/>
  <c r="AH641" i="7"/>
  <c r="AG640" i="7"/>
  <c r="AG632" i="7" s="1"/>
  <c r="AH638" i="7"/>
  <c r="AH672" i="7"/>
  <c r="AH666" i="7"/>
  <c r="AG95" i="7"/>
  <c r="AH474" i="7"/>
  <c r="AH338" i="7"/>
  <c r="AH673" i="7"/>
  <c r="AH578" i="7"/>
  <c r="AH616" i="7"/>
  <c r="AH584" i="7"/>
  <c r="AH624" i="7"/>
  <c r="AH620" i="7"/>
  <c r="AH612" i="7"/>
  <c r="AH38" i="7"/>
  <c r="AH42" i="7"/>
  <c r="AH35" i="7"/>
  <c r="AA485" i="7"/>
  <c r="AH756" i="7"/>
  <c r="AH754" i="7"/>
  <c r="AH752" i="7"/>
  <c r="AH750" i="7"/>
  <c r="AH757" i="7"/>
  <c r="AH753" i="7"/>
  <c r="AH725" i="7"/>
  <c r="AH724" i="7"/>
  <c r="AH723" i="7"/>
  <c r="AH722" i="7"/>
  <c r="AH721" i="7"/>
  <c r="AH720" i="7"/>
  <c r="AH719" i="7"/>
  <c r="AH718" i="7"/>
  <c r="AH717" i="7"/>
  <c r="AH716" i="7"/>
  <c r="AH693" i="7"/>
  <c r="AH692" i="7"/>
  <c r="AH691" i="7"/>
  <c r="AH755" i="7"/>
  <c r="AH751" i="7"/>
  <c r="AH749" i="7"/>
  <c r="AH748" i="7"/>
  <c r="AH690" i="7"/>
  <c r="AH688" i="7"/>
  <c r="AH686" i="7"/>
  <c r="AH684" i="7"/>
  <c r="AH689" i="7"/>
  <c r="AH687" i="7"/>
  <c r="AH685" i="7"/>
  <c r="AH774" i="7"/>
  <c r="AH62" i="7"/>
  <c r="AH28" i="7"/>
  <c r="AI2" i="7"/>
  <c r="AB642" i="7"/>
  <c r="AC667" i="7"/>
  <c r="AB250" i="7"/>
  <c r="AB213" i="7"/>
  <c r="AB77" i="7"/>
  <c r="AA104" i="7"/>
  <c r="AB694" i="7"/>
  <c r="AB679" i="7" s="1"/>
  <c r="AB101" i="7" s="1"/>
  <c r="AB758" i="7"/>
  <c r="AB743" i="7" s="1"/>
  <c r="AB103" i="7" s="1"/>
  <c r="AB39" i="7"/>
  <c r="AB726" i="7"/>
  <c r="AB711" i="7" s="1"/>
  <c r="AB102" i="7" s="1"/>
  <c r="AB93" i="7"/>
  <c r="AC769" i="7"/>
  <c r="AC767" i="7"/>
  <c r="AC766" i="7"/>
  <c r="AC764" i="7"/>
  <c r="AC763" i="7"/>
  <c r="AC762" i="7"/>
  <c r="AC409" i="7"/>
  <c r="AC408" i="7"/>
  <c r="AC407" i="7"/>
  <c r="AC406" i="7"/>
  <c r="AC405" i="7"/>
  <c r="AC404" i="7"/>
  <c r="AC403" i="7"/>
  <c r="AC402" i="7"/>
  <c r="AC760" i="7"/>
  <c r="AC401" i="7"/>
  <c r="AC383" i="7"/>
  <c r="AC382" i="7"/>
  <c r="AC381" i="7"/>
  <c r="AC380" i="7"/>
  <c r="AC379" i="7"/>
  <c r="AC378" i="7"/>
  <c r="AC377" i="7"/>
  <c r="AC400" i="7"/>
  <c r="AC737" i="7"/>
  <c r="AC736" i="7"/>
  <c r="AC735" i="7"/>
  <c r="AC734" i="7"/>
  <c r="AC733" i="7"/>
  <c r="AC732" i="7"/>
  <c r="AC731" i="7"/>
  <c r="AC730" i="7"/>
  <c r="AC728" i="7"/>
  <c r="AC376" i="7"/>
  <c r="AC358" i="7"/>
  <c r="AC357" i="7"/>
  <c r="AC356" i="7"/>
  <c r="AC355" i="7"/>
  <c r="AC354" i="7"/>
  <c r="AC353" i="7"/>
  <c r="AC375" i="7"/>
  <c r="AC374" i="7"/>
  <c r="AC705" i="7"/>
  <c r="AC704" i="7"/>
  <c r="AC703" i="7"/>
  <c r="AC702" i="7"/>
  <c r="AC701" i="7"/>
  <c r="AC700" i="7"/>
  <c r="AC699" i="7"/>
  <c r="AC697" i="7"/>
  <c r="AC696" i="7"/>
  <c r="AC352" i="7"/>
  <c r="AC351" i="7"/>
  <c r="AC350" i="7"/>
  <c r="AC349" i="7"/>
  <c r="AC585" i="7"/>
  <c r="AC579" i="7"/>
  <c r="AC465" i="7"/>
  <c r="AC464" i="7"/>
  <c r="AC463" i="7"/>
  <c r="AC462" i="7"/>
  <c r="AC461" i="7"/>
  <c r="AC460" i="7"/>
  <c r="AC480" i="7"/>
  <c r="AC344" i="7"/>
  <c r="AC329" i="7"/>
  <c r="AC328" i="7"/>
  <c r="AC327" i="7"/>
  <c r="AC326" i="7"/>
  <c r="AC325" i="7"/>
  <c r="AC324" i="7"/>
  <c r="AC37" i="7"/>
  <c r="AB490" i="7"/>
  <c r="AB345" i="7"/>
  <c r="AB488" i="7"/>
  <c r="AB487" i="7"/>
  <c r="AB491" i="7"/>
  <c r="AB511" i="7"/>
  <c r="AB515" i="7"/>
  <c r="AB519" i="7"/>
  <c r="AB539" i="7"/>
  <c r="AB543" i="7"/>
  <c r="AB481" i="7"/>
  <c r="AB512" i="7"/>
  <c r="AB516" i="7"/>
  <c r="AB520" i="7"/>
  <c r="AB540" i="7"/>
  <c r="AB544" i="7"/>
  <c r="AB486" i="7"/>
  <c r="AB494" i="7"/>
  <c r="AB492" i="7"/>
  <c r="AB485" i="7"/>
  <c r="AB489" i="7"/>
  <c r="AB493" i="7"/>
  <c r="AB513" i="7"/>
  <c r="AB517" i="7"/>
  <c r="AB537" i="7"/>
  <c r="AB541" i="7"/>
  <c r="AB545" i="7"/>
  <c r="AB514" i="7"/>
  <c r="AB518" i="7"/>
  <c r="AB538" i="7"/>
  <c r="AB542" i="7"/>
  <c r="AB546" i="7"/>
  <c r="AC659" i="7"/>
  <c r="AI639" i="7" l="1"/>
  <c r="AI29" i="7"/>
  <c r="AI60" i="7"/>
  <c r="AI645" i="7"/>
  <c r="AI646" i="7" s="1"/>
  <c r="AI654" i="7"/>
  <c r="AI655" i="7" s="1"/>
  <c r="AI652" i="7"/>
  <c r="AI634" i="7" s="1"/>
  <c r="AI651" i="7"/>
  <c r="AI650" i="7"/>
  <c r="AH632" i="7"/>
  <c r="AI31" i="7"/>
  <c r="AI61" i="7" s="1"/>
  <c r="AI633" i="7"/>
  <c r="AI641" i="7"/>
  <c r="AH640" i="7"/>
  <c r="AI638" i="7"/>
  <c r="AI666" i="7"/>
  <c r="AI672" i="7"/>
  <c r="AI474" i="7"/>
  <c r="AI338" i="7"/>
  <c r="AH95" i="7"/>
  <c r="AI673" i="7"/>
  <c r="AI584" i="7"/>
  <c r="AI578" i="7"/>
  <c r="AI624" i="7"/>
  <c r="AI620" i="7"/>
  <c r="AI616" i="7"/>
  <c r="AI612" i="7"/>
  <c r="AI38" i="7"/>
  <c r="AI42" i="7"/>
  <c r="AI35" i="7"/>
  <c r="AB114" i="7"/>
  <c r="AB115" i="7" s="1"/>
  <c r="AA114" i="7"/>
  <c r="AA115" i="7" s="1"/>
  <c r="AI757" i="7"/>
  <c r="AI756" i="7"/>
  <c r="AI755" i="7"/>
  <c r="AI754" i="7"/>
  <c r="AI753" i="7"/>
  <c r="AI752" i="7"/>
  <c r="AI751" i="7"/>
  <c r="AI750" i="7"/>
  <c r="AI749" i="7"/>
  <c r="AI724" i="7"/>
  <c r="AI720" i="7"/>
  <c r="AI725" i="7"/>
  <c r="AI748" i="7"/>
  <c r="AI723" i="7"/>
  <c r="AI721" i="7"/>
  <c r="AI719" i="7"/>
  <c r="AI722" i="7"/>
  <c r="AI718" i="7"/>
  <c r="AI716" i="7"/>
  <c r="AI692" i="7"/>
  <c r="AI690" i="7"/>
  <c r="AI688" i="7"/>
  <c r="AI686" i="7"/>
  <c r="AI684" i="7"/>
  <c r="AI693" i="7"/>
  <c r="AI689" i="7"/>
  <c r="AI687" i="7"/>
  <c r="AI685" i="7"/>
  <c r="AI717" i="7"/>
  <c r="AI691" i="7"/>
  <c r="AI774" i="7"/>
  <c r="AI28" i="7"/>
  <c r="AI62" i="7"/>
  <c r="AJ2" i="7"/>
  <c r="AC642" i="7"/>
  <c r="AD667" i="7"/>
  <c r="AC250" i="7"/>
  <c r="AC213" i="7"/>
  <c r="AC77" i="7"/>
  <c r="AB104" i="7"/>
  <c r="AC758" i="7"/>
  <c r="AC743" i="7" s="1"/>
  <c r="AC103" i="7" s="1"/>
  <c r="AC39" i="7"/>
  <c r="AD768" i="7"/>
  <c r="AD767" i="7"/>
  <c r="AD766" i="7"/>
  <c r="AD764" i="7"/>
  <c r="AD763" i="7"/>
  <c r="AD762" i="7"/>
  <c r="AD760" i="7"/>
  <c r="AD409" i="7"/>
  <c r="AD408" i="7"/>
  <c r="AD407" i="7"/>
  <c r="AD406" i="7"/>
  <c r="AD405" i="7"/>
  <c r="AD404" i="7"/>
  <c r="AD403" i="7"/>
  <c r="AD402" i="7"/>
  <c r="AD401" i="7"/>
  <c r="AD400" i="7"/>
  <c r="AD737" i="7"/>
  <c r="AD736" i="7"/>
  <c r="AD735" i="7"/>
  <c r="AD734" i="7"/>
  <c r="AD733" i="7"/>
  <c r="AD732" i="7"/>
  <c r="AD731" i="7"/>
  <c r="AD730" i="7"/>
  <c r="AD728" i="7"/>
  <c r="AD383" i="7"/>
  <c r="AD382" i="7"/>
  <c r="AD381" i="7"/>
  <c r="AD380" i="7"/>
  <c r="AD379" i="7"/>
  <c r="AD378" i="7"/>
  <c r="AD377" i="7"/>
  <c r="AD376" i="7"/>
  <c r="AD375" i="7"/>
  <c r="AD374" i="7"/>
  <c r="AD705" i="7"/>
  <c r="AD704" i="7"/>
  <c r="AD703" i="7"/>
  <c r="AD702" i="7"/>
  <c r="AD701" i="7"/>
  <c r="AD700" i="7"/>
  <c r="AD699" i="7"/>
  <c r="AD697" i="7"/>
  <c r="AD696" i="7"/>
  <c r="AD358" i="7"/>
  <c r="AD357" i="7"/>
  <c r="AD356" i="7"/>
  <c r="AD355" i="7"/>
  <c r="AD354" i="7"/>
  <c r="AD353" i="7"/>
  <c r="AD352" i="7"/>
  <c r="AD351" i="7"/>
  <c r="AD350" i="7"/>
  <c r="AD349" i="7"/>
  <c r="AD585" i="7"/>
  <c r="AD579" i="7"/>
  <c r="AD480" i="7"/>
  <c r="AD465" i="7"/>
  <c r="AD464" i="7"/>
  <c r="AD463" i="7"/>
  <c r="AD462" i="7"/>
  <c r="AD461" i="7"/>
  <c r="AD460" i="7"/>
  <c r="AD344" i="7"/>
  <c r="AD329" i="7"/>
  <c r="AD328" i="7"/>
  <c r="AD327" i="7"/>
  <c r="AD326" i="7"/>
  <c r="AD325" i="7"/>
  <c r="AD324" i="7"/>
  <c r="AD37" i="7"/>
  <c r="AC345" i="7"/>
  <c r="AC489" i="7"/>
  <c r="AC487" i="7"/>
  <c r="AC486" i="7"/>
  <c r="AC490" i="7"/>
  <c r="AC494" i="7"/>
  <c r="AC514" i="7"/>
  <c r="AC518" i="7"/>
  <c r="AC538" i="7"/>
  <c r="AC542" i="7"/>
  <c r="AC546" i="7"/>
  <c r="AC511" i="7"/>
  <c r="AC515" i="7"/>
  <c r="AC519" i="7"/>
  <c r="AC539" i="7"/>
  <c r="AC543" i="7"/>
  <c r="AC481" i="7"/>
  <c r="AC93" i="7"/>
  <c r="AC694" i="7"/>
  <c r="AC679" i="7" s="1"/>
  <c r="AC101" i="7" s="1"/>
  <c r="AC726" i="7"/>
  <c r="AC711" i="7" s="1"/>
  <c r="AC102" i="7" s="1"/>
  <c r="AC485" i="7"/>
  <c r="AC493" i="7"/>
  <c r="AC491" i="7"/>
  <c r="AC488" i="7"/>
  <c r="AC492" i="7"/>
  <c r="AC512" i="7"/>
  <c r="AC516" i="7"/>
  <c r="AC520" i="7"/>
  <c r="AC540" i="7"/>
  <c r="AC544" i="7"/>
  <c r="AC513" i="7"/>
  <c r="AC517" i="7"/>
  <c r="AC537" i="7"/>
  <c r="AC541" i="7"/>
  <c r="AC545" i="7"/>
  <c r="AD659" i="7"/>
  <c r="AJ639" i="7" l="1"/>
  <c r="AJ29" i="7"/>
  <c r="AJ60" i="7"/>
  <c r="AJ645" i="7"/>
  <c r="AJ646" i="7" s="1"/>
  <c r="AJ654" i="7"/>
  <c r="AJ655" i="7" s="1"/>
  <c r="AJ652" i="7"/>
  <c r="AJ634" i="7" s="1"/>
  <c r="AJ651" i="7"/>
  <c r="AJ650" i="7"/>
  <c r="AJ633" i="7"/>
  <c r="AJ31" i="7"/>
  <c r="AJ61" i="7" s="1"/>
  <c r="AJ641" i="7"/>
  <c r="AI640" i="7"/>
  <c r="AI632" i="7" s="1"/>
  <c r="AJ638" i="7"/>
  <c r="AJ666" i="7"/>
  <c r="AJ672" i="7"/>
  <c r="AI95" i="7"/>
  <c r="AJ474" i="7"/>
  <c r="AJ338" i="7"/>
  <c r="AJ673" i="7"/>
  <c r="AJ620" i="7"/>
  <c r="AJ616" i="7"/>
  <c r="AJ612" i="7"/>
  <c r="AJ584" i="7"/>
  <c r="AJ578" i="7"/>
  <c r="AJ624" i="7"/>
  <c r="AJ38" i="7"/>
  <c r="AJ42" i="7"/>
  <c r="AJ35" i="7"/>
  <c r="AJ756" i="7"/>
  <c r="AJ754" i="7"/>
  <c r="AJ752" i="7"/>
  <c r="AJ750" i="7"/>
  <c r="AJ748" i="7"/>
  <c r="AJ755" i="7"/>
  <c r="AJ725" i="7"/>
  <c r="AJ751" i="7"/>
  <c r="AJ749" i="7"/>
  <c r="AJ723" i="7"/>
  <c r="AJ721" i="7"/>
  <c r="AJ757" i="7"/>
  <c r="AJ753" i="7"/>
  <c r="AJ724" i="7"/>
  <c r="AJ722" i="7"/>
  <c r="AJ720" i="7"/>
  <c r="AJ718" i="7"/>
  <c r="AJ716" i="7"/>
  <c r="AJ692" i="7"/>
  <c r="AJ690" i="7"/>
  <c r="AJ689" i="7"/>
  <c r="AJ688" i="7"/>
  <c r="AJ687" i="7"/>
  <c r="AJ686" i="7"/>
  <c r="AJ685" i="7"/>
  <c r="AJ684" i="7"/>
  <c r="AJ693" i="7"/>
  <c r="AJ717" i="7"/>
  <c r="AJ691" i="7"/>
  <c r="AJ719" i="7"/>
  <c r="AJ774" i="7"/>
  <c r="AJ28" i="7"/>
  <c r="AJ62" i="7"/>
  <c r="AK2" i="7"/>
  <c r="AD642" i="7"/>
  <c r="AE667" i="7"/>
  <c r="AD250" i="7"/>
  <c r="AD213" i="7"/>
  <c r="AD77" i="7"/>
  <c r="AE768" i="7"/>
  <c r="AE767" i="7"/>
  <c r="AE766" i="7"/>
  <c r="AE764" i="7"/>
  <c r="AE763" i="7"/>
  <c r="AE762" i="7"/>
  <c r="AE760" i="7"/>
  <c r="AE409" i="7"/>
  <c r="AE408" i="7"/>
  <c r="AE407" i="7"/>
  <c r="AE406" i="7"/>
  <c r="AE405" i="7"/>
  <c r="AE404" i="7"/>
  <c r="AE403" i="7"/>
  <c r="AE402" i="7"/>
  <c r="AE400" i="7"/>
  <c r="AE383" i="7"/>
  <c r="AE382" i="7"/>
  <c r="AE381" i="7"/>
  <c r="AE380" i="7"/>
  <c r="AE379" i="7"/>
  <c r="AE378" i="7"/>
  <c r="AE377" i="7"/>
  <c r="AE401" i="7"/>
  <c r="AE737" i="7"/>
  <c r="AE736" i="7"/>
  <c r="AE735" i="7"/>
  <c r="AE734" i="7"/>
  <c r="AE733" i="7"/>
  <c r="AE732" i="7"/>
  <c r="AE731" i="7"/>
  <c r="AE730" i="7"/>
  <c r="AE728" i="7"/>
  <c r="AE358" i="7"/>
  <c r="AE357" i="7"/>
  <c r="AE356" i="7"/>
  <c r="AE355" i="7"/>
  <c r="AE354" i="7"/>
  <c r="AE353" i="7"/>
  <c r="AE376" i="7"/>
  <c r="AE375" i="7"/>
  <c r="AE374" i="7"/>
  <c r="AE705" i="7"/>
  <c r="AE704" i="7"/>
  <c r="AE703" i="7"/>
  <c r="AE702" i="7"/>
  <c r="AE701" i="7"/>
  <c r="AE700" i="7"/>
  <c r="AE699" i="7"/>
  <c r="AE697" i="7"/>
  <c r="AE696" i="7"/>
  <c r="AE351" i="7"/>
  <c r="AE352" i="7"/>
  <c r="AE350" i="7"/>
  <c r="AE349" i="7"/>
  <c r="AE585" i="7"/>
  <c r="AE579" i="7"/>
  <c r="AE465" i="7"/>
  <c r="AE464" i="7"/>
  <c r="AE463" i="7"/>
  <c r="AE462" i="7"/>
  <c r="AE461" i="7"/>
  <c r="AE460" i="7"/>
  <c r="AE480" i="7"/>
  <c r="AE344" i="7"/>
  <c r="AE329" i="7"/>
  <c r="AE328" i="7"/>
  <c r="AE327" i="7"/>
  <c r="AE326" i="7"/>
  <c r="AE325" i="7"/>
  <c r="AE324" i="7"/>
  <c r="AE37" i="7"/>
  <c r="AD488" i="7"/>
  <c r="AD345" i="7"/>
  <c r="AD486" i="7"/>
  <c r="AD494" i="7"/>
  <c r="AD485" i="7"/>
  <c r="AD489" i="7"/>
  <c r="AD493" i="7"/>
  <c r="AD513" i="7"/>
  <c r="AD517" i="7"/>
  <c r="AD537" i="7"/>
  <c r="AD541" i="7"/>
  <c r="AD545" i="7"/>
  <c r="AD514" i="7"/>
  <c r="AD518" i="7"/>
  <c r="AD538" i="7"/>
  <c r="AD542" i="7"/>
  <c r="AD546" i="7"/>
  <c r="AE659" i="7"/>
  <c r="AD39" i="7"/>
  <c r="AD93" i="7"/>
  <c r="AD694" i="7"/>
  <c r="AD679" i="7" s="1"/>
  <c r="AD101" i="7" s="1"/>
  <c r="AD726" i="7"/>
  <c r="AD711" i="7" s="1"/>
  <c r="AD102" i="7" s="1"/>
  <c r="AD758" i="7"/>
  <c r="AD743" i="7" s="1"/>
  <c r="AD103" i="7" s="1"/>
  <c r="AD492" i="7"/>
  <c r="AD490" i="7"/>
  <c r="AD487" i="7"/>
  <c r="AD491" i="7"/>
  <c r="AD511" i="7"/>
  <c r="AD515" i="7"/>
  <c r="AD519" i="7"/>
  <c r="AD539" i="7"/>
  <c r="AD543" i="7"/>
  <c r="AD481" i="7"/>
  <c r="AD512" i="7"/>
  <c r="AD516" i="7"/>
  <c r="AD520" i="7"/>
  <c r="AD540" i="7"/>
  <c r="AD544" i="7"/>
  <c r="AC104" i="7"/>
  <c r="AK29" i="7" l="1"/>
  <c r="AK639" i="7"/>
  <c r="AK60" i="7"/>
  <c r="AK645" i="7"/>
  <c r="AK646" i="7" s="1"/>
  <c r="AK654" i="7"/>
  <c r="AK655" i="7" s="1"/>
  <c r="AK652" i="7"/>
  <c r="AK634" i="7" s="1"/>
  <c r="AK651" i="7"/>
  <c r="AK650" i="7"/>
  <c r="AJ632" i="7"/>
  <c r="AK31" i="7"/>
  <c r="AK61" i="7" s="1"/>
  <c r="AK633" i="7"/>
  <c r="AK641" i="7"/>
  <c r="AJ640" i="7"/>
  <c r="AK638" i="7"/>
  <c r="AK672" i="7"/>
  <c r="AK666" i="7"/>
  <c r="AK474" i="7"/>
  <c r="AK338" i="7"/>
  <c r="AJ95" i="7"/>
  <c r="AK673" i="7"/>
  <c r="AK584" i="7"/>
  <c r="AK578" i="7"/>
  <c r="AK624" i="7"/>
  <c r="AK620" i="7"/>
  <c r="AK616" i="7"/>
  <c r="AK612" i="7"/>
  <c r="AK38" i="7"/>
  <c r="AK42" i="7"/>
  <c r="AK35" i="7"/>
  <c r="AC114" i="7"/>
  <c r="AC115" i="7" s="1"/>
  <c r="AK757" i="7"/>
  <c r="AK755" i="7"/>
  <c r="AK753" i="7"/>
  <c r="AK751" i="7"/>
  <c r="AK749" i="7"/>
  <c r="AK748" i="7"/>
  <c r="AK725" i="7"/>
  <c r="AK754" i="7"/>
  <c r="AK750" i="7"/>
  <c r="AK756" i="7"/>
  <c r="AK752" i="7"/>
  <c r="AK724" i="7"/>
  <c r="AK722" i="7"/>
  <c r="AK720" i="7"/>
  <c r="AK723" i="7"/>
  <c r="AK721" i="7"/>
  <c r="AK719" i="7"/>
  <c r="AK717" i="7"/>
  <c r="AK693" i="7"/>
  <c r="AK716" i="7"/>
  <c r="AK691" i="7"/>
  <c r="AK689" i="7"/>
  <c r="AK687" i="7"/>
  <c r="AK685" i="7"/>
  <c r="AK718" i="7"/>
  <c r="AK692" i="7"/>
  <c r="AK690" i="7"/>
  <c r="AK688" i="7"/>
  <c r="AK686" i="7"/>
  <c r="AK684" i="7"/>
  <c r="AK774" i="7"/>
  <c r="AK62" i="7"/>
  <c r="AK28" i="7"/>
  <c r="AL2" i="7"/>
  <c r="AE642" i="7"/>
  <c r="AE250" i="7"/>
  <c r="AE213" i="7"/>
  <c r="AE77" i="7"/>
  <c r="AE694" i="7"/>
  <c r="AE679" i="7" s="1"/>
  <c r="AE101" i="7" s="1"/>
  <c r="AE726" i="7"/>
  <c r="AE711" i="7" s="1"/>
  <c r="AE102" i="7" s="1"/>
  <c r="AE93" i="7"/>
  <c r="AE491" i="7"/>
  <c r="AE485" i="7"/>
  <c r="AE493" i="7"/>
  <c r="AE488" i="7"/>
  <c r="AE492" i="7"/>
  <c r="AE512" i="7"/>
  <c r="AE516" i="7"/>
  <c r="AE520" i="7"/>
  <c r="AE540" i="7"/>
  <c r="AE544" i="7"/>
  <c r="AE513" i="7"/>
  <c r="AE517" i="7"/>
  <c r="AE537" i="7"/>
  <c r="AE541" i="7"/>
  <c r="AE545" i="7"/>
  <c r="AF659" i="7"/>
  <c r="AE39" i="7"/>
  <c r="AE758" i="7"/>
  <c r="AE743" i="7" s="1"/>
  <c r="AE103" i="7" s="1"/>
  <c r="AF768" i="7"/>
  <c r="AF767" i="7"/>
  <c r="AF766" i="7"/>
  <c r="AF764" i="7"/>
  <c r="AF763" i="7"/>
  <c r="AF762" i="7"/>
  <c r="AF760" i="7"/>
  <c r="AF409" i="7"/>
  <c r="AF408" i="7"/>
  <c r="AF407" i="7"/>
  <c r="AF406" i="7"/>
  <c r="AF405" i="7"/>
  <c r="AF404" i="7"/>
  <c r="AF403" i="7"/>
  <c r="AF402" i="7"/>
  <c r="AF401" i="7"/>
  <c r="AF400" i="7"/>
  <c r="AF737" i="7"/>
  <c r="AF736" i="7"/>
  <c r="AF735" i="7"/>
  <c r="AF734" i="7"/>
  <c r="AF733" i="7"/>
  <c r="AF732" i="7"/>
  <c r="AF731" i="7"/>
  <c r="AF730" i="7"/>
  <c r="AF728" i="7"/>
  <c r="AF383" i="7"/>
  <c r="AF382" i="7"/>
  <c r="AF381" i="7"/>
  <c r="AF380" i="7"/>
  <c r="AF379" i="7"/>
  <c r="AF378" i="7"/>
  <c r="AF377" i="7"/>
  <c r="AF376" i="7"/>
  <c r="AF375" i="7"/>
  <c r="AF374" i="7"/>
  <c r="AF705" i="7"/>
  <c r="AF704" i="7"/>
  <c r="AF703" i="7"/>
  <c r="AF702" i="7"/>
  <c r="AF701" i="7"/>
  <c r="AF700" i="7"/>
  <c r="AF699" i="7"/>
  <c r="AF697" i="7"/>
  <c r="AF696" i="7"/>
  <c r="AF358" i="7"/>
  <c r="AF357" i="7"/>
  <c r="AF356" i="7"/>
  <c r="AF355" i="7"/>
  <c r="AF354" i="7"/>
  <c r="AF353" i="7"/>
  <c r="AF352" i="7"/>
  <c r="AF351" i="7"/>
  <c r="AF350" i="7"/>
  <c r="AF349" i="7"/>
  <c r="AF585" i="7"/>
  <c r="AF579" i="7"/>
  <c r="AF480" i="7"/>
  <c r="AF465" i="7"/>
  <c r="AF464" i="7"/>
  <c r="AF463" i="7"/>
  <c r="AF462" i="7"/>
  <c r="AF461" i="7"/>
  <c r="AF460" i="7"/>
  <c r="AF344" i="7"/>
  <c r="AF329" i="7"/>
  <c r="AF328" i="7"/>
  <c r="AF327" i="7"/>
  <c r="AF326" i="7"/>
  <c r="AF325" i="7"/>
  <c r="AF324" i="7"/>
  <c r="AF37" i="7"/>
  <c r="AE345" i="7"/>
  <c r="AE487" i="7"/>
  <c r="AE489" i="7"/>
  <c r="AE486" i="7"/>
  <c r="AE490" i="7"/>
  <c r="AE494" i="7"/>
  <c r="AE514" i="7"/>
  <c r="AE518" i="7"/>
  <c r="AE538" i="7"/>
  <c r="AE542" i="7"/>
  <c r="AE546" i="7"/>
  <c r="AE511" i="7"/>
  <c r="AE515" i="7"/>
  <c r="AE519" i="7"/>
  <c r="AE539" i="7"/>
  <c r="AE543" i="7"/>
  <c r="AE481" i="7"/>
  <c r="AD104" i="7"/>
  <c r="AL639" i="7" l="1"/>
  <c r="AL29" i="7"/>
  <c r="AL60" i="7"/>
  <c r="AL645" i="7"/>
  <c r="AL646" i="7" s="1"/>
  <c r="AL654" i="7"/>
  <c r="AL655" i="7" s="1"/>
  <c r="AL652" i="7"/>
  <c r="AL634" i="7" s="1"/>
  <c r="AL651" i="7"/>
  <c r="AL650" i="7"/>
  <c r="AL633" i="7"/>
  <c r="AL31" i="7"/>
  <c r="AL61" i="7" s="1"/>
  <c r="AL641" i="7"/>
  <c r="AK640" i="7"/>
  <c r="AK632" i="7" s="1"/>
  <c r="AL638" i="7"/>
  <c r="AL672" i="7"/>
  <c r="AL666" i="7"/>
  <c r="AK95" i="7"/>
  <c r="AL474" i="7"/>
  <c r="AL338" i="7"/>
  <c r="AL673" i="7"/>
  <c r="AL624" i="7"/>
  <c r="AL620" i="7"/>
  <c r="AL616" i="7"/>
  <c r="AL612" i="7"/>
  <c r="AL584" i="7"/>
  <c r="AL578" i="7"/>
  <c r="AL38" i="7"/>
  <c r="AL42" i="7"/>
  <c r="AL35" i="7"/>
  <c r="AE114" i="7"/>
  <c r="AE115" i="7" s="1"/>
  <c r="AD114" i="7"/>
  <c r="AD115" i="7" s="1"/>
  <c r="AL757" i="7"/>
  <c r="AL755" i="7"/>
  <c r="AL753" i="7"/>
  <c r="AL751" i="7"/>
  <c r="AL749" i="7"/>
  <c r="AL724" i="7"/>
  <c r="AL723" i="7"/>
  <c r="AL722" i="7"/>
  <c r="AL721" i="7"/>
  <c r="AL720" i="7"/>
  <c r="AL719" i="7"/>
  <c r="AL718" i="7"/>
  <c r="AL717" i="7"/>
  <c r="AL716" i="7"/>
  <c r="AL693" i="7"/>
  <c r="AL692" i="7"/>
  <c r="AL691" i="7"/>
  <c r="AL756" i="7"/>
  <c r="AL750" i="7"/>
  <c r="AL752" i="7"/>
  <c r="AL748" i="7"/>
  <c r="AL754" i="7"/>
  <c r="AL725" i="7"/>
  <c r="AL689" i="7"/>
  <c r="AL687" i="7"/>
  <c r="AL685" i="7"/>
  <c r="AL690" i="7"/>
  <c r="AL688" i="7"/>
  <c r="AL686" i="7"/>
  <c r="AL684" i="7"/>
  <c r="AL774" i="7"/>
  <c r="AL62" i="7"/>
  <c r="AL28" i="7"/>
  <c r="AM2" i="7"/>
  <c r="AF642" i="7"/>
  <c r="AG667" i="7"/>
  <c r="C465" i="7"/>
  <c r="C329" i="7"/>
  <c r="AF250" i="7"/>
  <c r="AF213" i="7"/>
  <c r="AF77" i="7"/>
  <c r="AE104" i="7"/>
  <c r="AF726" i="7"/>
  <c r="AF711" i="7" s="1"/>
  <c r="AF102" i="7" s="1"/>
  <c r="AF39" i="7"/>
  <c r="AF694" i="7"/>
  <c r="AF679" i="7" s="1"/>
  <c r="AF101" i="7" s="1"/>
  <c r="AF758" i="7"/>
  <c r="AF743" i="7" s="1"/>
  <c r="AF103" i="7" s="1"/>
  <c r="AF93" i="7"/>
  <c r="AG769" i="7"/>
  <c r="AG768" i="7"/>
  <c r="AG767" i="7"/>
  <c r="AG765" i="7"/>
  <c r="AG764" i="7"/>
  <c r="AG763" i="7"/>
  <c r="AG762" i="7"/>
  <c r="AG409" i="7"/>
  <c r="AG407" i="7"/>
  <c r="AG406" i="7"/>
  <c r="AG405" i="7"/>
  <c r="AG404" i="7"/>
  <c r="AG403" i="7"/>
  <c r="AG402" i="7"/>
  <c r="AG760" i="7"/>
  <c r="AG401" i="7"/>
  <c r="AG383" i="7"/>
  <c r="AG382" i="7"/>
  <c r="AG381" i="7"/>
  <c r="AG380" i="7"/>
  <c r="AG379" i="7"/>
  <c r="AG378" i="7"/>
  <c r="AG377" i="7"/>
  <c r="AG400" i="7"/>
  <c r="AG737" i="7"/>
  <c r="AG736" i="7"/>
  <c r="AG735" i="7"/>
  <c r="AG734" i="7"/>
  <c r="AG733" i="7"/>
  <c r="AG732" i="7"/>
  <c r="AG731" i="7"/>
  <c r="AG729" i="7"/>
  <c r="AG728" i="7"/>
  <c r="AG376" i="7"/>
  <c r="AG358" i="7"/>
  <c r="AG357" i="7"/>
  <c r="AG356" i="7"/>
  <c r="AG355" i="7"/>
  <c r="AG354" i="7"/>
  <c r="AG353" i="7"/>
  <c r="AG375" i="7"/>
  <c r="AG374" i="7"/>
  <c r="AG705" i="7"/>
  <c r="AG704" i="7"/>
  <c r="AG703" i="7"/>
  <c r="AG702" i="7"/>
  <c r="AG701" i="7"/>
  <c r="AG700" i="7"/>
  <c r="AG699" i="7"/>
  <c r="AG697" i="7"/>
  <c r="AG696" i="7"/>
  <c r="AG352" i="7"/>
  <c r="AG351" i="7"/>
  <c r="AG350" i="7"/>
  <c r="AG349" i="7"/>
  <c r="AG585" i="7"/>
  <c r="AG579" i="7"/>
  <c r="AG465" i="7"/>
  <c r="AG464" i="7"/>
  <c r="AG463" i="7"/>
  <c r="AG462" i="7"/>
  <c r="AG461" i="7"/>
  <c r="AG460" i="7"/>
  <c r="AG408" i="7"/>
  <c r="AG480" i="7"/>
  <c r="AG344" i="7"/>
  <c r="AG329" i="7"/>
  <c r="AG328" i="7"/>
  <c r="AG327" i="7"/>
  <c r="AG326" i="7"/>
  <c r="AG325" i="7"/>
  <c r="AG324" i="7"/>
  <c r="AG37" i="7"/>
  <c r="AF490" i="7"/>
  <c r="AF345" i="7"/>
  <c r="AF488" i="7"/>
  <c r="AF487" i="7"/>
  <c r="AF491" i="7"/>
  <c r="AF511" i="7"/>
  <c r="AF515" i="7"/>
  <c r="AF519" i="7"/>
  <c r="AF539" i="7"/>
  <c r="AF543" i="7"/>
  <c r="AF481" i="7"/>
  <c r="AF512" i="7"/>
  <c r="AF516" i="7"/>
  <c r="AF520" i="7"/>
  <c r="AF540" i="7"/>
  <c r="AF544" i="7"/>
  <c r="AF486" i="7"/>
  <c r="AF494" i="7"/>
  <c r="AF492" i="7"/>
  <c r="AF485" i="7"/>
  <c r="AF489" i="7"/>
  <c r="AF493" i="7"/>
  <c r="AF513" i="7"/>
  <c r="AF517" i="7"/>
  <c r="AF537" i="7"/>
  <c r="AF541" i="7"/>
  <c r="AF545" i="7"/>
  <c r="AF514" i="7"/>
  <c r="AF518" i="7"/>
  <c r="AF538" i="7"/>
  <c r="AF542" i="7"/>
  <c r="AF546" i="7"/>
  <c r="AG659" i="7"/>
  <c r="AM639" i="7" l="1"/>
  <c r="AM29" i="7"/>
  <c r="AM60" i="7"/>
  <c r="AM645" i="7"/>
  <c r="AM646" i="7" s="1"/>
  <c r="AM654" i="7"/>
  <c r="AM655" i="7" s="1"/>
  <c r="AM652" i="7"/>
  <c r="AM634" i="7" s="1"/>
  <c r="AM651" i="7"/>
  <c r="AM650" i="7"/>
  <c r="AM31" i="7"/>
  <c r="AM61" i="7" s="1"/>
  <c r="AM633" i="7"/>
  <c r="AM641" i="7"/>
  <c r="AM638" i="7"/>
  <c r="AL640" i="7"/>
  <c r="AL632" i="7" s="1"/>
  <c r="AM666" i="7"/>
  <c r="AM672" i="7"/>
  <c r="AM474" i="7"/>
  <c r="AM338" i="7"/>
  <c r="AL95" i="7"/>
  <c r="AM673" i="7"/>
  <c r="AM578" i="7"/>
  <c r="AM584" i="7"/>
  <c r="AM616" i="7"/>
  <c r="AM624" i="7"/>
  <c r="AM620" i="7"/>
  <c r="AM612" i="7"/>
  <c r="AM38" i="7"/>
  <c r="AM42" i="7"/>
  <c r="AM35" i="7"/>
  <c r="AF114" i="7"/>
  <c r="AF115" i="7" s="1"/>
  <c r="AM757" i="7"/>
  <c r="AM756" i="7"/>
  <c r="AM755" i="7"/>
  <c r="AM754" i="7"/>
  <c r="AM753" i="7"/>
  <c r="AM752" i="7"/>
  <c r="AM751" i="7"/>
  <c r="AM750" i="7"/>
  <c r="AM749" i="7"/>
  <c r="AM725" i="7"/>
  <c r="AM748" i="7"/>
  <c r="AM724" i="7"/>
  <c r="AM722" i="7"/>
  <c r="AM720" i="7"/>
  <c r="AM723" i="7"/>
  <c r="AM721" i="7"/>
  <c r="AM719" i="7"/>
  <c r="AM717" i="7"/>
  <c r="AM693" i="7"/>
  <c r="AM691" i="7"/>
  <c r="AM687" i="7"/>
  <c r="AM716" i="7"/>
  <c r="AM690" i="7"/>
  <c r="AM688" i="7"/>
  <c r="AM686" i="7"/>
  <c r="AM684" i="7"/>
  <c r="AM718" i="7"/>
  <c r="AM692" i="7"/>
  <c r="AM689" i="7"/>
  <c r="AM685" i="7"/>
  <c r="AM774" i="7"/>
  <c r="AM28" i="7"/>
  <c r="AM62" i="7"/>
  <c r="AN2" i="7"/>
  <c r="AG642" i="7"/>
  <c r="AH667" i="7"/>
  <c r="AG250" i="7"/>
  <c r="AG213" i="7"/>
  <c r="AG77" i="7"/>
  <c r="AG758" i="7"/>
  <c r="AG743" i="7" s="1"/>
  <c r="AG103" i="7" s="1"/>
  <c r="AF104" i="7"/>
  <c r="AH769" i="7"/>
  <c r="AH768" i="7"/>
  <c r="AH767" i="7"/>
  <c r="AH765" i="7"/>
  <c r="AH764" i="7"/>
  <c r="AH763" i="7"/>
  <c r="AH762" i="7"/>
  <c r="AH760" i="7"/>
  <c r="AH409" i="7"/>
  <c r="AH408" i="7"/>
  <c r="AH407" i="7"/>
  <c r="AH406" i="7"/>
  <c r="AH405" i="7"/>
  <c r="AH403" i="7"/>
  <c r="AH402" i="7"/>
  <c r="AH401" i="7"/>
  <c r="AH400" i="7"/>
  <c r="AH737" i="7"/>
  <c r="AH736" i="7"/>
  <c r="AH735" i="7"/>
  <c r="AH734" i="7"/>
  <c r="AH733" i="7"/>
  <c r="AH732" i="7"/>
  <c r="AH731" i="7"/>
  <c r="AH729" i="7"/>
  <c r="AH728" i="7"/>
  <c r="AH383" i="7"/>
  <c r="AH382" i="7"/>
  <c r="AH381" i="7"/>
  <c r="AH380" i="7"/>
  <c r="AH379" i="7"/>
  <c r="AH378" i="7"/>
  <c r="AH377" i="7"/>
  <c r="AH376" i="7"/>
  <c r="AH375" i="7"/>
  <c r="AH374" i="7"/>
  <c r="AH705" i="7"/>
  <c r="AH704" i="7"/>
  <c r="AH703" i="7"/>
  <c r="AH702" i="7"/>
  <c r="AH701" i="7"/>
  <c r="AH700" i="7"/>
  <c r="AH699" i="7"/>
  <c r="AH697" i="7"/>
  <c r="AH696" i="7"/>
  <c r="AH358" i="7"/>
  <c r="AH357" i="7"/>
  <c r="AH356" i="7"/>
  <c r="AH355" i="7"/>
  <c r="AH354" i="7"/>
  <c r="AH353" i="7"/>
  <c r="AH352" i="7"/>
  <c r="AH351" i="7"/>
  <c r="AH350" i="7"/>
  <c r="AH349" i="7"/>
  <c r="AH585" i="7"/>
  <c r="AH579" i="7"/>
  <c r="AH480" i="7"/>
  <c r="AH465" i="7"/>
  <c r="AH464" i="7"/>
  <c r="AH463" i="7"/>
  <c r="AH462" i="7"/>
  <c r="AH461" i="7"/>
  <c r="AH460" i="7"/>
  <c r="AH404" i="7"/>
  <c r="AH344" i="7"/>
  <c r="AH329" i="7"/>
  <c r="AH328" i="7"/>
  <c r="AH327" i="7"/>
  <c r="AH326" i="7"/>
  <c r="AH325" i="7"/>
  <c r="AH324" i="7"/>
  <c r="AH37" i="7"/>
  <c r="AG345" i="7"/>
  <c r="AG489" i="7"/>
  <c r="AG487" i="7"/>
  <c r="AG486" i="7"/>
  <c r="AG490" i="7"/>
  <c r="AG494" i="7"/>
  <c r="AG514" i="7"/>
  <c r="AG518" i="7"/>
  <c r="AG538" i="7"/>
  <c r="AG542" i="7"/>
  <c r="AG546" i="7"/>
  <c r="AG511" i="7"/>
  <c r="AG515" i="7"/>
  <c r="AG519" i="7"/>
  <c r="AG539" i="7"/>
  <c r="AG543" i="7"/>
  <c r="AG481" i="7"/>
  <c r="AG39" i="7"/>
  <c r="AG93" i="7"/>
  <c r="AG694" i="7"/>
  <c r="AG679" i="7" s="1"/>
  <c r="AG101" i="7" s="1"/>
  <c r="AG726" i="7"/>
  <c r="AG711" i="7" s="1"/>
  <c r="AG102" i="7" s="1"/>
  <c r="AG485" i="7"/>
  <c r="AG493" i="7"/>
  <c r="AG491" i="7"/>
  <c r="AG488" i="7"/>
  <c r="AG492" i="7"/>
  <c r="AG512" i="7"/>
  <c r="AG516" i="7"/>
  <c r="AG520" i="7"/>
  <c r="AG540" i="7"/>
  <c r="AG544" i="7"/>
  <c r="AG513" i="7"/>
  <c r="AG517" i="7"/>
  <c r="AG537" i="7"/>
  <c r="AG541" i="7"/>
  <c r="AG545" i="7"/>
  <c r="AH659" i="7"/>
  <c r="AN639" i="7" l="1"/>
  <c r="AN29" i="7"/>
  <c r="AN60" i="7"/>
  <c r="AN645" i="7"/>
  <c r="AN646" i="7" s="1"/>
  <c r="AN654" i="7"/>
  <c r="AN655" i="7" s="1"/>
  <c r="AN652" i="7"/>
  <c r="AN634" i="7" s="1"/>
  <c r="AN651" i="7"/>
  <c r="AN650" i="7"/>
  <c r="AN31" i="7"/>
  <c r="AN61" i="7" s="1"/>
  <c r="AN633" i="7"/>
  <c r="AN641" i="7"/>
  <c r="AM640" i="7"/>
  <c r="AM632" i="7" s="1"/>
  <c r="AN638" i="7"/>
  <c r="AN672" i="7"/>
  <c r="AN666" i="7"/>
  <c r="AN474" i="7"/>
  <c r="AN338" i="7"/>
  <c r="AM95" i="7"/>
  <c r="AN673" i="7"/>
  <c r="AN584" i="7"/>
  <c r="AN578" i="7"/>
  <c r="AN624" i="7"/>
  <c r="AN620" i="7"/>
  <c r="AN616" i="7"/>
  <c r="AN612" i="7"/>
  <c r="AN38" i="7"/>
  <c r="AN42" i="7"/>
  <c r="AN35" i="7"/>
  <c r="AN756" i="7"/>
  <c r="AN754" i="7"/>
  <c r="AN752" i="7"/>
  <c r="AN750" i="7"/>
  <c r="AN755" i="7"/>
  <c r="AN751" i="7"/>
  <c r="AN749" i="7"/>
  <c r="AN722" i="7"/>
  <c r="AN718" i="7"/>
  <c r="AN716" i="7"/>
  <c r="AN757" i="7"/>
  <c r="AN753" i="7"/>
  <c r="AN725" i="7"/>
  <c r="AN723" i="7"/>
  <c r="AN721" i="7"/>
  <c r="AN719" i="7"/>
  <c r="AN748" i="7"/>
  <c r="AN690" i="7"/>
  <c r="AN689" i="7"/>
  <c r="AN688" i="7"/>
  <c r="AN687" i="7"/>
  <c r="AN686" i="7"/>
  <c r="AN685" i="7"/>
  <c r="AN684" i="7"/>
  <c r="AN724" i="7"/>
  <c r="AN720" i="7"/>
  <c r="AN692" i="7"/>
  <c r="AN691" i="7"/>
  <c r="AN717" i="7"/>
  <c r="AN693" i="7"/>
  <c r="AN774" i="7"/>
  <c r="AN28" i="7"/>
  <c r="AN62" i="7"/>
  <c r="AO2" i="7"/>
  <c r="AH642" i="7"/>
  <c r="AI667" i="7"/>
  <c r="AH250" i="7"/>
  <c r="AH213" i="7"/>
  <c r="AH77" i="7"/>
  <c r="AH39" i="7"/>
  <c r="AH694" i="7"/>
  <c r="AH679" i="7" s="1"/>
  <c r="AH101" i="7" s="1"/>
  <c r="AH93" i="7"/>
  <c r="AI769" i="7"/>
  <c r="AI768" i="7"/>
  <c r="AI767" i="7"/>
  <c r="AI765" i="7"/>
  <c r="AI764" i="7"/>
  <c r="AI763" i="7"/>
  <c r="AI762" i="7"/>
  <c r="AI760" i="7"/>
  <c r="AI409" i="7"/>
  <c r="AI408" i="7"/>
  <c r="AI407" i="7"/>
  <c r="AI406" i="7"/>
  <c r="AI405" i="7"/>
  <c r="AI404" i="7"/>
  <c r="AI403" i="7"/>
  <c r="AI402" i="7"/>
  <c r="AI400" i="7"/>
  <c r="AI383" i="7"/>
  <c r="AI382" i="7"/>
  <c r="AI381" i="7"/>
  <c r="AI380" i="7"/>
  <c r="AI379" i="7"/>
  <c r="AI378" i="7"/>
  <c r="AI377" i="7"/>
  <c r="AI401" i="7"/>
  <c r="AI737" i="7"/>
  <c r="AI736" i="7"/>
  <c r="AI735" i="7"/>
  <c r="AI734" i="7"/>
  <c r="AI733" i="7"/>
  <c r="AI732" i="7"/>
  <c r="AI731" i="7"/>
  <c r="AI729" i="7"/>
  <c r="AI728" i="7"/>
  <c r="AI358" i="7"/>
  <c r="AI357" i="7"/>
  <c r="AI356" i="7"/>
  <c r="AI355" i="7"/>
  <c r="AI354" i="7"/>
  <c r="AI353" i="7"/>
  <c r="AI376" i="7"/>
  <c r="AI375" i="7"/>
  <c r="AI374" i="7"/>
  <c r="AI705" i="7"/>
  <c r="AI704" i="7"/>
  <c r="AI703" i="7"/>
  <c r="AI702" i="7"/>
  <c r="AI701" i="7"/>
  <c r="AI700" i="7"/>
  <c r="AI699" i="7"/>
  <c r="AI697" i="7"/>
  <c r="AI696" i="7"/>
  <c r="AI351" i="7"/>
  <c r="AI352" i="7"/>
  <c r="AI350" i="7"/>
  <c r="AI349" i="7"/>
  <c r="AI585" i="7"/>
  <c r="AI579" i="7"/>
  <c r="AI465" i="7"/>
  <c r="AI464" i="7"/>
  <c r="AI463" i="7"/>
  <c r="AI462" i="7"/>
  <c r="AI461" i="7"/>
  <c r="AI460" i="7"/>
  <c r="AI480" i="7"/>
  <c r="AI344" i="7"/>
  <c r="AI329" i="7"/>
  <c r="AI328" i="7"/>
  <c r="AI327" i="7"/>
  <c r="AI326" i="7"/>
  <c r="AI325" i="7"/>
  <c r="AI324" i="7"/>
  <c r="AI37" i="7"/>
  <c r="AH492" i="7"/>
  <c r="AH490" i="7"/>
  <c r="AH487" i="7"/>
  <c r="AH491" i="7"/>
  <c r="AH511" i="7"/>
  <c r="AH515" i="7"/>
  <c r="AH519" i="7"/>
  <c r="AH539" i="7"/>
  <c r="AH543" i="7"/>
  <c r="AH481" i="7"/>
  <c r="AH512" i="7"/>
  <c r="AH516" i="7"/>
  <c r="AH520" i="7"/>
  <c r="AH540" i="7"/>
  <c r="AH544" i="7"/>
  <c r="AG104" i="7"/>
  <c r="AH488" i="7"/>
  <c r="AH345" i="7"/>
  <c r="AH486" i="7"/>
  <c r="AH494" i="7"/>
  <c r="AH485" i="7"/>
  <c r="AH489" i="7"/>
  <c r="AH493" i="7"/>
  <c r="AH513" i="7"/>
  <c r="AH517" i="7"/>
  <c r="AH537" i="7"/>
  <c r="AH541" i="7"/>
  <c r="AH545" i="7"/>
  <c r="AH514" i="7"/>
  <c r="AH518" i="7"/>
  <c r="AH538" i="7"/>
  <c r="AH542" i="7"/>
  <c r="AH546" i="7"/>
  <c r="AI659" i="7"/>
  <c r="AH726" i="7"/>
  <c r="AH711" i="7" s="1"/>
  <c r="AH102" i="7" s="1"/>
  <c r="AH758" i="7"/>
  <c r="AH743" i="7" s="1"/>
  <c r="AH103" i="7" s="1"/>
  <c r="AO29" i="7" l="1"/>
  <c r="AO639" i="7"/>
  <c r="AO60" i="7"/>
  <c r="AO645" i="7"/>
  <c r="AO646" i="7" s="1"/>
  <c r="AO654" i="7"/>
  <c r="AO655" i="7" s="1"/>
  <c r="AO652" i="7"/>
  <c r="AO634" i="7" s="1"/>
  <c r="AO651" i="7"/>
  <c r="AO650" i="7"/>
  <c r="AO633" i="7"/>
  <c r="AO31" i="7"/>
  <c r="AO61" i="7" s="1"/>
  <c r="AN640" i="7"/>
  <c r="AN632" i="7" s="1"/>
  <c r="AO641" i="7"/>
  <c r="AO638" i="7"/>
  <c r="AO666" i="7"/>
  <c r="AO672" i="7"/>
  <c r="AO474" i="7"/>
  <c r="AO338" i="7"/>
  <c r="AN95" i="7"/>
  <c r="AO673" i="7"/>
  <c r="AO584" i="7"/>
  <c r="AO578" i="7"/>
  <c r="AO624" i="7"/>
  <c r="AO620" i="7"/>
  <c r="AO616" i="7"/>
  <c r="AO612" i="7"/>
  <c r="AO38" i="7"/>
  <c r="AO42" i="7"/>
  <c r="AO35" i="7"/>
  <c r="AG114" i="7"/>
  <c r="AG115" i="7" s="1"/>
  <c r="AO748" i="7"/>
  <c r="AO725" i="7"/>
  <c r="AO756" i="7"/>
  <c r="AO754" i="7"/>
  <c r="AO752" i="7"/>
  <c r="AO750" i="7"/>
  <c r="AO757" i="7"/>
  <c r="AO751" i="7"/>
  <c r="AO753" i="7"/>
  <c r="AO723" i="7"/>
  <c r="AO721" i="7"/>
  <c r="AO755" i="7"/>
  <c r="AO749" i="7"/>
  <c r="AO724" i="7"/>
  <c r="AO722" i="7"/>
  <c r="AO720" i="7"/>
  <c r="AO718" i="7"/>
  <c r="AO716" i="7"/>
  <c r="AO692" i="7"/>
  <c r="AO717" i="7"/>
  <c r="AO690" i="7"/>
  <c r="AO688" i="7"/>
  <c r="AO686" i="7"/>
  <c r="AO684" i="7"/>
  <c r="AO719" i="7"/>
  <c r="AO693" i="7"/>
  <c r="AO689" i="7"/>
  <c r="AO687" i="7"/>
  <c r="AO685" i="7"/>
  <c r="AO691" i="7"/>
  <c r="AO774" i="7"/>
  <c r="AO62" i="7"/>
  <c r="AO28" i="7"/>
  <c r="AP2" i="7"/>
  <c r="AI642" i="7"/>
  <c r="AJ667" i="7"/>
  <c r="AI250" i="7"/>
  <c r="AI213" i="7"/>
  <c r="AI77" i="7"/>
  <c r="AH104" i="7"/>
  <c r="AJ769" i="7"/>
  <c r="AJ768" i="7"/>
  <c r="AJ767" i="7"/>
  <c r="AJ765" i="7"/>
  <c r="AJ764" i="7"/>
  <c r="AJ763" i="7"/>
  <c r="AJ762" i="7"/>
  <c r="AJ760" i="7"/>
  <c r="AJ409" i="7"/>
  <c r="AJ408" i="7"/>
  <c r="AJ407" i="7"/>
  <c r="AJ406" i="7"/>
  <c r="AJ405" i="7"/>
  <c r="AJ404" i="7"/>
  <c r="AJ403" i="7"/>
  <c r="AJ402" i="7"/>
  <c r="AJ401" i="7"/>
  <c r="AJ737" i="7"/>
  <c r="AJ736" i="7"/>
  <c r="AJ735" i="7"/>
  <c r="AJ734" i="7"/>
  <c r="AJ733" i="7"/>
  <c r="AJ732" i="7"/>
  <c r="AJ731" i="7"/>
  <c r="AJ729" i="7"/>
  <c r="AJ728" i="7"/>
  <c r="AJ383" i="7"/>
  <c r="AJ382" i="7"/>
  <c r="AJ381" i="7"/>
  <c r="AJ380" i="7"/>
  <c r="AJ379" i="7"/>
  <c r="AJ378" i="7"/>
  <c r="AJ377" i="7"/>
  <c r="AJ376" i="7"/>
  <c r="AJ375" i="7"/>
  <c r="AJ374" i="7"/>
  <c r="AJ705" i="7"/>
  <c r="AJ704" i="7"/>
  <c r="AJ703" i="7"/>
  <c r="AJ702" i="7"/>
  <c r="AJ701" i="7"/>
  <c r="AJ700" i="7"/>
  <c r="AJ699" i="7"/>
  <c r="AJ697" i="7"/>
  <c r="AJ696" i="7"/>
  <c r="AJ358" i="7"/>
  <c r="AJ357" i="7"/>
  <c r="AJ356" i="7"/>
  <c r="AJ355" i="7"/>
  <c r="AJ354" i="7"/>
  <c r="AJ353" i="7"/>
  <c r="AJ352" i="7"/>
  <c r="AJ351" i="7"/>
  <c r="AJ350" i="7"/>
  <c r="AJ349" i="7"/>
  <c r="AJ585" i="7"/>
  <c r="AJ579" i="7"/>
  <c r="AJ480" i="7"/>
  <c r="AJ465" i="7"/>
  <c r="AJ464" i="7"/>
  <c r="AJ463" i="7"/>
  <c r="AJ462" i="7"/>
  <c r="AJ461" i="7"/>
  <c r="AJ460" i="7"/>
  <c r="AJ400" i="7"/>
  <c r="AJ344" i="7"/>
  <c r="AJ329" i="7"/>
  <c r="AJ328" i="7"/>
  <c r="AJ327" i="7"/>
  <c r="AJ326" i="7"/>
  <c r="AJ325" i="7"/>
  <c r="AJ324" i="7"/>
  <c r="AJ37" i="7"/>
  <c r="AI345" i="7"/>
  <c r="AI487" i="7"/>
  <c r="AI489" i="7"/>
  <c r="AI486" i="7"/>
  <c r="AI490" i="7"/>
  <c r="AI494" i="7"/>
  <c r="AI514" i="7"/>
  <c r="AI518" i="7"/>
  <c r="AI538" i="7"/>
  <c r="AI542" i="7"/>
  <c r="AI546" i="7"/>
  <c r="AI511" i="7"/>
  <c r="AI515" i="7"/>
  <c r="AI519" i="7"/>
  <c r="AI539" i="7"/>
  <c r="AI543" i="7"/>
  <c r="AI481" i="7"/>
  <c r="AI39" i="7"/>
  <c r="AI93" i="7"/>
  <c r="AI694" i="7"/>
  <c r="AI679" i="7" s="1"/>
  <c r="AI101" i="7" s="1"/>
  <c r="AI726" i="7"/>
  <c r="AI711" i="7" s="1"/>
  <c r="AI102" i="7" s="1"/>
  <c r="AI491" i="7"/>
  <c r="AI485" i="7"/>
  <c r="AI493" i="7"/>
  <c r="AI488" i="7"/>
  <c r="AI492" i="7"/>
  <c r="AI512" i="7"/>
  <c r="AI516" i="7"/>
  <c r="AI520" i="7"/>
  <c r="AI540" i="7"/>
  <c r="AI544" i="7"/>
  <c r="AI513" i="7"/>
  <c r="AI517" i="7"/>
  <c r="AI537" i="7"/>
  <c r="AI541" i="7"/>
  <c r="AI545" i="7"/>
  <c r="AJ659" i="7"/>
  <c r="AI758" i="7"/>
  <c r="AI743" i="7" s="1"/>
  <c r="AI103" i="7" s="1"/>
  <c r="AP639" i="7" l="1"/>
  <c r="AP29" i="7"/>
  <c r="AP60" i="7"/>
  <c r="AP645" i="7"/>
  <c r="AP646" i="7" s="1"/>
  <c r="AP654" i="7"/>
  <c r="AP655" i="7" s="1"/>
  <c r="AP652" i="7"/>
  <c r="AP634" i="7" s="1"/>
  <c r="AP651" i="7"/>
  <c r="AP650" i="7"/>
  <c r="AP641" i="7"/>
  <c r="AP633" i="7"/>
  <c r="AP31" i="7"/>
  <c r="AP61" i="7" s="1"/>
  <c r="AO640" i="7"/>
  <c r="AO632" i="7" s="1"/>
  <c r="AP638" i="7"/>
  <c r="AP672" i="7"/>
  <c r="AP666" i="7"/>
  <c r="AO95" i="7"/>
  <c r="AP474" i="7"/>
  <c r="AP338" i="7"/>
  <c r="AP673" i="7"/>
  <c r="AP584" i="7"/>
  <c r="AP620" i="7"/>
  <c r="AP616" i="7"/>
  <c r="AP612" i="7"/>
  <c r="AP578" i="7"/>
  <c r="AP624" i="7"/>
  <c r="AP38" i="7"/>
  <c r="AP42" i="7"/>
  <c r="AP35" i="7"/>
  <c r="AH114" i="7"/>
  <c r="AH115" i="7" s="1"/>
  <c r="AP757" i="7"/>
  <c r="AP755" i="7"/>
  <c r="AP753" i="7"/>
  <c r="AP751" i="7"/>
  <c r="AP749" i="7"/>
  <c r="AP756" i="7"/>
  <c r="AP752" i="7"/>
  <c r="AP748" i="7"/>
  <c r="AP724" i="7"/>
  <c r="AP723" i="7"/>
  <c r="AP722" i="7"/>
  <c r="AP721" i="7"/>
  <c r="AP720" i="7"/>
  <c r="AP719" i="7"/>
  <c r="AP718" i="7"/>
  <c r="AP717" i="7"/>
  <c r="AP716" i="7"/>
  <c r="AP693" i="7"/>
  <c r="AP692" i="7"/>
  <c r="AP691" i="7"/>
  <c r="AP725" i="7"/>
  <c r="AP754" i="7"/>
  <c r="AP750" i="7"/>
  <c r="AP689" i="7"/>
  <c r="AP687" i="7"/>
  <c r="AP685" i="7"/>
  <c r="AP690" i="7"/>
  <c r="AP688" i="7"/>
  <c r="AP686" i="7"/>
  <c r="AP684" i="7"/>
  <c r="AP774" i="7"/>
  <c r="AP62" i="7"/>
  <c r="AP28" i="7"/>
  <c r="AJ642" i="7"/>
  <c r="AK667" i="7"/>
  <c r="AJ250" i="7"/>
  <c r="AJ213" i="7"/>
  <c r="AJ77" i="7"/>
  <c r="AK769" i="7"/>
  <c r="AK768" i="7"/>
  <c r="AK767" i="7"/>
  <c r="AK765" i="7"/>
  <c r="AK764" i="7"/>
  <c r="AK763" i="7"/>
  <c r="AK762" i="7"/>
  <c r="AK409" i="7"/>
  <c r="AK407" i="7"/>
  <c r="AK406" i="7"/>
  <c r="AK405" i="7"/>
  <c r="AK404" i="7"/>
  <c r="AK403" i="7"/>
  <c r="AK402" i="7"/>
  <c r="AK760" i="7"/>
  <c r="AK401" i="7"/>
  <c r="AK383" i="7"/>
  <c r="AK382" i="7"/>
  <c r="AK381" i="7"/>
  <c r="AK380" i="7"/>
  <c r="AK379" i="7"/>
  <c r="AK378" i="7"/>
  <c r="AK377" i="7"/>
  <c r="AK400" i="7"/>
  <c r="AK737" i="7"/>
  <c r="AK736" i="7"/>
  <c r="AK735" i="7"/>
  <c r="AK734" i="7"/>
  <c r="AK733" i="7"/>
  <c r="AK732" i="7"/>
  <c r="AK731" i="7"/>
  <c r="AK729" i="7"/>
  <c r="AK728" i="7"/>
  <c r="AK376" i="7"/>
  <c r="AK358" i="7"/>
  <c r="AK357" i="7"/>
  <c r="AK356" i="7"/>
  <c r="AK355" i="7"/>
  <c r="AK354" i="7"/>
  <c r="AK353" i="7"/>
  <c r="AK375" i="7"/>
  <c r="AK374" i="7"/>
  <c r="AK705" i="7"/>
  <c r="AK704" i="7"/>
  <c r="AK703" i="7"/>
  <c r="AK702" i="7"/>
  <c r="AK701" i="7"/>
  <c r="AK700" i="7"/>
  <c r="AK699" i="7"/>
  <c r="AK697" i="7"/>
  <c r="AK696" i="7"/>
  <c r="AK352" i="7"/>
  <c r="AK351" i="7"/>
  <c r="AK350" i="7"/>
  <c r="AK349" i="7"/>
  <c r="AK585" i="7"/>
  <c r="AK579" i="7"/>
  <c r="AK465" i="7"/>
  <c r="AK464" i="7"/>
  <c r="AK463" i="7"/>
  <c r="AK462" i="7"/>
  <c r="AK461" i="7"/>
  <c r="AK460" i="7"/>
  <c r="AK408" i="7"/>
  <c r="AK480" i="7"/>
  <c r="AK344" i="7"/>
  <c r="AK329" i="7"/>
  <c r="AK328" i="7"/>
  <c r="AK327" i="7"/>
  <c r="AK326" i="7"/>
  <c r="AK325" i="7"/>
  <c r="AK324" i="7"/>
  <c r="AK37" i="7"/>
  <c r="AJ486" i="7"/>
  <c r="AJ494" i="7"/>
  <c r="AJ492" i="7"/>
  <c r="AJ485" i="7"/>
  <c r="AJ489" i="7"/>
  <c r="AJ493" i="7"/>
  <c r="AJ513" i="7"/>
  <c r="AJ517" i="7"/>
  <c r="AJ537" i="7"/>
  <c r="AJ541" i="7"/>
  <c r="AJ545" i="7"/>
  <c r="AJ514" i="7"/>
  <c r="AJ518" i="7"/>
  <c r="AJ538" i="7"/>
  <c r="AJ542" i="7"/>
  <c r="AJ546" i="7"/>
  <c r="AK659" i="7"/>
  <c r="AJ39" i="7"/>
  <c r="AJ93" i="7"/>
  <c r="AJ694" i="7"/>
  <c r="AJ679" i="7" s="1"/>
  <c r="AJ101" i="7" s="1"/>
  <c r="AJ726" i="7"/>
  <c r="AJ711" i="7" s="1"/>
  <c r="AJ102" i="7" s="1"/>
  <c r="AJ758" i="7"/>
  <c r="AJ743" i="7" s="1"/>
  <c r="AJ103" i="7" s="1"/>
  <c r="AJ490" i="7"/>
  <c r="AJ345" i="7"/>
  <c r="AJ488" i="7"/>
  <c r="AJ487" i="7"/>
  <c r="AJ491" i="7"/>
  <c r="AJ511" i="7"/>
  <c r="AJ515" i="7"/>
  <c r="AJ519" i="7"/>
  <c r="AJ539" i="7"/>
  <c r="AJ543" i="7"/>
  <c r="AJ481" i="7"/>
  <c r="AJ512" i="7"/>
  <c r="AJ516" i="7"/>
  <c r="AJ520" i="7"/>
  <c r="AJ540" i="7"/>
  <c r="AJ544" i="7"/>
  <c r="AI104" i="7"/>
  <c r="AP632" i="7" l="1"/>
  <c r="AP640" i="7"/>
  <c r="AP95" i="7"/>
  <c r="AI114" i="7"/>
  <c r="AI115" i="7" s="1"/>
  <c r="AK642" i="7"/>
  <c r="AL667" i="7"/>
  <c r="AK250" i="7"/>
  <c r="AK213" i="7"/>
  <c r="AK77" i="7"/>
  <c r="AK758" i="7"/>
  <c r="AK743" i="7" s="1"/>
  <c r="AK103" i="7" s="1"/>
  <c r="AK39" i="7"/>
  <c r="AK485" i="7"/>
  <c r="AK493" i="7"/>
  <c r="AK491" i="7"/>
  <c r="AK488" i="7"/>
  <c r="AK492" i="7"/>
  <c r="AK512" i="7"/>
  <c r="AK516" i="7"/>
  <c r="AK520" i="7"/>
  <c r="AK540" i="7"/>
  <c r="AK544" i="7"/>
  <c r="AK513" i="7"/>
  <c r="AK517" i="7"/>
  <c r="AK537" i="7"/>
  <c r="AK541" i="7"/>
  <c r="AK545" i="7"/>
  <c r="AL659" i="7"/>
  <c r="AL769" i="7"/>
  <c r="AL768" i="7"/>
  <c r="AL766" i="7"/>
  <c r="AL765" i="7"/>
  <c r="AL764" i="7"/>
  <c r="AL763" i="7"/>
  <c r="AL762" i="7"/>
  <c r="AL760" i="7"/>
  <c r="AL409" i="7"/>
  <c r="AL407" i="7"/>
  <c r="AL406" i="7"/>
  <c r="AL405" i="7"/>
  <c r="AL404" i="7"/>
  <c r="AL403" i="7"/>
  <c r="AL402" i="7"/>
  <c r="AL401" i="7"/>
  <c r="AL400" i="7"/>
  <c r="AL737" i="7"/>
  <c r="AL736" i="7"/>
  <c r="AL735" i="7"/>
  <c r="AL734" i="7"/>
  <c r="AL733" i="7"/>
  <c r="AL732" i="7"/>
  <c r="AL731" i="7"/>
  <c r="AL729" i="7"/>
  <c r="AL728" i="7"/>
  <c r="AL383" i="7"/>
  <c r="AL382" i="7"/>
  <c r="AL381" i="7"/>
  <c r="AL380" i="7"/>
  <c r="AL379" i="7"/>
  <c r="AL378" i="7"/>
  <c r="AL377" i="7"/>
  <c r="AL376" i="7"/>
  <c r="AL375" i="7"/>
  <c r="AL374" i="7"/>
  <c r="AL705" i="7"/>
  <c r="AL704" i="7"/>
  <c r="AL703" i="7"/>
  <c r="AL702" i="7"/>
  <c r="AL701" i="7"/>
  <c r="AL700" i="7"/>
  <c r="AL699" i="7"/>
  <c r="AL697" i="7"/>
  <c r="AL696" i="7"/>
  <c r="AL358" i="7"/>
  <c r="AL357" i="7"/>
  <c r="AL356" i="7"/>
  <c r="AL355" i="7"/>
  <c r="AL354" i="7"/>
  <c r="AL353" i="7"/>
  <c r="AL352" i="7"/>
  <c r="AL351" i="7"/>
  <c r="AL350" i="7"/>
  <c r="AL349" i="7"/>
  <c r="AL585" i="7"/>
  <c r="AL579" i="7"/>
  <c r="AL480" i="7"/>
  <c r="AL465" i="7"/>
  <c r="AL464" i="7"/>
  <c r="AL463" i="7"/>
  <c r="AL462" i="7"/>
  <c r="AL461" i="7"/>
  <c r="AL460" i="7"/>
  <c r="AL408" i="7"/>
  <c r="AL344" i="7"/>
  <c r="AL329" i="7"/>
  <c r="AL328" i="7"/>
  <c r="AL327" i="7"/>
  <c r="AL326" i="7"/>
  <c r="AL325" i="7"/>
  <c r="AL324" i="7"/>
  <c r="AL37" i="7"/>
  <c r="AK345" i="7"/>
  <c r="AK489" i="7"/>
  <c r="AK487" i="7"/>
  <c r="AK486" i="7"/>
  <c r="AK490" i="7"/>
  <c r="AK494" i="7"/>
  <c r="AK514" i="7"/>
  <c r="AK518" i="7"/>
  <c r="AK538" i="7"/>
  <c r="AK542" i="7"/>
  <c r="AK546" i="7"/>
  <c r="AK511" i="7"/>
  <c r="AK515" i="7"/>
  <c r="AK519" i="7"/>
  <c r="AK539" i="7"/>
  <c r="AK543" i="7"/>
  <c r="AK481" i="7"/>
  <c r="AJ104" i="7"/>
  <c r="AK93" i="7"/>
  <c r="AK694" i="7"/>
  <c r="AK679" i="7" s="1"/>
  <c r="AK101" i="7" s="1"/>
  <c r="AK726" i="7"/>
  <c r="AK711" i="7" s="1"/>
  <c r="AK102" i="7" s="1"/>
  <c r="AJ114" i="7" l="1"/>
  <c r="AJ115" i="7" s="1"/>
  <c r="AL642" i="7"/>
  <c r="AM667" i="7"/>
  <c r="AL250" i="7"/>
  <c r="AL213" i="7"/>
  <c r="AL77" i="7"/>
  <c r="AL694" i="7"/>
  <c r="AL679" i="7" s="1"/>
  <c r="AL101" i="7" s="1"/>
  <c r="AL758" i="7"/>
  <c r="AL743" i="7" s="1"/>
  <c r="AL103" i="7" s="1"/>
  <c r="AL39" i="7"/>
  <c r="AL726" i="7"/>
  <c r="AL711" i="7" s="1"/>
  <c r="AL102" i="7" s="1"/>
  <c r="AL93" i="7"/>
  <c r="AM769" i="7"/>
  <c r="AM768" i="7"/>
  <c r="AM766" i="7"/>
  <c r="AM765" i="7"/>
  <c r="AM764" i="7"/>
  <c r="AM763" i="7"/>
  <c r="AM762" i="7"/>
  <c r="AM760" i="7"/>
  <c r="AM409" i="7"/>
  <c r="AM408" i="7"/>
  <c r="AM407" i="7"/>
  <c r="AM406" i="7"/>
  <c r="AM405" i="7"/>
  <c r="AM404" i="7"/>
  <c r="AM403" i="7"/>
  <c r="AM402" i="7"/>
  <c r="AM400" i="7"/>
  <c r="AM383" i="7"/>
  <c r="AM382" i="7"/>
  <c r="AM381" i="7"/>
  <c r="AM380" i="7"/>
  <c r="AM379" i="7"/>
  <c r="AM378" i="7"/>
  <c r="AM377" i="7"/>
  <c r="AM401" i="7"/>
  <c r="AM737" i="7"/>
  <c r="AM736" i="7"/>
  <c r="AM735" i="7"/>
  <c r="AM734" i="7"/>
  <c r="AM733" i="7"/>
  <c r="AM732" i="7"/>
  <c r="AM731" i="7"/>
  <c r="AM729" i="7"/>
  <c r="AM728" i="7"/>
  <c r="AM358" i="7"/>
  <c r="AM357" i="7"/>
  <c r="AM356" i="7"/>
  <c r="AM355" i="7"/>
  <c r="AM354" i="7"/>
  <c r="AM353" i="7"/>
  <c r="AM376" i="7"/>
  <c r="AM375" i="7"/>
  <c r="AM374" i="7"/>
  <c r="AM705" i="7"/>
  <c r="AM704" i="7"/>
  <c r="AM703" i="7"/>
  <c r="AM702" i="7"/>
  <c r="AM701" i="7"/>
  <c r="AM700" i="7"/>
  <c r="AM698" i="7"/>
  <c r="AM697" i="7"/>
  <c r="AM696" i="7"/>
  <c r="AM351" i="7"/>
  <c r="AM352" i="7"/>
  <c r="AM350" i="7"/>
  <c r="AM349" i="7"/>
  <c r="AM585" i="7"/>
  <c r="AM579" i="7"/>
  <c r="AM465" i="7"/>
  <c r="AM464" i="7"/>
  <c r="AM463" i="7"/>
  <c r="AM462" i="7"/>
  <c r="AM461" i="7"/>
  <c r="AM460" i="7"/>
  <c r="AM480" i="7"/>
  <c r="AM344" i="7"/>
  <c r="AM329" i="7"/>
  <c r="AM328" i="7"/>
  <c r="AM327" i="7"/>
  <c r="AM326" i="7"/>
  <c r="AM325" i="7"/>
  <c r="AM324" i="7"/>
  <c r="AM37" i="7"/>
  <c r="AL492" i="7"/>
  <c r="AL490" i="7"/>
  <c r="AL487" i="7"/>
  <c r="AL491" i="7"/>
  <c r="AL511" i="7"/>
  <c r="AL515" i="7"/>
  <c r="AL519" i="7"/>
  <c r="AL539" i="7"/>
  <c r="AL543" i="7"/>
  <c r="AL481" i="7"/>
  <c r="AL512" i="7"/>
  <c r="AL516" i="7"/>
  <c r="AL520" i="7"/>
  <c r="AL540" i="7"/>
  <c r="AL544" i="7"/>
  <c r="AK104" i="7"/>
  <c r="AL488" i="7"/>
  <c r="AL345" i="7"/>
  <c r="AL486" i="7"/>
  <c r="AL494" i="7"/>
  <c r="AL485" i="7"/>
  <c r="AL489" i="7"/>
  <c r="AL493" i="7"/>
  <c r="AL513" i="7"/>
  <c r="AL517" i="7"/>
  <c r="AL537" i="7"/>
  <c r="AL541" i="7"/>
  <c r="AL545" i="7"/>
  <c r="AL514" i="7"/>
  <c r="AL518" i="7"/>
  <c r="AL538" i="7"/>
  <c r="AL542" i="7"/>
  <c r="AL546" i="7"/>
  <c r="AM659" i="7"/>
  <c r="AK114" i="7" l="1"/>
  <c r="AK115" i="7" s="1"/>
  <c r="AM642" i="7"/>
  <c r="AN667" i="7"/>
  <c r="AM250" i="7"/>
  <c r="AM213" i="7"/>
  <c r="AM77" i="7"/>
  <c r="AL104" i="7"/>
  <c r="AM39" i="7"/>
  <c r="AM694" i="7"/>
  <c r="AM679" i="7" s="1"/>
  <c r="AM101" i="7" s="1"/>
  <c r="AM726" i="7"/>
  <c r="AM711" i="7" s="1"/>
  <c r="AM102" i="7" s="1"/>
  <c r="AM93" i="7"/>
  <c r="AM491" i="7"/>
  <c r="AM485" i="7"/>
  <c r="AM493" i="7"/>
  <c r="AM488" i="7"/>
  <c r="AM492" i="7"/>
  <c r="AM512" i="7"/>
  <c r="AM516" i="7"/>
  <c r="AM520" i="7"/>
  <c r="AM540" i="7"/>
  <c r="AM544" i="7"/>
  <c r="AM513" i="7"/>
  <c r="AM517" i="7"/>
  <c r="AM537" i="7"/>
  <c r="AM541" i="7"/>
  <c r="AM545" i="7"/>
  <c r="AN659" i="7"/>
  <c r="AM758" i="7"/>
  <c r="AM743" i="7" s="1"/>
  <c r="AM103" i="7" s="1"/>
  <c r="AN769" i="7"/>
  <c r="AN768" i="7"/>
  <c r="AN766" i="7"/>
  <c r="AN765" i="7"/>
  <c r="AN764" i="7"/>
  <c r="AN763" i="7"/>
  <c r="AN762" i="7"/>
  <c r="AN760" i="7"/>
  <c r="AN409" i="7"/>
  <c r="AN408" i="7"/>
  <c r="AN407" i="7"/>
  <c r="AN406" i="7"/>
  <c r="AN405" i="7"/>
  <c r="AN404" i="7"/>
  <c r="AN403" i="7"/>
  <c r="AN402" i="7"/>
  <c r="AN401" i="7"/>
  <c r="AN400" i="7"/>
  <c r="AN737" i="7"/>
  <c r="AN736" i="7"/>
  <c r="AN735" i="7"/>
  <c r="AN734" i="7"/>
  <c r="AN733" i="7"/>
  <c r="AN732" i="7"/>
  <c r="AN731" i="7"/>
  <c r="AN729" i="7"/>
  <c r="AN728" i="7"/>
  <c r="AN382" i="7"/>
  <c r="AN381" i="7"/>
  <c r="AN380" i="7"/>
  <c r="AN379" i="7"/>
  <c r="AN378" i="7"/>
  <c r="AN377" i="7"/>
  <c r="AN376" i="7"/>
  <c r="AN375" i="7"/>
  <c r="AN374" i="7"/>
  <c r="AN705" i="7"/>
  <c r="AN704" i="7"/>
  <c r="AN703" i="7"/>
  <c r="AN702" i="7"/>
  <c r="AN701" i="7"/>
  <c r="AN700" i="7"/>
  <c r="AN698" i="7"/>
  <c r="AN697" i="7"/>
  <c r="AN696" i="7"/>
  <c r="AN358" i="7"/>
  <c r="AN357" i="7"/>
  <c r="AN356" i="7"/>
  <c r="AN355" i="7"/>
  <c r="AN354" i="7"/>
  <c r="AN353" i="7"/>
  <c r="AN352" i="7"/>
  <c r="AN351" i="7"/>
  <c r="AN350" i="7"/>
  <c r="AN349" i="7"/>
  <c r="AN585" i="7"/>
  <c r="AN579" i="7"/>
  <c r="AN480" i="7"/>
  <c r="AN383" i="7"/>
  <c r="AN465" i="7"/>
  <c r="AN464" i="7"/>
  <c r="AN463" i="7"/>
  <c r="AN462" i="7"/>
  <c r="AN461" i="7"/>
  <c r="AN460" i="7"/>
  <c r="AN344" i="7"/>
  <c r="AN329" i="7"/>
  <c r="AN328" i="7"/>
  <c r="AN327" i="7"/>
  <c r="AN326" i="7"/>
  <c r="AN325" i="7"/>
  <c r="AN324" i="7"/>
  <c r="AN37" i="7"/>
  <c r="AM345" i="7"/>
  <c r="AM487" i="7"/>
  <c r="AM489" i="7"/>
  <c r="AM486" i="7"/>
  <c r="AM490" i="7"/>
  <c r="AM494" i="7"/>
  <c r="AM514" i="7"/>
  <c r="AM518" i="7"/>
  <c r="AM538" i="7"/>
  <c r="AM542" i="7"/>
  <c r="AM546" i="7"/>
  <c r="AM511" i="7"/>
  <c r="AM515" i="7"/>
  <c r="AM519" i="7"/>
  <c r="AM539" i="7"/>
  <c r="AM543" i="7"/>
  <c r="AM481" i="7"/>
  <c r="AL114" i="7" l="1"/>
  <c r="AL115" i="7" s="1"/>
  <c r="AN642" i="7"/>
  <c r="AO667" i="7"/>
  <c r="AN250" i="7"/>
  <c r="AN213" i="7"/>
  <c r="AN77" i="7"/>
  <c r="AM104" i="7"/>
  <c r="AN490" i="7"/>
  <c r="AN345" i="7"/>
  <c r="AN488" i="7"/>
  <c r="AN487" i="7"/>
  <c r="AN491" i="7"/>
  <c r="AN511" i="7"/>
  <c r="AN515" i="7"/>
  <c r="AN519" i="7"/>
  <c r="AN539" i="7"/>
  <c r="AN543" i="7"/>
  <c r="AN481" i="7"/>
  <c r="AN512" i="7"/>
  <c r="AN516" i="7"/>
  <c r="AN520" i="7"/>
  <c r="AN540" i="7"/>
  <c r="AN544" i="7"/>
  <c r="AO769" i="7"/>
  <c r="AO768" i="7"/>
  <c r="AO766" i="7"/>
  <c r="AO765" i="7"/>
  <c r="AO764" i="7"/>
  <c r="AO763" i="7"/>
  <c r="AO762" i="7"/>
  <c r="AO409" i="7"/>
  <c r="AO407" i="7"/>
  <c r="AO406" i="7"/>
  <c r="AO405" i="7"/>
  <c r="AO404" i="7"/>
  <c r="AO403" i="7"/>
  <c r="AO402" i="7"/>
  <c r="AO760" i="7"/>
  <c r="AO401" i="7"/>
  <c r="AO383" i="7"/>
  <c r="AO382" i="7"/>
  <c r="AO381" i="7"/>
  <c r="AO380" i="7"/>
  <c r="AO379" i="7"/>
  <c r="AO378" i="7"/>
  <c r="AO377" i="7"/>
  <c r="AO400" i="7"/>
  <c r="AO737" i="7"/>
  <c r="AO736" i="7"/>
  <c r="AO735" i="7"/>
  <c r="AO734" i="7"/>
  <c r="AO733" i="7"/>
  <c r="AO732" i="7"/>
  <c r="AO731" i="7"/>
  <c r="AO729" i="7"/>
  <c r="AO728" i="7"/>
  <c r="AO376" i="7"/>
  <c r="AO358" i="7"/>
  <c r="AO357" i="7"/>
  <c r="AO356" i="7"/>
  <c r="AO355" i="7"/>
  <c r="AO354" i="7"/>
  <c r="AO353" i="7"/>
  <c r="AO375" i="7"/>
  <c r="AO374" i="7"/>
  <c r="AO705" i="7"/>
  <c r="AO704" i="7"/>
  <c r="AO703" i="7"/>
  <c r="AO702" i="7"/>
  <c r="AO701" i="7"/>
  <c r="AO700" i="7"/>
  <c r="AO698" i="7"/>
  <c r="AO697" i="7"/>
  <c r="AO696" i="7"/>
  <c r="AO352" i="7"/>
  <c r="AO351" i="7"/>
  <c r="AO350" i="7"/>
  <c r="AO349" i="7"/>
  <c r="AO585" i="7"/>
  <c r="AO579" i="7"/>
  <c r="AO465" i="7"/>
  <c r="AO464" i="7"/>
  <c r="AO463" i="7"/>
  <c r="AO462" i="7"/>
  <c r="AO461" i="7"/>
  <c r="AO460" i="7"/>
  <c r="AO408" i="7"/>
  <c r="AO480" i="7"/>
  <c r="AO344" i="7"/>
  <c r="AO329" i="7"/>
  <c r="AO328" i="7"/>
  <c r="AO327" i="7"/>
  <c r="AO326" i="7"/>
  <c r="AO325" i="7"/>
  <c r="AO324" i="7"/>
  <c r="AO37" i="7"/>
  <c r="AN486" i="7"/>
  <c r="AN494" i="7"/>
  <c r="AN492" i="7"/>
  <c r="AN485" i="7"/>
  <c r="AN489" i="7"/>
  <c r="AN493" i="7"/>
  <c r="AN513" i="7"/>
  <c r="AN517" i="7"/>
  <c r="AN537" i="7"/>
  <c r="AN541" i="7"/>
  <c r="AN545" i="7"/>
  <c r="AN514" i="7"/>
  <c r="AN518" i="7"/>
  <c r="AN538" i="7"/>
  <c r="AN542" i="7"/>
  <c r="AN546" i="7"/>
  <c r="AO659" i="7"/>
  <c r="AN39" i="7"/>
  <c r="AN93" i="7"/>
  <c r="AN694" i="7"/>
  <c r="AN679" i="7" s="1"/>
  <c r="AN101" i="7" s="1"/>
  <c r="AN726" i="7"/>
  <c r="AN711" i="7" s="1"/>
  <c r="AN102" i="7" s="1"/>
  <c r="AN758" i="7"/>
  <c r="AN743" i="7" s="1"/>
  <c r="AN103" i="7" s="1"/>
  <c r="AM114" i="7" l="1"/>
  <c r="AM115" i="7" s="1"/>
  <c r="AO642" i="7"/>
  <c r="AO250" i="7"/>
  <c r="AO213" i="7"/>
  <c r="AO77" i="7"/>
  <c r="AO39" i="7"/>
  <c r="AO694" i="7"/>
  <c r="AO679" i="7" s="1"/>
  <c r="AO101" i="7" s="1"/>
  <c r="AO726" i="7"/>
  <c r="AO711" i="7" s="1"/>
  <c r="AO102" i="7" s="1"/>
  <c r="AO93" i="7"/>
  <c r="AO485" i="7"/>
  <c r="AO493" i="7"/>
  <c r="AO491" i="7"/>
  <c r="AO488" i="7"/>
  <c r="AO492" i="7"/>
  <c r="AO512" i="7"/>
  <c r="AO516" i="7"/>
  <c r="AO520" i="7"/>
  <c r="AO540" i="7"/>
  <c r="AO544" i="7"/>
  <c r="AO513" i="7"/>
  <c r="AO517" i="7"/>
  <c r="AO537" i="7"/>
  <c r="AO541" i="7"/>
  <c r="AO545" i="7"/>
  <c r="AP659" i="7"/>
  <c r="AO758" i="7"/>
  <c r="AO743" i="7" s="1"/>
  <c r="AO103" i="7" s="1"/>
  <c r="AP769" i="7"/>
  <c r="AP768" i="7"/>
  <c r="AP766" i="7"/>
  <c r="AP765" i="7"/>
  <c r="AP764" i="7"/>
  <c r="AP763" i="7"/>
  <c r="AP762" i="7"/>
  <c r="AP760" i="7"/>
  <c r="B757" i="7"/>
  <c r="B756" i="7"/>
  <c r="B755" i="7"/>
  <c r="B754" i="7"/>
  <c r="B753" i="7"/>
  <c r="B752" i="7"/>
  <c r="B751" i="7"/>
  <c r="B750" i="7"/>
  <c r="B749" i="7"/>
  <c r="AP400" i="7"/>
  <c r="AP737" i="7"/>
  <c r="B737" i="7" s="1"/>
  <c r="AP736" i="7"/>
  <c r="B736" i="7" s="1"/>
  <c r="AP735" i="7"/>
  <c r="B735" i="7" s="1"/>
  <c r="AP734" i="7"/>
  <c r="B734" i="7" s="1"/>
  <c r="AP733" i="7"/>
  <c r="B733" i="7" s="1"/>
  <c r="AP732" i="7"/>
  <c r="B732" i="7" s="1"/>
  <c r="AP731" i="7"/>
  <c r="B731" i="7" s="1"/>
  <c r="AP729" i="7"/>
  <c r="AP728" i="7"/>
  <c r="B725" i="7"/>
  <c r="B724" i="7"/>
  <c r="B723" i="7"/>
  <c r="B722" i="7"/>
  <c r="B721" i="7"/>
  <c r="B720" i="7"/>
  <c r="B719" i="7"/>
  <c r="B718" i="7"/>
  <c r="B717" i="7"/>
  <c r="AP374" i="7"/>
  <c r="AP705" i="7"/>
  <c r="B705" i="7" s="1"/>
  <c r="AP704" i="7"/>
  <c r="B704" i="7" s="1"/>
  <c r="AP703" i="7"/>
  <c r="B703" i="7" s="1"/>
  <c r="AP702" i="7"/>
  <c r="B702" i="7" s="1"/>
  <c r="AP701" i="7"/>
  <c r="B701" i="7" s="1"/>
  <c r="AP700" i="7"/>
  <c r="B700" i="7" s="1"/>
  <c r="AP698" i="7"/>
  <c r="AP697" i="7"/>
  <c r="AP696" i="7"/>
  <c r="B693" i="7"/>
  <c r="B692" i="7"/>
  <c r="B691" i="7"/>
  <c r="B690" i="7"/>
  <c r="B689" i="7"/>
  <c r="B688" i="7"/>
  <c r="B687" i="7"/>
  <c r="B686" i="7"/>
  <c r="B685" i="7"/>
  <c r="AA697" i="7" s="1"/>
  <c r="AP349" i="7"/>
  <c r="AP585" i="7"/>
  <c r="AP579" i="7"/>
  <c r="AP480" i="7"/>
  <c r="AP383" i="7"/>
  <c r="AP465" i="7"/>
  <c r="AP464" i="7"/>
  <c r="AP463" i="7"/>
  <c r="AP462" i="7"/>
  <c r="AP461" i="7"/>
  <c r="AP460" i="7"/>
  <c r="AP344" i="7"/>
  <c r="AP329" i="7"/>
  <c r="AP328" i="7"/>
  <c r="AP327" i="7"/>
  <c r="AP326" i="7"/>
  <c r="AP325" i="7"/>
  <c r="AP324" i="7"/>
  <c r="AP37" i="7"/>
  <c r="AO345" i="7"/>
  <c r="AO489" i="7"/>
  <c r="AO487" i="7"/>
  <c r="AO486" i="7"/>
  <c r="AO490" i="7"/>
  <c r="AO494" i="7"/>
  <c r="AO514" i="7"/>
  <c r="AO518" i="7"/>
  <c r="AO538" i="7"/>
  <c r="AO542" i="7"/>
  <c r="AO546" i="7"/>
  <c r="AO511" i="7"/>
  <c r="AO515" i="7"/>
  <c r="AO519" i="7"/>
  <c r="AO539" i="7"/>
  <c r="AO543" i="7"/>
  <c r="AO481" i="7"/>
  <c r="AN104" i="7"/>
  <c r="AO501" i="7" l="1"/>
  <c r="AO558" i="7"/>
  <c r="AN500" i="7"/>
  <c r="AO551" i="7"/>
  <c r="AO555" i="7"/>
  <c r="AO530" i="7"/>
  <c r="AO527" i="7"/>
  <c r="AO531" i="7"/>
  <c r="AO554" i="7"/>
  <c r="AO361" i="7"/>
  <c r="AN506" i="7"/>
  <c r="AO388" i="7"/>
  <c r="AN552" i="7"/>
  <c r="AN499" i="7"/>
  <c r="AO416" i="7"/>
  <c r="AN504" i="7"/>
  <c r="AN527" i="7"/>
  <c r="AN531" i="7"/>
  <c r="AN554" i="7"/>
  <c r="AP395" i="7"/>
  <c r="AN501" i="7"/>
  <c r="AN524" i="7"/>
  <c r="AN532" i="7"/>
  <c r="AO414" i="7"/>
  <c r="AO418" i="7"/>
  <c r="AO550" i="7"/>
  <c r="AO498" i="7"/>
  <c r="AO506" i="7"/>
  <c r="AO499" i="7"/>
  <c r="AO526" i="7"/>
  <c r="AO552" i="7"/>
  <c r="AN525" i="7"/>
  <c r="AO502" i="7"/>
  <c r="AO387" i="7"/>
  <c r="E365" i="7"/>
  <c r="D365" i="7"/>
  <c r="H365" i="7"/>
  <c r="G365" i="7"/>
  <c r="F365" i="7"/>
  <c r="C365" i="7"/>
  <c r="I365" i="7"/>
  <c r="J365" i="7"/>
  <c r="C502" i="7"/>
  <c r="E502" i="7"/>
  <c r="D502" i="7"/>
  <c r="G502" i="7"/>
  <c r="H502" i="7"/>
  <c r="F502" i="7"/>
  <c r="I502" i="7"/>
  <c r="K365" i="7"/>
  <c r="J502" i="7"/>
  <c r="K502" i="7"/>
  <c r="L365" i="7"/>
  <c r="L502" i="7"/>
  <c r="M365" i="7"/>
  <c r="M502" i="7"/>
  <c r="N365" i="7"/>
  <c r="O365" i="7"/>
  <c r="N502" i="7"/>
  <c r="P365" i="7"/>
  <c r="O502" i="7"/>
  <c r="Q365" i="7"/>
  <c r="P502" i="7"/>
  <c r="R365" i="7"/>
  <c r="Q502" i="7"/>
  <c r="S365" i="7"/>
  <c r="R502" i="7"/>
  <c r="T365" i="7"/>
  <c r="S502" i="7"/>
  <c r="T502" i="7"/>
  <c r="U365" i="7"/>
  <c r="U502" i="7"/>
  <c r="V365" i="7"/>
  <c r="V502" i="7"/>
  <c r="W365" i="7"/>
  <c r="X365" i="7"/>
  <c r="W502" i="7"/>
  <c r="Y365" i="7"/>
  <c r="X502" i="7"/>
  <c r="Y502" i="7"/>
  <c r="Z365" i="7"/>
  <c r="Z502" i="7"/>
  <c r="AA365" i="7"/>
  <c r="AB365" i="7"/>
  <c r="AA502" i="7"/>
  <c r="AC365" i="7"/>
  <c r="AB502" i="7"/>
  <c r="AC502" i="7"/>
  <c r="AD365" i="7"/>
  <c r="AD502" i="7"/>
  <c r="AE365" i="7"/>
  <c r="AF365" i="7"/>
  <c r="AE502" i="7"/>
  <c r="AF502" i="7"/>
  <c r="AG365" i="7"/>
  <c r="AG502" i="7"/>
  <c r="AH365" i="7"/>
  <c r="AH502" i="7"/>
  <c r="AI365" i="7"/>
  <c r="AI502" i="7"/>
  <c r="AJ365" i="7"/>
  <c r="AJ502" i="7"/>
  <c r="AK365" i="7"/>
  <c r="AK502" i="7"/>
  <c r="AL365" i="7"/>
  <c r="AL502" i="7"/>
  <c r="AM365" i="7"/>
  <c r="AN365" i="7"/>
  <c r="AM502" i="7"/>
  <c r="C388" i="7"/>
  <c r="F388" i="7"/>
  <c r="D388" i="7"/>
  <c r="C525" i="7"/>
  <c r="E388" i="7"/>
  <c r="D525" i="7"/>
  <c r="G388" i="7"/>
  <c r="E525" i="7"/>
  <c r="F525" i="7"/>
  <c r="G525" i="7"/>
  <c r="H388" i="7"/>
  <c r="I388" i="7"/>
  <c r="H525" i="7"/>
  <c r="I525" i="7"/>
  <c r="J388" i="7"/>
  <c r="J525" i="7"/>
  <c r="K388" i="7"/>
  <c r="L388" i="7"/>
  <c r="K525" i="7"/>
  <c r="M388" i="7"/>
  <c r="L525" i="7"/>
  <c r="M525" i="7"/>
  <c r="N388" i="7"/>
  <c r="N525" i="7"/>
  <c r="O388" i="7"/>
  <c r="P388" i="7"/>
  <c r="O525" i="7"/>
  <c r="P525" i="7"/>
  <c r="Q388" i="7"/>
  <c r="R388" i="7"/>
  <c r="Q525" i="7"/>
  <c r="R525" i="7"/>
  <c r="S388" i="7"/>
  <c r="T388" i="7"/>
  <c r="S525" i="7"/>
  <c r="U388" i="7"/>
  <c r="T525" i="7"/>
  <c r="V388" i="7"/>
  <c r="U525" i="7"/>
  <c r="V525" i="7"/>
  <c r="W388" i="7"/>
  <c r="W525" i="7"/>
  <c r="X388" i="7"/>
  <c r="Y388" i="7"/>
  <c r="X525" i="7"/>
  <c r="Y525" i="7"/>
  <c r="Z388" i="7"/>
  <c r="Z525" i="7"/>
  <c r="AA388" i="7"/>
  <c r="AA525" i="7"/>
  <c r="AB388" i="7"/>
  <c r="AB525" i="7"/>
  <c r="AC388" i="7"/>
  <c r="AC525" i="7"/>
  <c r="AD388" i="7"/>
  <c r="AD525" i="7"/>
  <c r="AE388" i="7"/>
  <c r="AF388" i="7"/>
  <c r="AE525" i="7"/>
  <c r="AG388" i="7"/>
  <c r="AF525" i="7"/>
  <c r="AG525" i="7"/>
  <c r="AH388" i="7"/>
  <c r="AI388" i="7"/>
  <c r="AH525" i="7"/>
  <c r="AI525" i="7"/>
  <c r="AJ388" i="7"/>
  <c r="AK388" i="7"/>
  <c r="AJ525" i="7"/>
  <c r="AK525" i="7"/>
  <c r="AL388" i="7"/>
  <c r="AL525" i="7"/>
  <c r="AM388" i="7"/>
  <c r="AN388" i="7"/>
  <c r="AM525" i="7"/>
  <c r="H419" i="7"/>
  <c r="D419" i="7"/>
  <c r="E419" i="7"/>
  <c r="G419" i="7"/>
  <c r="F419" i="7"/>
  <c r="C419" i="7"/>
  <c r="I419" i="7"/>
  <c r="J419" i="7"/>
  <c r="K419" i="7"/>
  <c r="J556" i="7"/>
  <c r="L419" i="7"/>
  <c r="I556" i="7"/>
  <c r="H556" i="7"/>
  <c r="C556" i="7"/>
  <c r="E556" i="7"/>
  <c r="G556" i="7"/>
  <c r="K556" i="7"/>
  <c r="F556" i="7"/>
  <c r="D556" i="7"/>
  <c r="L556" i="7"/>
  <c r="M419" i="7"/>
  <c r="M556" i="7"/>
  <c r="N419" i="7"/>
  <c r="N556" i="7"/>
  <c r="O419" i="7"/>
  <c r="P419" i="7"/>
  <c r="O556" i="7"/>
  <c r="P556" i="7"/>
  <c r="Q419" i="7"/>
  <c r="R419" i="7"/>
  <c r="Q556" i="7"/>
  <c r="R556" i="7"/>
  <c r="S419" i="7"/>
  <c r="T419" i="7"/>
  <c r="S556" i="7"/>
  <c r="U419" i="7"/>
  <c r="T556" i="7"/>
  <c r="V419" i="7"/>
  <c r="U556" i="7"/>
  <c r="V556" i="7"/>
  <c r="W419" i="7"/>
  <c r="W556" i="7"/>
  <c r="X419" i="7"/>
  <c r="X556" i="7"/>
  <c r="Y419" i="7"/>
  <c r="Y556" i="7"/>
  <c r="Z419" i="7"/>
  <c r="Z556" i="7"/>
  <c r="AA419" i="7"/>
  <c r="AB419" i="7"/>
  <c r="AA556" i="7"/>
  <c r="AC419" i="7"/>
  <c r="AB556" i="7"/>
  <c r="AC556" i="7"/>
  <c r="AD419" i="7"/>
  <c r="AE419" i="7"/>
  <c r="AD556" i="7"/>
  <c r="AF419" i="7"/>
  <c r="AE556" i="7"/>
  <c r="AG419" i="7"/>
  <c r="AF556" i="7"/>
  <c r="AH419" i="7"/>
  <c r="AG556" i="7"/>
  <c r="AI419" i="7"/>
  <c r="AH556" i="7"/>
  <c r="AI556" i="7"/>
  <c r="AJ419" i="7"/>
  <c r="AK419" i="7"/>
  <c r="AJ556" i="7"/>
  <c r="AL419" i="7"/>
  <c r="AK556" i="7"/>
  <c r="AL556" i="7"/>
  <c r="AM419" i="7"/>
  <c r="AN419" i="7"/>
  <c r="AM556" i="7"/>
  <c r="AO529" i="7"/>
  <c r="AO500" i="7"/>
  <c r="AN551" i="7"/>
  <c r="AN555" i="7"/>
  <c r="AO369" i="7"/>
  <c r="AO362" i="7"/>
  <c r="G366" i="7"/>
  <c r="F366" i="7"/>
  <c r="H366" i="7"/>
  <c r="D366" i="7"/>
  <c r="C366" i="7"/>
  <c r="I366" i="7"/>
  <c r="E366" i="7"/>
  <c r="J366" i="7"/>
  <c r="C503" i="7"/>
  <c r="K366" i="7"/>
  <c r="J503" i="7"/>
  <c r="I503" i="7"/>
  <c r="D503" i="7"/>
  <c r="F503" i="7"/>
  <c r="E503" i="7"/>
  <c r="G503" i="7"/>
  <c r="H503" i="7"/>
  <c r="L366" i="7"/>
  <c r="K503" i="7"/>
  <c r="M366" i="7"/>
  <c r="L503" i="7"/>
  <c r="N366" i="7"/>
  <c r="M503" i="7"/>
  <c r="O366" i="7"/>
  <c r="N503" i="7"/>
  <c r="P366" i="7"/>
  <c r="O503" i="7"/>
  <c r="P503" i="7"/>
  <c r="Q366" i="7"/>
  <c r="R366" i="7"/>
  <c r="Q503" i="7"/>
  <c r="S366" i="7"/>
  <c r="R503" i="7"/>
  <c r="T366" i="7"/>
  <c r="S503" i="7"/>
  <c r="T503" i="7"/>
  <c r="U366" i="7"/>
  <c r="V366" i="7"/>
  <c r="U503" i="7"/>
  <c r="V503" i="7"/>
  <c r="W366" i="7"/>
  <c r="X366" i="7"/>
  <c r="W503" i="7"/>
  <c r="Y366" i="7"/>
  <c r="X503" i="7"/>
  <c r="Z366" i="7"/>
  <c r="Y503" i="7"/>
  <c r="AA366" i="7"/>
  <c r="Z503" i="7"/>
  <c r="AB366" i="7"/>
  <c r="AA503" i="7"/>
  <c r="AC366" i="7"/>
  <c r="AB503" i="7"/>
  <c r="AD366" i="7"/>
  <c r="AC503" i="7"/>
  <c r="AE366" i="7"/>
  <c r="AD503" i="7"/>
  <c r="AF366" i="7"/>
  <c r="AE503" i="7"/>
  <c r="AG366" i="7"/>
  <c r="AF503" i="7"/>
  <c r="AH366" i="7"/>
  <c r="AG503" i="7"/>
  <c r="AI366" i="7"/>
  <c r="AH503" i="7"/>
  <c r="AI503" i="7"/>
  <c r="AJ366" i="7"/>
  <c r="AJ503" i="7"/>
  <c r="AK366" i="7"/>
  <c r="AK503" i="7"/>
  <c r="AL366" i="7"/>
  <c r="AM366" i="7"/>
  <c r="AL503" i="7"/>
  <c r="AM503" i="7"/>
  <c r="AN366" i="7"/>
  <c r="D389" i="7"/>
  <c r="F389" i="7"/>
  <c r="G389" i="7"/>
  <c r="E389" i="7"/>
  <c r="C389" i="7"/>
  <c r="G526" i="7"/>
  <c r="C526" i="7"/>
  <c r="H389" i="7"/>
  <c r="E526" i="7"/>
  <c r="F526" i="7"/>
  <c r="D526" i="7"/>
  <c r="I389" i="7"/>
  <c r="H526" i="7"/>
  <c r="I526" i="7"/>
  <c r="J389" i="7"/>
  <c r="J526" i="7"/>
  <c r="K389" i="7"/>
  <c r="L389" i="7"/>
  <c r="K526" i="7"/>
  <c r="L526" i="7"/>
  <c r="M389" i="7"/>
  <c r="M526" i="7"/>
  <c r="N389" i="7"/>
  <c r="N526" i="7"/>
  <c r="O389" i="7"/>
  <c r="P389" i="7"/>
  <c r="O526" i="7"/>
  <c r="Q389" i="7"/>
  <c r="P526" i="7"/>
  <c r="R389" i="7"/>
  <c r="Q526" i="7"/>
  <c r="R526" i="7"/>
  <c r="S389" i="7"/>
  <c r="T389" i="7"/>
  <c r="S526" i="7"/>
  <c r="U389" i="7"/>
  <c r="T526" i="7"/>
  <c r="V389" i="7"/>
  <c r="U526" i="7"/>
  <c r="V526" i="7"/>
  <c r="W389" i="7"/>
  <c r="X389" i="7"/>
  <c r="W526" i="7"/>
  <c r="Y389" i="7"/>
  <c r="X526" i="7"/>
  <c r="Z389" i="7"/>
  <c r="Y526" i="7"/>
  <c r="Z526" i="7"/>
  <c r="AA389" i="7"/>
  <c r="AA526" i="7"/>
  <c r="AB389" i="7"/>
  <c r="AC389" i="7"/>
  <c r="AB526" i="7"/>
  <c r="AD389" i="7"/>
  <c r="AC526" i="7"/>
  <c r="AE389" i="7"/>
  <c r="AD526" i="7"/>
  <c r="AF389" i="7"/>
  <c r="AE526" i="7"/>
  <c r="AF526" i="7"/>
  <c r="AG389" i="7"/>
  <c r="AG526" i="7"/>
  <c r="AH389" i="7"/>
  <c r="AH526" i="7"/>
  <c r="AI389" i="7"/>
  <c r="AJ389" i="7"/>
  <c r="AI526" i="7"/>
  <c r="AK389" i="7"/>
  <c r="AJ526" i="7"/>
  <c r="AK526" i="7"/>
  <c r="AL389" i="7"/>
  <c r="AL526" i="7"/>
  <c r="AM389" i="7"/>
  <c r="AM526" i="7"/>
  <c r="AN389" i="7"/>
  <c r="E420" i="7"/>
  <c r="D420" i="7"/>
  <c r="F420" i="7"/>
  <c r="L420" i="7"/>
  <c r="C420" i="7"/>
  <c r="K420" i="7"/>
  <c r="J420" i="7"/>
  <c r="I420" i="7"/>
  <c r="H420" i="7"/>
  <c r="G420" i="7"/>
  <c r="L557" i="7"/>
  <c r="M420" i="7"/>
  <c r="G557" i="7"/>
  <c r="C557" i="7"/>
  <c r="H557" i="7"/>
  <c r="F557" i="7"/>
  <c r="E557" i="7"/>
  <c r="I557" i="7"/>
  <c r="D557" i="7"/>
  <c r="J557" i="7"/>
  <c r="K557" i="7"/>
  <c r="M557" i="7"/>
  <c r="N420" i="7"/>
  <c r="O420" i="7"/>
  <c r="N557" i="7"/>
  <c r="O557" i="7"/>
  <c r="P420" i="7"/>
  <c r="Q420" i="7"/>
  <c r="P557" i="7"/>
  <c r="Q557" i="7"/>
  <c r="R420" i="7"/>
  <c r="R557" i="7"/>
  <c r="S420" i="7"/>
  <c r="S557" i="7"/>
  <c r="T420" i="7"/>
  <c r="U420" i="7"/>
  <c r="T557" i="7"/>
  <c r="U557" i="7"/>
  <c r="V420" i="7"/>
  <c r="W420" i="7"/>
  <c r="V557" i="7"/>
  <c r="W557" i="7"/>
  <c r="X420" i="7"/>
  <c r="X557" i="7"/>
  <c r="Y420" i="7"/>
  <c r="Y557" i="7"/>
  <c r="Z420" i="7"/>
  <c r="AA420" i="7"/>
  <c r="Z557" i="7"/>
  <c r="AA557" i="7"/>
  <c r="AB420" i="7"/>
  <c r="AC420" i="7"/>
  <c r="AB557" i="7"/>
  <c r="AD420" i="7"/>
  <c r="AC557" i="7"/>
  <c r="AE420" i="7"/>
  <c r="AD557" i="7"/>
  <c r="AE557" i="7"/>
  <c r="AF420" i="7"/>
  <c r="AF557" i="7"/>
  <c r="AG420" i="7"/>
  <c r="AG557" i="7"/>
  <c r="AH420" i="7"/>
  <c r="AH557" i="7"/>
  <c r="AI420" i="7"/>
  <c r="AJ420" i="7"/>
  <c r="AI557" i="7"/>
  <c r="AK420" i="7"/>
  <c r="AJ557" i="7"/>
  <c r="AK557" i="7"/>
  <c r="AL420" i="7"/>
  <c r="AM420" i="7"/>
  <c r="AL557" i="7"/>
  <c r="AM557" i="7"/>
  <c r="AN420" i="7"/>
  <c r="AO525" i="7"/>
  <c r="AO503" i="7"/>
  <c r="AO364" i="7"/>
  <c r="AO419" i="7"/>
  <c r="AN557" i="7"/>
  <c r="AN526" i="7"/>
  <c r="H367" i="7"/>
  <c r="G367" i="7"/>
  <c r="K367" i="7"/>
  <c r="F367" i="7"/>
  <c r="I367" i="7"/>
  <c r="J367" i="7"/>
  <c r="C367" i="7"/>
  <c r="D367" i="7"/>
  <c r="E367" i="7"/>
  <c r="G504" i="7"/>
  <c r="H504" i="7"/>
  <c r="D504" i="7"/>
  <c r="C504" i="7"/>
  <c r="I504" i="7"/>
  <c r="F504" i="7"/>
  <c r="L367" i="7"/>
  <c r="K504" i="7"/>
  <c r="J504" i="7"/>
  <c r="E504" i="7"/>
  <c r="L504" i="7"/>
  <c r="M367" i="7"/>
  <c r="M504" i="7"/>
  <c r="N367" i="7"/>
  <c r="N504" i="7"/>
  <c r="O367" i="7"/>
  <c r="O504" i="7"/>
  <c r="P367" i="7"/>
  <c r="P504" i="7"/>
  <c r="Q367" i="7"/>
  <c r="Q504" i="7"/>
  <c r="R367" i="7"/>
  <c r="R504" i="7"/>
  <c r="S367" i="7"/>
  <c r="S504" i="7"/>
  <c r="T367" i="7"/>
  <c r="U367" i="7"/>
  <c r="T504" i="7"/>
  <c r="V367" i="7"/>
  <c r="U504" i="7"/>
  <c r="V504" i="7"/>
  <c r="W367" i="7"/>
  <c r="X367" i="7"/>
  <c r="W504" i="7"/>
  <c r="X504" i="7"/>
  <c r="Y367" i="7"/>
  <c r="Y504" i="7"/>
  <c r="Z367" i="7"/>
  <c r="Z504" i="7"/>
  <c r="AA367" i="7"/>
  <c r="AB367" i="7"/>
  <c r="AA504" i="7"/>
  <c r="AB504" i="7"/>
  <c r="AC367" i="7"/>
  <c r="AC504" i="7"/>
  <c r="AD367" i="7"/>
  <c r="AE367" i="7"/>
  <c r="AD504" i="7"/>
  <c r="AF367" i="7"/>
  <c r="AE504" i="7"/>
  <c r="AG367" i="7"/>
  <c r="AF504" i="7"/>
  <c r="AH367" i="7"/>
  <c r="AG504" i="7"/>
  <c r="AI367" i="7"/>
  <c r="AH504" i="7"/>
  <c r="AJ367" i="7"/>
  <c r="AI504" i="7"/>
  <c r="AJ504" i="7"/>
  <c r="AK367" i="7"/>
  <c r="AK504" i="7"/>
  <c r="AL367" i="7"/>
  <c r="AM367" i="7"/>
  <c r="AL504" i="7"/>
  <c r="AM504" i="7"/>
  <c r="AN367" i="7"/>
  <c r="E390" i="7"/>
  <c r="C390" i="7"/>
  <c r="D390" i="7"/>
  <c r="G390" i="7"/>
  <c r="H390" i="7"/>
  <c r="F390" i="7"/>
  <c r="D527" i="7"/>
  <c r="C527" i="7"/>
  <c r="F527" i="7"/>
  <c r="G527" i="7"/>
  <c r="H527" i="7"/>
  <c r="E527" i="7"/>
  <c r="I390" i="7"/>
  <c r="J390" i="7"/>
  <c r="I527" i="7"/>
  <c r="K390" i="7"/>
  <c r="J527" i="7"/>
  <c r="K527" i="7"/>
  <c r="L390" i="7"/>
  <c r="L527" i="7"/>
  <c r="M390" i="7"/>
  <c r="N390" i="7"/>
  <c r="M527" i="7"/>
  <c r="N527" i="7"/>
  <c r="O390" i="7"/>
  <c r="P390" i="7"/>
  <c r="O527" i="7"/>
  <c r="P527" i="7"/>
  <c r="Q390" i="7"/>
  <c r="R390" i="7"/>
  <c r="Q527" i="7"/>
  <c r="S390" i="7"/>
  <c r="R527" i="7"/>
  <c r="T390" i="7"/>
  <c r="S527" i="7"/>
  <c r="T527" i="7"/>
  <c r="U390" i="7"/>
  <c r="U527" i="7"/>
  <c r="V390" i="7"/>
  <c r="W390" i="7"/>
  <c r="V527" i="7"/>
  <c r="X390" i="7"/>
  <c r="W527" i="7"/>
  <c r="X527" i="7"/>
  <c r="Y390" i="7"/>
  <c r="Y527" i="7"/>
  <c r="Z390" i="7"/>
  <c r="AA390" i="7"/>
  <c r="Z527" i="7"/>
  <c r="AA527" i="7"/>
  <c r="AB390" i="7"/>
  <c r="AB527" i="7"/>
  <c r="AC390" i="7"/>
  <c r="AC527" i="7"/>
  <c r="AD390" i="7"/>
  <c r="AE390" i="7"/>
  <c r="AD527" i="7"/>
  <c r="AE527" i="7"/>
  <c r="AF390" i="7"/>
  <c r="AG390" i="7"/>
  <c r="AF527" i="7"/>
  <c r="AH390" i="7"/>
  <c r="AG527" i="7"/>
  <c r="AI390" i="7"/>
  <c r="AH527" i="7"/>
  <c r="AI527" i="7"/>
  <c r="AJ390" i="7"/>
  <c r="AK390" i="7"/>
  <c r="AJ527" i="7"/>
  <c r="AL390" i="7"/>
  <c r="AK527" i="7"/>
  <c r="AM390" i="7"/>
  <c r="AL527" i="7"/>
  <c r="AM527" i="7"/>
  <c r="AN390" i="7"/>
  <c r="C413" i="7"/>
  <c r="C550" i="7"/>
  <c r="D413" i="7"/>
  <c r="F413" i="7"/>
  <c r="D550" i="7"/>
  <c r="E413" i="7"/>
  <c r="G413" i="7"/>
  <c r="E550" i="7"/>
  <c r="F550" i="7"/>
  <c r="G550" i="7"/>
  <c r="H413" i="7"/>
  <c r="I413" i="7"/>
  <c r="H550" i="7"/>
  <c r="J413" i="7"/>
  <c r="I550" i="7"/>
  <c r="J550" i="7"/>
  <c r="K413" i="7"/>
  <c r="L413" i="7"/>
  <c r="K550" i="7"/>
  <c r="L550" i="7"/>
  <c r="M413" i="7"/>
  <c r="M550" i="7"/>
  <c r="N413" i="7"/>
  <c r="N550" i="7"/>
  <c r="O413" i="7"/>
  <c r="P413" i="7"/>
  <c r="O550" i="7"/>
  <c r="Q413" i="7"/>
  <c r="P550" i="7"/>
  <c r="Q550" i="7"/>
  <c r="R413" i="7"/>
  <c r="R550" i="7"/>
  <c r="S413" i="7"/>
  <c r="S550" i="7"/>
  <c r="T413" i="7"/>
  <c r="U413" i="7"/>
  <c r="T550" i="7"/>
  <c r="U550" i="7"/>
  <c r="V413" i="7"/>
  <c r="V550" i="7"/>
  <c r="W413" i="7"/>
  <c r="X413" i="7"/>
  <c r="W550" i="7"/>
  <c r="Y413" i="7"/>
  <c r="X550" i="7"/>
  <c r="Y550" i="7"/>
  <c r="Z413" i="7"/>
  <c r="AA413" i="7"/>
  <c r="Z550" i="7"/>
  <c r="AB413" i="7"/>
  <c r="AA550" i="7"/>
  <c r="AC413" i="7"/>
  <c r="AB550" i="7"/>
  <c r="AC550" i="7"/>
  <c r="AD413" i="7"/>
  <c r="AD550" i="7"/>
  <c r="AE413" i="7"/>
  <c r="AE550" i="7"/>
  <c r="AF413" i="7"/>
  <c r="AG413" i="7"/>
  <c r="AF550" i="7"/>
  <c r="AH413" i="7"/>
  <c r="AG550" i="7"/>
  <c r="AI413" i="7"/>
  <c r="AH550" i="7"/>
  <c r="AJ413" i="7"/>
  <c r="AI550" i="7"/>
  <c r="AK413" i="7"/>
  <c r="AJ550" i="7"/>
  <c r="AL413" i="7"/>
  <c r="AK550" i="7"/>
  <c r="AL550" i="7"/>
  <c r="AM413" i="7"/>
  <c r="AN413" i="7"/>
  <c r="AM550" i="7"/>
  <c r="C421" i="7"/>
  <c r="L421" i="7"/>
  <c r="D421" i="7"/>
  <c r="I421" i="7"/>
  <c r="E421" i="7"/>
  <c r="K421" i="7"/>
  <c r="G421" i="7"/>
  <c r="F421" i="7"/>
  <c r="J421" i="7"/>
  <c r="H421" i="7"/>
  <c r="M421" i="7"/>
  <c r="F558" i="7"/>
  <c r="G558" i="7"/>
  <c r="K558" i="7"/>
  <c r="H558" i="7"/>
  <c r="D558" i="7"/>
  <c r="E558" i="7"/>
  <c r="L558" i="7"/>
  <c r="C558" i="7"/>
  <c r="J558" i="7"/>
  <c r="M558" i="7"/>
  <c r="N421" i="7"/>
  <c r="I558" i="7"/>
  <c r="N558" i="7"/>
  <c r="O421" i="7"/>
  <c r="O558" i="7"/>
  <c r="P421" i="7"/>
  <c r="P558" i="7"/>
  <c r="Q421" i="7"/>
  <c r="R421" i="7"/>
  <c r="Q558" i="7"/>
  <c r="S421" i="7"/>
  <c r="R558" i="7"/>
  <c r="T421" i="7"/>
  <c r="S558" i="7"/>
  <c r="T558" i="7"/>
  <c r="U421" i="7"/>
  <c r="V421" i="7"/>
  <c r="U558" i="7"/>
  <c r="W421" i="7"/>
  <c r="V558" i="7"/>
  <c r="W558" i="7"/>
  <c r="X421" i="7"/>
  <c r="X558" i="7"/>
  <c r="Y421" i="7"/>
  <c r="Y558" i="7"/>
  <c r="Z421" i="7"/>
  <c r="AA421" i="7"/>
  <c r="Z558" i="7"/>
  <c r="AB421" i="7"/>
  <c r="AA558" i="7"/>
  <c r="AB558" i="7"/>
  <c r="AC421" i="7"/>
  <c r="AC558" i="7"/>
  <c r="AD421" i="7"/>
  <c r="AD558" i="7"/>
  <c r="AE421" i="7"/>
  <c r="AF421" i="7"/>
  <c r="AE558" i="7"/>
  <c r="AF558" i="7"/>
  <c r="AG421" i="7"/>
  <c r="AH421" i="7"/>
  <c r="AG558" i="7"/>
  <c r="AH558" i="7"/>
  <c r="AI421" i="7"/>
  <c r="AJ421" i="7"/>
  <c r="AI558" i="7"/>
  <c r="AK421" i="7"/>
  <c r="AJ558" i="7"/>
  <c r="AL421" i="7"/>
  <c r="AK558" i="7"/>
  <c r="AL558" i="7"/>
  <c r="AM421" i="7"/>
  <c r="AN421" i="7"/>
  <c r="AM558" i="7"/>
  <c r="AO556" i="7"/>
  <c r="AO505" i="7"/>
  <c r="AO420" i="7"/>
  <c r="AO395" i="7"/>
  <c r="AO394" i="7"/>
  <c r="AN503" i="7"/>
  <c r="AO389" i="7"/>
  <c r="E391" i="7"/>
  <c r="I391" i="7"/>
  <c r="F391" i="7"/>
  <c r="H391" i="7"/>
  <c r="C391" i="7"/>
  <c r="G391" i="7"/>
  <c r="D391" i="7"/>
  <c r="C528" i="7"/>
  <c r="E528" i="7"/>
  <c r="J391" i="7"/>
  <c r="F528" i="7"/>
  <c r="H528" i="7"/>
  <c r="I528" i="7"/>
  <c r="D528" i="7"/>
  <c r="G528" i="7"/>
  <c r="J528" i="7"/>
  <c r="K391" i="7"/>
  <c r="K528" i="7"/>
  <c r="L391" i="7"/>
  <c r="L528" i="7"/>
  <c r="M391" i="7"/>
  <c r="N391" i="7"/>
  <c r="M528" i="7"/>
  <c r="O391" i="7"/>
  <c r="N528" i="7"/>
  <c r="P391" i="7"/>
  <c r="O528" i="7"/>
  <c r="P528" i="7"/>
  <c r="Q391" i="7"/>
  <c r="Q528" i="7"/>
  <c r="R391" i="7"/>
  <c r="S391" i="7"/>
  <c r="R528" i="7"/>
  <c r="T391" i="7"/>
  <c r="S528" i="7"/>
  <c r="U391" i="7"/>
  <c r="T528" i="7"/>
  <c r="V391" i="7"/>
  <c r="U528" i="7"/>
  <c r="V528" i="7"/>
  <c r="W391" i="7"/>
  <c r="X391" i="7"/>
  <c r="W528" i="7"/>
  <c r="X528" i="7"/>
  <c r="Y391" i="7"/>
  <c r="Y528" i="7"/>
  <c r="Z391" i="7"/>
  <c r="AA391" i="7"/>
  <c r="Z528" i="7"/>
  <c r="AB391" i="7"/>
  <c r="AA528" i="7"/>
  <c r="AC391" i="7"/>
  <c r="AB528" i="7"/>
  <c r="AC528" i="7"/>
  <c r="AD391" i="7"/>
  <c r="AE391" i="7"/>
  <c r="AD528" i="7"/>
  <c r="AE528" i="7"/>
  <c r="AF391" i="7"/>
  <c r="AG391" i="7"/>
  <c r="AF528" i="7"/>
  <c r="AG528" i="7"/>
  <c r="AH391" i="7"/>
  <c r="AH528" i="7"/>
  <c r="AI391" i="7"/>
  <c r="AJ391" i="7"/>
  <c r="AI528" i="7"/>
  <c r="AK391" i="7"/>
  <c r="AJ528" i="7"/>
  <c r="AL391" i="7"/>
  <c r="AK528" i="7"/>
  <c r="AM391" i="7"/>
  <c r="AL528" i="7"/>
  <c r="AM528" i="7"/>
  <c r="AN391" i="7"/>
  <c r="C361" i="7"/>
  <c r="D361" i="7"/>
  <c r="F361" i="7"/>
  <c r="E361" i="7"/>
  <c r="C498" i="7"/>
  <c r="D498" i="7"/>
  <c r="E498" i="7"/>
  <c r="F498" i="7"/>
  <c r="G361" i="7"/>
  <c r="G498" i="7"/>
  <c r="H361" i="7"/>
  <c r="I361" i="7"/>
  <c r="H498" i="7"/>
  <c r="I498" i="7"/>
  <c r="J361" i="7"/>
  <c r="K361" i="7"/>
  <c r="J498" i="7"/>
  <c r="K498" i="7"/>
  <c r="L361" i="7"/>
  <c r="L498" i="7"/>
  <c r="M361" i="7"/>
  <c r="N361" i="7"/>
  <c r="M498" i="7"/>
  <c r="O361" i="7"/>
  <c r="N498" i="7"/>
  <c r="O498" i="7"/>
  <c r="P361" i="7"/>
  <c r="Q361" i="7"/>
  <c r="P498" i="7"/>
  <c r="R361" i="7"/>
  <c r="Q498" i="7"/>
  <c r="S361" i="7"/>
  <c r="R498" i="7"/>
  <c r="T361" i="7"/>
  <c r="S498" i="7"/>
  <c r="T498" i="7"/>
  <c r="U361" i="7"/>
  <c r="U498" i="7"/>
  <c r="V361" i="7"/>
  <c r="W361" i="7"/>
  <c r="V498" i="7"/>
  <c r="X361" i="7"/>
  <c r="W498" i="7"/>
  <c r="X498" i="7"/>
  <c r="Y361" i="7"/>
  <c r="Y498" i="7"/>
  <c r="Z361" i="7"/>
  <c r="Z498" i="7"/>
  <c r="AA361" i="7"/>
  <c r="AB361" i="7"/>
  <c r="AA498" i="7"/>
  <c r="AB498" i="7"/>
  <c r="AC361" i="7"/>
  <c r="AD361" i="7"/>
  <c r="AC498" i="7"/>
  <c r="AD498" i="7"/>
  <c r="AE361" i="7"/>
  <c r="AE498" i="7"/>
  <c r="AF361" i="7"/>
  <c r="AF498" i="7"/>
  <c r="AG361" i="7"/>
  <c r="AH361" i="7"/>
  <c r="AG498" i="7"/>
  <c r="AI361" i="7"/>
  <c r="AH498" i="7"/>
  <c r="AI498" i="7"/>
  <c r="AJ361" i="7"/>
  <c r="AJ498" i="7"/>
  <c r="AK361" i="7"/>
  <c r="AL361" i="7"/>
  <c r="AK498" i="7"/>
  <c r="AM361" i="7"/>
  <c r="AL498" i="7"/>
  <c r="AM498" i="7"/>
  <c r="AN361" i="7"/>
  <c r="G369" i="7"/>
  <c r="C369" i="7"/>
  <c r="J369" i="7"/>
  <c r="H369" i="7"/>
  <c r="E369" i="7"/>
  <c r="L369" i="7"/>
  <c r="I369" i="7"/>
  <c r="F369" i="7"/>
  <c r="K369" i="7"/>
  <c r="M369" i="7"/>
  <c r="D369" i="7"/>
  <c r="K506" i="7"/>
  <c r="H506" i="7"/>
  <c r="M506" i="7"/>
  <c r="J506" i="7"/>
  <c r="N369" i="7"/>
  <c r="F506" i="7"/>
  <c r="D506" i="7"/>
  <c r="L506" i="7"/>
  <c r="E506" i="7"/>
  <c r="I506" i="7"/>
  <c r="G506" i="7"/>
  <c r="C506" i="7"/>
  <c r="O369" i="7"/>
  <c r="N506" i="7"/>
  <c r="O506" i="7"/>
  <c r="P369" i="7"/>
  <c r="P506" i="7"/>
  <c r="Q369" i="7"/>
  <c r="R369" i="7"/>
  <c r="Q506" i="7"/>
  <c r="R506" i="7"/>
  <c r="S369" i="7"/>
  <c r="T369" i="7"/>
  <c r="S506" i="7"/>
  <c r="U369" i="7"/>
  <c r="T506" i="7"/>
  <c r="U506" i="7"/>
  <c r="V369" i="7"/>
  <c r="V506" i="7"/>
  <c r="W369" i="7"/>
  <c r="X369" i="7"/>
  <c r="W506" i="7"/>
  <c r="Y369" i="7"/>
  <c r="X506" i="7"/>
  <c r="Z369" i="7"/>
  <c r="Y506" i="7"/>
  <c r="AA369" i="7"/>
  <c r="Z506" i="7"/>
  <c r="AB369" i="7"/>
  <c r="AA506" i="7"/>
  <c r="AC369" i="7"/>
  <c r="AB506" i="7"/>
  <c r="AD369" i="7"/>
  <c r="AC506" i="7"/>
  <c r="AE369" i="7"/>
  <c r="AD506" i="7"/>
  <c r="AF369" i="7"/>
  <c r="AE506" i="7"/>
  <c r="AF506" i="7"/>
  <c r="AG369" i="7"/>
  <c r="AG506" i="7"/>
  <c r="AH369" i="7"/>
  <c r="AH506" i="7"/>
  <c r="AI369" i="7"/>
  <c r="AJ369" i="7"/>
  <c r="AI506" i="7"/>
  <c r="AJ506" i="7"/>
  <c r="AK369" i="7"/>
  <c r="AL369" i="7"/>
  <c r="AK506" i="7"/>
  <c r="AM369" i="7"/>
  <c r="AL506" i="7"/>
  <c r="AM506" i="7"/>
  <c r="AN369" i="7"/>
  <c r="I392" i="7"/>
  <c r="E392" i="7"/>
  <c r="D392" i="7"/>
  <c r="F392" i="7"/>
  <c r="H392" i="7"/>
  <c r="J392" i="7"/>
  <c r="C392" i="7"/>
  <c r="G392" i="7"/>
  <c r="J529" i="7"/>
  <c r="K392" i="7"/>
  <c r="E529" i="7"/>
  <c r="G529" i="7"/>
  <c r="F529" i="7"/>
  <c r="I529" i="7"/>
  <c r="D529" i="7"/>
  <c r="C529" i="7"/>
  <c r="H529" i="7"/>
  <c r="L392" i="7"/>
  <c r="K529" i="7"/>
  <c r="L529" i="7"/>
  <c r="M392" i="7"/>
  <c r="N392" i="7"/>
  <c r="M529" i="7"/>
  <c r="O392" i="7"/>
  <c r="N529" i="7"/>
  <c r="P392" i="7"/>
  <c r="O529" i="7"/>
  <c r="P529" i="7"/>
  <c r="Q392" i="7"/>
  <c r="Q529" i="7"/>
  <c r="R392" i="7"/>
  <c r="S392" i="7"/>
  <c r="R529" i="7"/>
  <c r="S529" i="7"/>
  <c r="T392" i="7"/>
  <c r="T529" i="7"/>
  <c r="U392" i="7"/>
  <c r="U529" i="7"/>
  <c r="V392" i="7"/>
  <c r="W392" i="7"/>
  <c r="V529" i="7"/>
  <c r="W529" i="7"/>
  <c r="X392" i="7"/>
  <c r="X529" i="7"/>
  <c r="Y392" i="7"/>
  <c r="Y529" i="7"/>
  <c r="Z392" i="7"/>
  <c r="Z529" i="7"/>
  <c r="AA392" i="7"/>
  <c r="AA529" i="7"/>
  <c r="AB392" i="7"/>
  <c r="AB529" i="7"/>
  <c r="AC392" i="7"/>
  <c r="AC529" i="7"/>
  <c r="AD392" i="7"/>
  <c r="AE392" i="7"/>
  <c r="AD529" i="7"/>
  <c r="AF392" i="7"/>
  <c r="AE529" i="7"/>
  <c r="AG392" i="7"/>
  <c r="AF529" i="7"/>
  <c r="AG529" i="7"/>
  <c r="AH392" i="7"/>
  <c r="AI392" i="7"/>
  <c r="AH529" i="7"/>
  <c r="AJ392" i="7"/>
  <c r="AI529" i="7"/>
  <c r="AK392" i="7"/>
  <c r="AJ529" i="7"/>
  <c r="AK529" i="7"/>
  <c r="AL392" i="7"/>
  <c r="AM392" i="7"/>
  <c r="AL529" i="7"/>
  <c r="AM529" i="7"/>
  <c r="AN392" i="7"/>
  <c r="F415" i="7"/>
  <c r="G415" i="7"/>
  <c r="E415" i="7"/>
  <c r="C415" i="7"/>
  <c r="D415" i="7"/>
  <c r="F552" i="7"/>
  <c r="C552" i="7"/>
  <c r="D552" i="7"/>
  <c r="H415" i="7"/>
  <c r="E552" i="7"/>
  <c r="G552" i="7"/>
  <c r="I415" i="7"/>
  <c r="H552" i="7"/>
  <c r="I552" i="7"/>
  <c r="J415" i="7"/>
  <c r="J552" i="7"/>
  <c r="K415" i="7"/>
  <c r="K552" i="7"/>
  <c r="L415" i="7"/>
  <c r="M415" i="7"/>
  <c r="L552" i="7"/>
  <c r="N415" i="7"/>
  <c r="M552" i="7"/>
  <c r="O415" i="7"/>
  <c r="N552" i="7"/>
  <c r="P415" i="7"/>
  <c r="O552" i="7"/>
  <c r="P552" i="7"/>
  <c r="Q415" i="7"/>
  <c r="Q552" i="7"/>
  <c r="R415" i="7"/>
  <c r="S415" i="7"/>
  <c r="R552" i="7"/>
  <c r="S552" i="7"/>
  <c r="T415" i="7"/>
  <c r="U415" i="7"/>
  <c r="T552" i="7"/>
  <c r="V415" i="7"/>
  <c r="U552" i="7"/>
  <c r="V552" i="7"/>
  <c r="W415" i="7"/>
  <c r="W552" i="7"/>
  <c r="X415" i="7"/>
  <c r="X552" i="7"/>
  <c r="Y415" i="7"/>
  <c r="Y552" i="7"/>
  <c r="Z415" i="7"/>
  <c r="AA415" i="7"/>
  <c r="Z552" i="7"/>
  <c r="AB415" i="7"/>
  <c r="AA552" i="7"/>
  <c r="AC415" i="7"/>
  <c r="AB552" i="7"/>
  <c r="AD415" i="7"/>
  <c r="AC552" i="7"/>
  <c r="AE415" i="7"/>
  <c r="AD552" i="7"/>
  <c r="AF415" i="7"/>
  <c r="AE552" i="7"/>
  <c r="AG415" i="7"/>
  <c r="AF552" i="7"/>
  <c r="AG552" i="7"/>
  <c r="AH415" i="7"/>
  <c r="AI415" i="7"/>
  <c r="AH552" i="7"/>
  <c r="AI552" i="7"/>
  <c r="AJ415" i="7"/>
  <c r="AK415" i="7"/>
  <c r="AJ552" i="7"/>
  <c r="AK552" i="7"/>
  <c r="AL415" i="7"/>
  <c r="AM415" i="7"/>
  <c r="AL552" i="7"/>
  <c r="AN415" i="7"/>
  <c r="AM552" i="7"/>
  <c r="AO532" i="7"/>
  <c r="AN529" i="7"/>
  <c r="AN528" i="7"/>
  <c r="AO365" i="7"/>
  <c r="C368" i="7"/>
  <c r="F368" i="7"/>
  <c r="D368" i="7"/>
  <c r="L368" i="7"/>
  <c r="E368" i="7"/>
  <c r="I368" i="7"/>
  <c r="H368" i="7"/>
  <c r="J368" i="7"/>
  <c r="G368" i="7"/>
  <c r="K368" i="7"/>
  <c r="L505" i="7"/>
  <c r="D505" i="7"/>
  <c r="C505" i="7"/>
  <c r="E505" i="7"/>
  <c r="F505" i="7"/>
  <c r="H505" i="7"/>
  <c r="I505" i="7"/>
  <c r="M368" i="7"/>
  <c r="K505" i="7"/>
  <c r="J505" i="7"/>
  <c r="G505" i="7"/>
  <c r="M505" i="7"/>
  <c r="N368" i="7"/>
  <c r="O368" i="7"/>
  <c r="N505" i="7"/>
  <c r="P368" i="7"/>
  <c r="O505" i="7"/>
  <c r="Q368" i="7"/>
  <c r="P505" i="7"/>
  <c r="R368" i="7"/>
  <c r="Q505" i="7"/>
  <c r="R505" i="7"/>
  <c r="S368" i="7"/>
  <c r="S505" i="7"/>
  <c r="T368" i="7"/>
  <c r="T505" i="7"/>
  <c r="U368" i="7"/>
  <c r="U505" i="7"/>
  <c r="V368" i="7"/>
  <c r="V505" i="7"/>
  <c r="W368" i="7"/>
  <c r="W505" i="7"/>
  <c r="X368" i="7"/>
  <c r="Y368" i="7"/>
  <c r="X505" i="7"/>
  <c r="Y505" i="7"/>
  <c r="Z368" i="7"/>
  <c r="AA368" i="7"/>
  <c r="Z505" i="7"/>
  <c r="AB368" i="7"/>
  <c r="AA505" i="7"/>
  <c r="AC368" i="7"/>
  <c r="AB505" i="7"/>
  <c r="AC505" i="7"/>
  <c r="AD368" i="7"/>
  <c r="AD505" i="7"/>
  <c r="AE368" i="7"/>
  <c r="AF368" i="7"/>
  <c r="AE505" i="7"/>
  <c r="AF505" i="7"/>
  <c r="AG368" i="7"/>
  <c r="AG505" i="7"/>
  <c r="AH368" i="7"/>
  <c r="AI368" i="7"/>
  <c r="AH505" i="7"/>
  <c r="AJ368" i="7"/>
  <c r="AI505" i="7"/>
  <c r="AK368" i="7"/>
  <c r="AJ505" i="7"/>
  <c r="AK505" i="7"/>
  <c r="AL368" i="7"/>
  <c r="AM368" i="7"/>
  <c r="AL505" i="7"/>
  <c r="AM505" i="7"/>
  <c r="AN368" i="7"/>
  <c r="C362" i="7"/>
  <c r="D362" i="7"/>
  <c r="C499" i="7"/>
  <c r="E362" i="7"/>
  <c r="F362" i="7"/>
  <c r="G362" i="7"/>
  <c r="D499" i="7"/>
  <c r="G499" i="7"/>
  <c r="H362" i="7"/>
  <c r="F499" i="7"/>
  <c r="E499" i="7"/>
  <c r="H499" i="7"/>
  <c r="I362" i="7"/>
  <c r="J362" i="7"/>
  <c r="I499" i="7"/>
  <c r="J499" i="7"/>
  <c r="K362" i="7"/>
  <c r="K499" i="7"/>
  <c r="L362" i="7"/>
  <c r="L499" i="7"/>
  <c r="M362" i="7"/>
  <c r="N362" i="7"/>
  <c r="M499" i="7"/>
  <c r="N499" i="7"/>
  <c r="O362" i="7"/>
  <c r="P362" i="7"/>
  <c r="O499" i="7"/>
  <c r="Q362" i="7"/>
  <c r="P499" i="7"/>
  <c r="R362" i="7"/>
  <c r="Q499" i="7"/>
  <c r="R499" i="7"/>
  <c r="S362" i="7"/>
  <c r="T362" i="7"/>
  <c r="S499" i="7"/>
  <c r="U362" i="7"/>
  <c r="T499" i="7"/>
  <c r="V362" i="7"/>
  <c r="U499" i="7"/>
  <c r="W362" i="7"/>
  <c r="V499" i="7"/>
  <c r="W499" i="7"/>
  <c r="X362" i="7"/>
  <c r="Y362" i="7"/>
  <c r="X499" i="7"/>
  <c r="Z362" i="7"/>
  <c r="Y499" i="7"/>
  <c r="Z499" i="7"/>
  <c r="AA362" i="7"/>
  <c r="AA499" i="7"/>
  <c r="AB362" i="7"/>
  <c r="AC362" i="7"/>
  <c r="AB499" i="7"/>
  <c r="AD362" i="7"/>
  <c r="AC499" i="7"/>
  <c r="AE362" i="7"/>
  <c r="AD499" i="7"/>
  <c r="AE499" i="7"/>
  <c r="AF362" i="7"/>
  <c r="AG362" i="7"/>
  <c r="AF499" i="7"/>
  <c r="AH362" i="7"/>
  <c r="AG499" i="7"/>
  <c r="AH499" i="7"/>
  <c r="AI362" i="7"/>
  <c r="AI499" i="7"/>
  <c r="AJ362" i="7"/>
  <c r="AK362" i="7"/>
  <c r="AJ499" i="7"/>
  <c r="AK499" i="7"/>
  <c r="AL362" i="7"/>
  <c r="AM362" i="7"/>
  <c r="AL499" i="7"/>
  <c r="AN362" i="7"/>
  <c r="AM499" i="7"/>
  <c r="I393" i="7"/>
  <c r="H393" i="7"/>
  <c r="E393" i="7"/>
  <c r="C393" i="7"/>
  <c r="K393" i="7"/>
  <c r="D393" i="7"/>
  <c r="G393" i="7"/>
  <c r="J393" i="7"/>
  <c r="F393" i="7"/>
  <c r="C530" i="7"/>
  <c r="L393" i="7"/>
  <c r="J530" i="7"/>
  <c r="E530" i="7"/>
  <c r="H530" i="7"/>
  <c r="G530" i="7"/>
  <c r="F530" i="7"/>
  <c r="I530" i="7"/>
  <c r="K530" i="7"/>
  <c r="D530" i="7"/>
  <c r="L530" i="7"/>
  <c r="M393" i="7"/>
  <c r="N393" i="7"/>
  <c r="M530" i="7"/>
  <c r="N530" i="7"/>
  <c r="O393" i="7"/>
  <c r="O530" i="7"/>
  <c r="P393" i="7"/>
  <c r="P530" i="7"/>
  <c r="Q393" i="7"/>
  <c r="R393" i="7"/>
  <c r="Q530" i="7"/>
  <c r="R530" i="7"/>
  <c r="S393" i="7"/>
  <c r="T393" i="7"/>
  <c r="S530" i="7"/>
  <c r="U393" i="7"/>
  <c r="T530" i="7"/>
  <c r="U530" i="7"/>
  <c r="V393" i="7"/>
  <c r="V530" i="7"/>
  <c r="W393" i="7"/>
  <c r="X393" i="7"/>
  <c r="W530" i="7"/>
  <c r="Y393" i="7"/>
  <c r="X530" i="7"/>
  <c r="Z393" i="7"/>
  <c r="Y530" i="7"/>
  <c r="AA393" i="7"/>
  <c r="Z530" i="7"/>
  <c r="AA530" i="7"/>
  <c r="AB393" i="7"/>
  <c r="AC393" i="7"/>
  <c r="AB530" i="7"/>
  <c r="AD393" i="7"/>
  <c r="AC530" i="7"/>
  <c r="AE393" i="7"/>
  <c r="AD530" i="7"/>
  <c r="AE530" i="7"/>
  <c r="AF393" i="7"/>
  <c r="AF530" i="7"/>
  <c r="AG393" i="7"/>
  <c r="AH393" i="7"/>
  <c r="AG530" i="7"/>
  <c r="AH530" i="7"/>
  <c r="AI393" i="7"/>
  <c r="AJ393" i="7"/>
  <c r="AI530" i="7"/>
  <c r="AK393" i="7"/>
  <c r="AJ530" i="7"/>
  <c r="AL393" i="7"/>
  <c r="AK530" i="7"/>
  <c r="AL530" i="7"/>
  <c r="AM393" i="7"/>
  <c r="AM530" i="7"/>
  <c r="AN393" i="7"/>
  <c r="C416" i="7"/>
  <c r="E416" i="7"/>
  <c r="F416" i="7"/>
  <c r="H416" i="7"/>
  <c r="D416" i="7"/>
  <c r="G416" i="7"/>
  <c r="F553" i="7"/>
  <c r="G553" i="7"/>
  <c r="D553" i="7"/>
  <c r="E553" i="7"/>
  <c r="C553" i="7"/>
  <c r="I416" i="7"/>
  <c r="H553" i="7"/>
  <c r="I553" i="7"/>
  <c r="J416" i="7"/>
  <c r="K416" i="7"/>
  <c r="J553" i="7"/>
  <c r="K553" i="7"/>
  <c r="L416" i="7"/>
  <c r="L553" i="7"/>
  <c r="M416" i="7"/>
  <c r="N416" i="7"/>
  <c r="M553" i="7"/>
  <c r="O416" i="7"/>
  <c r="N553" i="7"/>
  <c r="O553" i="7"/>
  <c r="P416" i="7"/>
  <c r="Q416" i="7"/>
  <c r="P553" i="7"/>
  <c r="R416" i="7"/>
  <c r="Q553" i="7"/>
  <c r="R553" i="7"/>
  <c r="S416" i="7"/>
  <c r="T416" i="7"/>
  <c r="S553" i="7"/>
  <c r="U416" i="7"/>
  <c r="T553" i="7"/>
  <c r="V416" i="7"/>
  <c r="U553" i="7"/>
  <c r="V553" i="7"/>
  <c r="W416" i="7"/>
  <c r="X416" i="7"/>
  <c r="W553" i="7"/>
  <c r="Y416" i="7"/>
  <c r="X553" i="7"/>
  <c r="Y553" i="7"/>
  <c r="Z416" i="7"/>
  <c r="AA416" i="7"/>
  <c r="Z553" i="7"/>
  <c r="AA553" i="7"/>
  <c r="AB416" i="7"/>
  <c r="AB553" i="7"/>
  <c r="AC416" i="7"/>
  <c r="AC553" i="7"/>
  <c r="AD416" i="7"/>
  <c r="AE416" i="7"/>
  <c r="AD553" i="7"/>
  <c r="AE553" i="7"/>
  <c r="AF416" i="7"/>
  <c r="AG416" i="7"/>
  <c r="AF553" i="7"/>
  <c r="AG553" i="7"/>
  <c r="AH416" i="7"/>
  <c r="AH553" i="7"/>
  <c r="AI416" i="7"/>
  <c r="AJ416" i="7"/>
  <c r="AI553" i="7"/>
  <c r="AK416" i="7"/>
  <c r="AJ553" i="7"/>
  <c r="AL416" i="7"/>
  <c r="AK553" i="7"/>
  <c r="AM416" i="7"/>
  <c r="AL553" i="7"/>
  <c r="AN416" i="7"/>
  <c r="AM553" i="7"/>
  <c r="AO557" i="7"/>
  <c r="AO528" i="7"/>
  <c r="AN556" i="7"/>
  <c r="AN498" i="7"/>
  <c r="AN558" i="7"/>
  <c r="AO392" i="7"/>
  <c r="AO415" i="7"/>
  <c r="E363" i="7"/>
  <c r="C363" i="7"/>
  <c r="D363" i="7"/>
  <c r="F363" i="7"/>
  <c r="G363" i="7"/>
  <c r="G500" i="7"/>
  <c r="E500" i="7"/>
  <c r="F500" i="7"/>
  <c r="C500" i="7"/>
  <c r="H363" i="7"/>
  <c r="D500" i="7"/>
  <c r="I363" i="7"/>
  <c r="H500" i="7"/>
  <c r="J363" i="7"/>
  <c r="I500" i="7"/>
  <c r="K363" i="7"/>
  <c r="J500" i="7"/>
  <c r="L363" i="7"/>
  <c r="K500" i="7"/>
  <c r="L500" i="7"/>
  <c r="M363" i="7"/>
  <c r="N363" i="7"/>
  <c r="M500" i="7"/>
  <c r="O363" i="7"/>
  <c r="N500" i="7"/>
  <c r="P363" i="7"/>
  <c r="O500" i="7"/>
  <c r="P500" i="7"/>
  <c r="Q363" i="7"/>
  <c r="Q500" i="7"/>
  <c r="R363" i="7"/>
  <c r="S363" i="7"/>
  <c r="R500" i="7"/>
  <c r="T363" i="7"/>
  <c r="S500" i="7"/>
  <c r="U363" i="7"/>
  <c r="T500" i="7"/>
  <c r="V363" i="7"/>
  <c r="U500" i="7"/>
  <c r="V500" i="7"/>
  <c r="W363" i="7"/>
  <c r="W500" i="7"/>
  <c r="X363" i="7"/>
  <c r="X500" i="7"/>
  <c r="Y363" i="7"/>
  <c r="Y500" i="7"/>
  <c r="Z363" i="7"/>
  <c r="AA363" i="7"/>
  <c r="Z500" i="7"/>
  <c r="AA500" i="7"/>
  <c r="AB363" i="7"/>
  <c r="AB500" i="7"/>
  <c r="AC363" i="7"/>
  <c r="AC500" i="7"/>
  <c r="AD363" i="7"/>
  <c r="AE363" i="7"/>
  <c r="AD500" i="7"/>
  <c r="AF363" i="7"/>
  <c r="AE500" i="7"/>
  <c r="AF500" i="7"/>
  <c r="AG363" i="7"/>
  <c r="AG500" i="7"/>
  <c r="AH363" i="7"/>
  <c r="AH500" i="7"/>
  <c r="AI363" i="7"/>
  <c r="AJ363" i="7"/>
  <c r="AI500" i="7"/>
  <c r="AJ500" i="7"/>
  <c r="AK363" i="7"/>
  <c r="AK500" i="7"/>
  <c r="AL363" i="7"/>
  <c r="AL500" i="7"/>
  <c r="AM363" i="7"/>
  <c r="AM500" i="7"/>
  <c r="AN363" i="7"/>
  <c r="K394" i="7"/>
  <c r="L394" i="7"/>
  <c r="E394" i="7"/>
  <c r="F394" i="7"/>
  <c r="J394" i="7"/>
  <c r="C394" i="7"/>
  <c r="D394" i="7"/>
  <c r="G394" i="7"/>
  <c r="I394" i="7"/>
  <c r="H394" i="7"/>
  <c r="K531" i="7"/>
  <c r="I531" i="7"/>
  <c r="H531" i="7"/>
  <c r="E531" i="7"/>
  <c r="G531" i="7"/>
  <c r="L531" i="7"/>
  <c r="J531" i="7"/>
  <c r="D531" i="7"/>
  <c r="C531" i="7"/>
  <c r="M394" i="7"/>
  <c r="F531" i="7"/>
  <c r="M531" i="7"/>
  <c r="N394" i="7"/>
  <c r="O394" i="7"/>
  <c r="N531" i="7"/>
  <c r="P394" i="7"/>
  <c r="O531" i="7"/>
  <c r="P531" i="7"/>
  <c r="Q394" i="7"/>
  <c r="R394" i="7"/>
  <c r="Q531" i="7"/>
  <c r="R531" i="7"/>
  <c r="S394" i="7"/>
  <c r="T394" i="7"/>
  <c r="S531" i="7"/>
  <c r="T531" i="7"/>
  <c r="U394" i="7"/>
  <c r="U531" i="7"/>
  <c r="V394" i="7"/>
  <c r="V531" i="7"/>
  <c r="W394" i="7"/>
  <c r="W531" i="7"/>
  <c r="X394" i="7"/>
  <c r="X531" i="7"/>
  <c r="Y394" i="7"/>
  <c r="Y531" i="7"/>
  <c r="Z394" i="7"/>
  <c r="Z531" i="7"/>
  <c r="AA394" i="7"/>
  <c r="AA531" i="7"/>
  <c r="AB394" i="7"/>
  <c r="AB531" i="7"/>
  <c r="AC394" i="7"/>
  <c r="AD394" i="7"/>
  <c r="AC531" i="7"/>
  <c r="AE394" i="7"/>
  <c r="AD531" i="7"/>
  <c r="AF394" i="7"/>
  <c r="AE531" i="7"/>
  <c r="AG394" i="7"/>
  <c r="AF531" i="7"/>
  <c r="AH394" i="7"/>
  <c r="AG531" i="7"/>
  <c r="AI394" i="7"/>
  <c r="AH531" i="7"/>
  <c r="AI531" i="7"/>
  <c r="AJ394" i="7"/>
  <c r="AJ531" i="7"/>
  <c r="AK394" i="7"/>
  <c r="AK531" i="7"/>
  <c r="AL394" i="7"/>
  <c r="AM394" i="7"/>
  <c r="AL531" i="7"/>
  <c r="AM531" i="7"/>
  <c r="AN394" i="7"/>
  <c r="E417" i="7"/>
  <c r="F417" i="7"/>
  <c r="D417" i="7"/>
  <c r="G417" i="7"/>
  <c r="H417" i="7"/>
  <c r="I417" i="7"/>
  <c r="C417" i="7"/>
  <c r="F554" i="7"/>
  <c r="C554" i="7"/>
  <c r="E554" i="7"/>
  <c r="J417" i="7"/>
  <c r="I554" i="7"/>
  <c r="H554" i="7"/>
  <c r="G554" i="7"/>
  <c r="D554" i="7"/>
  <c r="J554" i="7"/>
  <c r="K417" i="7"/>
  <c r="K554" i="7"/>
  <c r="L417" i="7"/>
  <c r="M417" i="7"/>
  <c r="L554" i="7"/>
  <c r="M554" i="7"/>
  <c r="N417" i="7"/>
  <c r="O417" i="7"/>
  <c r="N554" i="7"/>
  <c r="P417" i="7"/>
  <c r="O554" i="7"/>
  <c r="P554" i="7"/>
  <c r="Q417" i="7"/>
  <c r="R417" i="7"/>
  <c r="Q554" i="7"/>
  <c r="R554" i="7"/>
  <c r="S417" i="7"/>
  <c r="S554" i="7"/>
  <c r="T417" i="7"/>
  <c r="T554" i="7"/>
  <c r="U417" i="7"/>
  <c r="V417" i="7"/>
  <c r="U554" i="7"/>
  <c r="V554" i="7"/>
  <c r="W417" i="7"/>
  <c r="X417" i="7"/>
  <c r="W554" i="7"/>
  <c r="Y417" i="7"/>
  <c r="X554" i="7"/>
  <c r="Z417" i="7"/>
  <c r="Y554" i="7"/>
  <c r="Z554" i="7"/>
  <c r="AA417" i="7"/>
  <c r="AB417" i="7"/>
  <c r="AA554" i="7"/>
  <c r="AC417" i="7"/>
  <c r="AB554" i="7"/>
  <c r="AC554" i="7"/>
  <c r="AD417" i="7"/>
  <c r="AE417" i="7"/>
  <c r="AD554" i="7"/>
  <c r="AE554" i="7"/>
  <c r="AF417" i="7"/>
  <c r="AG417" i="7"/>
  <c r="AF554" i="7"/>
  <c r="AG554" i="7"/>
  <c r="AH417" i="7"/>
  <c r="AI417" i="7"/>
  <c r="AH554" i="7"/>
  <c r="AJ417" i="7"/>
  <c r="AI554" i="7"/>
  <c r="AJ554" i="7"/>
  <c r="AK417" i="7"/>
  <c r="AL417" i="7"/>
  <c r="AK554" i="7"/>
  <c r="AL554" i="7"/>
  <c r="AM417" i="7"/>
  <c r="AM554" i="7"/>
  <c r="AN417" i="7"/>
  <c r="AO553" i="7"/>
  <c r="AO524" i="7"/>
  <c r="AO421" i="7"/>
  <c r="AN553" i="7"/>
  <c r="AO417" i="7"/>
  <c r="AO368" i="7"/>
  <c r="AO391" i="7"/>
  <c r="AO390" i="7"/>
  <c r="AN505" i="7"/>
  <c r="C414" i="7"/>
  <c r="F414" i="7"/>
  <c r="C551" i="7"/>
  <c r="E414" i="7"/>
  <c r="D414" i="7"/>
  <c r="D551" i="7"/>
  <c r="E551" i="7"/>
  <c r="F551" i="7"/>
  <c r="G414" i="7"/>
  <c r="G551" i="7"/>
  <c r="H414" i="7"/>
  <c r="I414" i="7"/>
  <c r="H551" i="7"/>
  <c r="I551" i="7"/>
  <c r="J414" i="7"/>
  <c r="J551" i="7"/>
  <c r="K414" i="7"/>
  <c r="L414" i="7"/>
  <c r="K551" i="7"/>
  <c r="M414" i="7"/>
  <c r="L551" i="7"/>
  <c r="M551" i="7"/>
  <c r="N414" i="7"/>
  <c r="N551" i="7"/>
  <c r="O414" i="7"/>
  <c r="P414" i="7"/>
  <c r="O551" i="7"/>
  <c r="Q414" i="7"/>
  <c r="P551" i="7"/>
  <c r="R414" i="7"/>
  <c r="Q551" i="7"/>
  <c r="S414" i="7"/>
  <c r="R551" i="7"/>
  <c r="S551" i="7"/>
  <c r="T414" i="7"/>
  <c r="T551" i="7"/>
  <c r="U414" i="7"/>
  <c r="U551" i="7"/>
  <c r="V414" i="7"/>
  <c r="V551" i="7"/>
  <c r="W414" i="7"/>
  <c r="X414" i="7"/>
  <c r="W551" i="7"/>
  <c r="X551" i="7"/>
  <c r="Y414" i="7"/>
  <c r="Y551" i="7"/>
  <c r="Z414" i="7"/>
  <c r="AA414" i="7"/>
  <c r="Z551" i="7"/>
  <c r="AA551" i="7"/>
  <c r="AB414" i="7"/>
  <c r="AC414" i="7"/>
  <c r="AB551" i="7"/>
  <c r="AD414" i="7"/>
  <c r="AC551" i="7"/>
  <c r="AE414" i="7"/>
  <c r="AD551" i="7"/>
  <c r="AE551" i="7"/>
  <c r="AF414" i="7"/>
  <c r="AG414" i="7"/>
  <c r="AF551" i="7"/>
  <c r="AH414" i="7"/>
  <c r="AG551" i="7"/>
  <c r="AI414" i="7"/>
  <c r="AH551" i="7"/>
  <c r="AJ414" i="7"/>
  <c r="AI551" i="7"/>
  <c r="AK414" i="7"/>
  <c r="AJ551" i="7"/>
  <c r="AL414" i="7"/>
  <c r="AK551" i="7"/>
  <c r="AM414" i="7"/>
  <c r="AL551" i="7"/>
  <c r="AN414" i="7"/>
  <c r="AM551" i="7"/>
  <c r="C364" i="7"/>
  <c r="F364" i="7"/>
  <c r="E364" i="7"/>
  <c r="G364" i="7"/>
  <c r="H364" i="7"/>
  <c r="D364" i="7"/>
  <c r="I364" i="7"/>
  <c r="F501" i="7"/>
  <c r="D501" i="7"/>
  <c r="C501" i="7"/>
  <c r="G501" i="7"/>
  <c r="H501" i="7"/>
  <c r="E501" i="7"/>
  <c r="I501" i="7"/>
  <c r="J364" i="7"/>
  <c r="J501" i="7"/>
  <c r="K364" i="7"/>
  <c r="L364" i="7"/>
  <c r="K501" i="7"/>
  <c r="L501" i="7"/>
  <c r="M364" i="7"/>
  <c r="M501" i="7"/>
  <c r="N364" i="7"/>
  <c r="N501" i="7"/>
  <c r="O364" i="7"/>
  <c r="O501" i="7"/>
  <c r="P364" i="7"/>
  <c r="P501" i="7"/>
  <c r="Q364" i="7"/>
  <c r="R364" i="7"/>
  <c r="Q501" i="7"/>
  <c r="R501" i="7"/>
  <c r="S364" i="7"/>
  <c r="T364" i="7"/>
  <c r="S501" i="7"/>
  <c r="T501" i="7"/>
  <c r="U364" i="7"/>
  <c r="U501" i="7"/>
  <c r="V364" i="7"/>
  <c r="V501" i="7"/>
  <c r="W364" i="7"/>
  <c r="W501" i="7"/>
  <c r="X364" i="7"/>
  <c r="Y364" i="7"/>
  <c r="X501" i="7"/>
  <c r="Y501" i="7"/>
  <c r="Z364" i="7"/>
  <c r="AA364" i="7"/>
  <c r="Z501" i="7"/>
  <c r="AA501" i="7"/>
  <c r="AB364" i="7"/>
  <c r="AC364" i="7"/>
  <c r="AB501" i="7"/>
  <c r="AD364" i="7"/>
  <c r="AC501" i="7"/>
  <c r="AE364" i="7"/>
  <c r="AD501" i="7"/>
  <c r="AF364" i="7"/>
  <c r="AE501" i="7"/>
  <c r="AF501" i="7"/>
  <c r="AG364" i="7"/>
  <c r="AG501" i="7"/>
  <c r="AH364" i="7"/>
  <c r="AI364" i="7"/>
  <c r="AH501" i="7"/>
  <c r="AJ364" i="7"/>
  <c r="AI501" i="7"/>
  <c r="AJ501" i="7"/>
  <c r="AK364" i="7"/>
  <c r="AK501" i="7"/>
  <c r="AL364" i="7"/>
  <c r="AL501" i="7"/>
  <c r="AM364" i="7"/>
  <c r="AM501" i="7"/>
  <c r="AN364" i="7"/>
  <c r="C387" i="7"/>
  <c r="C524" i="7"/>
  <c r="F387" i="7"/>
  <c r="E387" i="7"/>
  <c r="D387" i="7"/>
  <c r="F524" i="7"/>
  <c r="G387" i="7"/>
  <c r="D524" i="7"/>
  <c r="E524" i="7"/>
  <c r="H387" i="7"/>
  <c r="G524" i="7"/>
  <c r="H524" i="7"/>
  <c r="I387" i="7"/>
  <c r="I524" i="7"/>
  <c r="J387" i="7"/>
  <c r="J524" i="7"/>
  <c r="K387" i="7"/>
  <c r="L387" i="7"/>
  <c r="K524" i="7"/>
  <c r="L524" i="7"/>
  <c r="M387" i="7"/>
  <c r="N387" i="7"/>
  <c r="M524" i="7"/>
  <c r="O387" i="7"/>
  <c r="N524" i="7"/>
  <c r="P387" i="7"/>
  <c r="O524" i="7"/>
  <c r="Q387" i="7"/>
  <c r="P524" i="7"/>
  <c r="Q524" i="7"/>
  <c r="R387" i="7"/>
  <c r="R524" i="7"/>
  <c r="S387" i="7"/>
  <c r="S524" i="7"/>
  <c r="T387" i="7"/>
  <c r="T524" i="7"/>
  <c r="U387" i="7"/>
  <c r="U524" i="7"/>
  <c r="V387" i="7"/>
  <c r="V524" i="7"/>
  <c r="W387" i="7"/>
  <c r="X387" i="7"/>
  <c r="W524" i="7"/>
  <c r="Y387" i="7"/>
  <c r="X524" i="7"/>
  <c r="Y524" i="7"/>
  <c r="Z387" i="7"/>
  <c r="Z524" i="7"/>
  <c r="AA387" i="7"/>
  <c r="AA524" i="7"/>
  <c r="AB387" i="7"/>
  <c r="AB524" i="7"/>
  <c r="AC387" i="7"/>
  <c r="AC524" i="7"/>
  <c r="AD387" i="7"/>
  <c r="AD524" i="7"/>
  <c r="AE387" i="7"/>
  <c r="AF387" i="7"/>
  <c r="AE524" i="7"/>
  <c r="AG387" i="7"/>
  <c r="AF524" i="7"/>
  <c r="AH387" i="7"/>
  <c r="AG524" i="7"/>
  <c r="AI387" i="7"/>
  <c r="AH524" i="7"/>
  <c r="AJ387" i="7"/>
  <c r="AI524" i="7"/>
  <c r="AK387" i="7"/>
  <c r="AJ524" i="7"/>
  <c r="AK524" i="7"/>
  <c r="AL387" i="7"/>
  <c r="AM387" i="7"/>
  <c r="AL524" i="7"/>
  <c r="AM524" i="7"/>
  <c r="AN387" i="7"/>
  <c r="C395" i="7"/>
  <c r="M395" i="7"/>
  <c r="G395" i="7"/>
  <c r="D395" i="7"/>
  <c r="F395" i="7"/>
  <c r="L395" i="7"/>
  <c r="I395" i="7"/>
  <c r="J395" i="7"/>
  <c r="H395" i="7"/>
  <c r="E395" i="7"/>
  <c r="K395" i="7"/>
  <c r="J532" i="7"/>
  <c r="M532" i="7"/>
  <c r="C532" i="7"/>
  <c r="K532" i="7"/>
  <c r="I532" i="7"/>
  <c r="L532" i="7"/>
  <c r="N395" i="7"/>
  <c r="E532" i="7"/>
  <c r="F532" i="7"/>
  <c r="D532" i="7"/>
  <c r="H532" i="7"/>
  <c r="G532" i="7"/>
  <c r="O395" i="7"/>
  <c r="N532" i="7"/>
  <c r="O532" i="7"/>
  <c r="P395" i="7"/>
  <c r="P532" i="7"/>
  <c r="Q395" i="7"/>
  <c r="Q532" i="7"/>
  <c r="R395" i="7"/>
  <c r="S395" i="7"/>
  <c r="R532" i="7"/>
  <c r="T395" i="7"/>
  <c r="S532" i="7"/>
  <c r="T532" i="7"/>
  <c r="U395" i="7"/>
  <c r="U532" i="7"/>
  <c r="V395" i="7"/>
  <c r="W395" i="7"/>
  <c r="V532" i="7"/>
  <c r="W532" i="7"/>
  <c r="X395" i="7"/>
  <c r="Y395" i="7"/>
  <c r="X532" i="7"/>
  <c r="Y532" i="7"/>
  <c r="Z395" i="7"/>
  <c r="Z532" i="7"/>
  <c r="AA395" i="7"/>
  <c r="AA532" i="7"/>
  <c r="AB395" i="7"/>
  <c r="AC395" i="7"/>
  <c r="AB532" i="7"/>
  <c r="AD395" i="7"/>
  <c r="AC532" i="7"/>
  <c r="AD532" i="7"/>
  <c r="AE395" i="7"/>
  <c r="AF395" i="7"/>
  <c r="AE532" i="7"/>
  <c r="AG395" i="7"/>
  <c r="AF532" i="7"/>
  <c r="AG532" i="7"/>
  <c r="AH395" i="7"/>
  <c r="AH532" i="7"/>
  <c r="AI395" i="7"/>
  <c r="AI532" i="7"/>
  <c r="AJ395" i="7"/>
  <c r="AK395" i="7"/>
  <c r="AJ532" i="7"/>
  <c r="AL395" i="7"/>
  <c r="AK532" i="7"/>
  <c r="AM395" i="7"/>
  <c r="AL532" i="7"/>
  <c r="AM532" i="7"/>
  <c r="AN395" i="7"/>
  <c r="J418" i="7"/>
  <c r="F418" i="7"/>
  <c r="H418" i="7"/>
  <c r="D418" i="7"/>
  <c r="G418" i="7"/>
  <c r="C418" i="7"/>
  <c r="E418" i="7"/>
  <c r="I418" i="7"/>
  <c r="J555" i="7"/>
  <c r="C555" i="7"/>
  <c r="G555" i="7"/>
  <c r="F555" i="7"/>
  <c r="D555" i="7"/>
  <c r="I555" i="7"/>
  <c r="K418" i="7"/>
  <c r="E555" i="7"/>
  <c r="H555" i="7"/>
  <c r="L418" i="7"/>
  <c r="K555" i="7"/>
  <c r="L555" i="7"/>
  <c r="M418" i="7"/>
  <c r="M555" i="7"/>
  <c r="N418" i="7"/>
  <c r="O418" i="7"/>
  <c r="N555" i="7"/>
  <c r="P418" i="7"/>
  <c r="O555" i="7"/>
  <c r="P555" i="7"/>
  <c r="Q418" i="7"/>
  <c r="Q555" i="7"/>
  <c r="R418" i="7"/>
  <c r="S418" i="7"/>
  <c r="R555" i="7"/>
  <c r="T418" i="7"/>
  <c r="S555" i="7"/>
  <c r="U418" i="7"/>
  <c r="T555" i="7"/>
  <c r="V418" i="7"/>
  <c r="U555" i="7"/>
  <c r="W418" i="7"/>
  <c r="V555" i="7"/>
  <c r="X418" i="7"/>
  <c r="W555" i="7"/>
  <c r="X555" i="7"/>
  <c r="Y418" i="7"/>
  <c r="Y555" i="7"/>
  <c r="Z418" i="7"/>
  <c r="AA418" i="7"/>
  <c r="Z555" i="7"/>
  <c r="AB418" i="7"/>
  <c r="AA555" i="7"/>
  <c r="AC418" i="7"/>
  <c r="AB555" i="7"/>
  <c r="AC555" i="7"/>
  <c r="AD418" i="7"/>
  <c r="AE418" i="7"/>
  <c r="AD555" i="7"/>
  <c r="AF418" i="7"/>
  <c r="AE555" i="7"/>
  <c r="AG418" i="7"/>
  <c r="AF555" i="7"/>
  <c r="AH418" i="7"/>
  <c r="AG555" i="7"/>
  <c r="AI418" i="7"/>
  <c r="AH555" i="7"/>
  <c r="AJ418" i="7"/>
  <c r="AI555" i="7"/>
  <c r="AJ555" i="7"/>
  <c r="AK418" i="7"/>
  <c r="AL418" i="7"/>
  <c r="AK555" i="7"/>
  <c r="AM418" i="7"/>
  <c r="AL555" i="7"/>
  <c r="AM555" i="7"/>
  <c r="AN418" i="7"/>
  <c r="AO504" i="7"/>
  <c r="AO413" i="7"/>
  <c r="AN502" i="7"/>
  <c r="AN530" i="7"/>
  <c r="AO393" i="7"/>
  <c r="AO363" i="7"/>
  <c r="AO367" i="7"/>
  <c r="AO366" i="7"/>
  <c r="AN550" i="7"/>
  <c r="AN114" i="7"/>
  <c r="AN115" i="7" s="1"/>
  <c r="B324" i="7" a="1"/>
  <c r="B324" i="7" s="1"/>
  <c r="B326" i="7" a="1"/>
  <c r="B326" i="7" s="1"/>
  <c r="B328" i="7" a="1"/>
  <c r="B328" i="7" s="1"/>
  <c r="B461" i="7" a="1"/>
  <c r="B461" i="7" s="1"/>
  <c r="B463" i="7" a="1"/>
  <c r="B463" i="7" s="1"/>
  <c r="B465" i="7" a="1"/>
  <c r="B465" i="7" s="1"/>
  <c r="B325" i="7" a="1"/>
  <c r="B325" i="7" s="1"/>
  <c r="B327" i="7" a="1"/>
  <c r="B327" i="7" s="1"/>
  <c r="B460" i="7" a="1"/>
  <c r="B460" i="7" s="1"/>
  <c r="B462" i="7" a="1"/>
  <c r="B462" i="7" s="1"/>
  <c r="B464" i="7" a="1"/>
  <c r="B464" i="7" s="1"/>
  <c r="AP642" i="7"/>
  <c r="R763" i="7"/>
  <c r="S763" i="7"/>
  <c r="T763" i="7"/>
  <c r="U763" i="7"/>
  <c r="V763" i="7"/>
  <c r="AL767" i="7"/>
  <c r="AM767" i="7"/>
  <c r="AN767" i="7"/>
  <c r="AO767" i="7"/>
  <c r="W764" i="7"/>
  <c r="X764" i="7"/>
  <c r="Y764" i="7"/>
  <c r="Z764" i="7"/>
  <c r="AA764" i="7"/>
  <c r="AP767" i="7"/>
  <c r="I761" i="7"/>
  <c r="J761" i="7"/>
  <c r="K761" i="7"/>
  <c r="L761" i="7"/>
  <c r="AB765" i="7"/>
  <c r="AC765" i="7"/>
  <c r="AD765" i="7"/>
  <c r="AE765" i="7"/>
  <c r="AF765" i="7"/>
  <c r="M762" i="7"/>
  <c r="N762" i="7"/>
  <c r="O762" i="7"/>
  <c r="P762" i="7"/>
  <c r="Q762" i="7"/>
  <c r="AG766" i="7"/>
  <c r="AH766" i="7"/>
  <c r="AI766" i="7"/>
  <c r="AJ766" i="7"/>
  <c r="AK766" i="7"/>
  <c r="AP352" i="7"/>
  <c r="AP363" i="7" s="1"/>
  <c r="AP402" i="7"/>
  <c r="AP414" i="7" s="1"/>
  <c r="AP404" i="7"/>
  <c r="AP408" i="7"/>
  <c r="AP357" i="7"/>
  <c r="AP368" i="7" s="1"/>
  <c r="AP406" i="7"/>
  <c r="AP375" i="7"/>
  <c r="AP387" i="7" s="1"/>
  <c r="AP377" i="7"/>
  <c r="AP379" i="7"/>
  <c r="AP391" i="7" s="1"/>
  <c r="AP355" i="7"/>
  <c r="AP353" i="7"/>
  <c r="AP381" i="7"/>
  <c r="AP393" i="7" s="1"/>
  <c r="AP351" i="7"/>
  <c r="AP380" i="7"/>
  <c r="AP358" i="7"/>
  <c r="AP405" i="7"/>
  <c r="AP350" i="7"/>
  <c r="AP361" i="7" s="1"/>
  <c r="AP376" i="7"/>
  <c r="AP401" i="7"/>
  <c r="AP409" i="7"/>
  <c r="AP356" i="7"/>
  <c r="AP354" i="7"/>
  <c r="AP378" i="7"/>
  <c r="AP390" i="7" s="1"/>
  <c r="AP382" i="7"/>
  <c r="AP403" i="7"/>
  <c r="AP407" i="7"/>
  <c r="AP419" i="7" s="1"/>
  <c r="AP250" i="7"/>
  <c r="AP213" i="7"/>
  <c r="AP77" i="7"/>
  <c r="AP761" i="7"/>
  <c r="F761" i="7"/>
  <c r="G761" i="7"/>
  <c r="H761" i="7"/>
  <c r="L763" i="7"/>
  <c r="M763" i="7"/>
  <c r="N763" i="7"/>
  <c r="R765" i="7"/>
  <c r="S765" i="7"/>
  <c r="T765" i="7"/>
  <c r="X767" i="7"/>
  <c r="Y767" i="7"/>
  <c r="Z767" i="7"/>
  <c r="AD769" i="7"/>
  <c r="AE769" i="7"/>
  <c r="AF769" i="7"/>
  <c r="I762" i="7"/>
  <c r="J762" i="7"/>
  <c r="K762" i="7"/>
  <c r="O764" i="7"/>
  <c r="P764" i="7"/>
  <c r="Q764" i="7"/>
  <c r="U766" i="7"/>
  <c r="V766" i="7"/>
  <c r="W766" i="7"/>
  <c r="AA768" i="7"/>
  <c r="AB768" i="7"/>
  <c r="AC768" i="7"/>
  <c r="AP39" i="7"/>
  <c r="AO104" i="7"/>
  <c r="AP93" i="7"/>
  <c r="AP511" i="7"/>
  <c r="AP481" i="7"/>
  <c r="AP520" i="7"/>
  <c r="AP532" i="7" s="1"/>
  <c r="O697" i="7"/>
  <c r="P697" i="7"/>
  <c r="Q697" i="7"/>
  <c r="R697" i="7"/>
  <c r="R706" i="7" s="1"/>
  <c r="R678" i="7" s="1"/>
  <c r="S697" i="7"/>
  <c r="S706" i="7" s="1"/>
  <c r="S678" i="7" s="1"/>
  <c r="T697" i="7"/>
  <c r="T706" i="7" s="1"/>
  <c r="T678" i="7" s="1"/>
  <c r="U697" i="7"/>
  <c r="U706" i="7" s="1"/>
  <c r="U678" i="7" s="1"/>
  <c r="V697" i="7"/>
  <c r="V706" i="7" s="1"/>
  <c r="V678" i="7" s="1"/>
  <c r="W697" i="7"/>
  <c r="W706" i="7" s="1"/>
  <c r="W678" i="7" s="1"/>
  <c r="W96" i="7" s="1"/>
  <c r="X697" i="7"/>
  <c r="X706" i="7" s="1"/>
  <c r="X678" i="7" s="1"/>
  <c r="X96" i="7" s="1"/>
  <c r="Y697" i="7"/>
  <c r="Y706" i="7" s="1"/>
  <c r="Y678" i="7" s="1"/>
  <c r="Y96" i="7" s="1"/>
  <c r="Z697" i="7"/>
  <c r="Z706" i="7" s="1"/>
  <c r="Z678" i="7" s="1"/>
  <c r="Z96" i="7" s="1"/>
  <c r="AM699" i="7"/>
  <c r="AM706" i="7" s="1"/>
  <c r="AM678" i="7" s="1"/>
  <c r="AM96" i="7" s="1"/>
  <c r="AN699" i="7"/>
  <c r="AN706" i="7" s="1"/>
  <c r="AN678" i="7" s="1"/>
  <c r="AN96" i="7" s="1"/>
  <c r="AO699" i="7"/>
  <c r="AO706" i="7" s="1"/>
  <c r="AO678" i="7" s="1"/>
  <c r="AO96" i="7" s="1"/>
  <c r="R729" i="7"/>
  <c r="R738" i="7" s="1"/>
  <c r="R710" i="7" s="1"/>
  <c r="R97" i="7" s="1"/>
  <c r="S729" i="7"/>
  <c r="S738" i="7" s="1"/>
  <c r="S710" i="7" s="1"/>
  <c r="S97" i="7" s="1"/>
  <c r="T729" i="7"/>
  <c r="T738" i="7" s="1"/>
  <c r="T710" i="7" s="1"/>
  <c r="T97" i="7" s="1"/>
  <c r="U729" i="7"/>
  <c r="U738" i="7" s="1"/>
  <c r="U710" i="7" s="1"/>
  <c r="U97" i="7" s="1"/>
  <c r="V729" i="7"/>
  <c r="V738" i="7" s="1"/>
  <c r="V710" i="7" s="1"/>
  <c r="V97" i="7" s="1"/>
  <c r="W729" i="7"/>
  <c r="W738" i="7" s="1"/>
  <c r="W710" i="7" s="1"/>
  <c r="W97" i="7" s="1"/>
  <c r="X729" i="7"/>
  <c r="X738" i="7" s="1"/>
  <c r="X710" i="7" s="1"/>
  <c r="X97" i="7" s="1"/>
  <c r="Y729" i="7"/>
  <c r="Y738" i="7" s="1"/>
  <c r="Y710" i="7" s="1"/>
  <c r="Y97" i="7" s="1"/>
  <c r="Z729" i="7"/>
  <c r="Z738" i="7" s="1"/>
  <c r="Z710" i="7" s="1"/>
  <c r="Z97" i="7" s="1"/>
  <c r="AA729" i="7"/>
  <c r="AA738" i="7" s="1"/>
  <c r="AA710" i="7" s="1"/>
  <c r="AA97" i="7" s="1"/>
  <c r="AB729" i="7"/>
  <c r="AB738" i="7" s="1"/>
  <c r="AB710" i="7" s="1"/>
  <c r="AB97" i="7" s="1"/>
  <c r="AC729" i="7"/>
  <c r="AC738" i="7" s="1"/>
  <c r="AC710" i="7" s="1"/>
  <c r="AC97" i="7" s="1"/>
  <c r="AD729" i="7"/>
  <c r="AD738" i="7" s="1"/>
  <c r="AD710" i="7" s="1"/>
  <c r="AD97" i="7" s="1"/>
  <c r="AE729" i="7"/>
  <c r="AE738" i="7" s="1"/>
  <c r="AE710" i="7" s="1"/>
  <c r="AE97" i="7" s="1"/>
  <c r="AF729" i="7"/>
  <c r="AF738" i="7" s="1"/>
  <c r="AF710" i="7" s="1"/>
  <c r="AF97" i="7" s="1"/>
  <c r="W761" i="7"/>
  <c r="X761" i="7"/>
  <c r="Y761" i="7"/>
  <c r="Z761" i="7"/>
  <c r="AA761" i="7"/>
  <c r="AB761" i="7"/>
  <c r="AC761" i="7"/>
  <c r="AD761" i="7"/>
  <c r="AE761" i="7"/>
  <c r="AF761" i="7"/>
  <c r="AG761" i="7"/>
  <c r="AH761" i="7"/>
  <c r="AI761" i="7"/>
  <c r="AJ761" i="7"/>
  <c r="AK761" i="7"/>
  <c r="AL761" i="7"/>
  <c r="AM761" i="7"/>
  <c r="AN761" i="7"/>
  <c r="AO761" i="7"/>
  <c r="AP699" i="7"/>
  <c r="AP706" i="7" s="1"/>
  <c r="AP678" i="7" s="1"/>
  <c r="AP345" i="7"/>
  <c r="AP485" i="7"/>
  <c r="AP537" i="7"/>
  <c r="AP694" i="7"/>
  <c r="AP679" i="7" s="1"/>
  <c r="AP101" i="7" s="1"/>
  <c r="B684" i="7"/>
  <c r="AA698" i="7"/>
  <c r="AA706" i="7" s="1"/>
  <c r="AA678" i="7" s="1"/>
  <c r="AA96" i="7" s="1"/>
  <c r="AB698" i="7"/>
  <c r="AB706" i="7" s="1"/>
  <c r="AB678" i="7" s="1"/>
  <c r="AB96" i="7" s="1"/>
  <c r="AC698" i="7"/>
  <c r="AC706" i="7" s="1"/>
  <c r="AC678" i="7" s="1"/>
  <c r="AC96" i="7" s="1"/>
  <c r="AD698" i="7"/>
  <c r="AD706" i="7" s="1"/>
  <c r="AD678" i="7" s="1"/>
  <c r="AD96" i="7" s="1"/>
  <c r="AE698" i="7"/>
  <c r="AE706" i="7" s="1"/>
  <c r="AE678" i="7" s="1"/>
  <c r="AE96" i="7" s="1"/>
  <c r="AF698" i="7"/>
  <c r="AF706" i="7" s="1"/>
  <c r="AF678" i="7" s="1"/>
  <c r="AF96" i="7" s="1"/>
  <c r="AG698" i="7"/>
  <c r="AG706" i="7" s="1"/>
  <c r="AG678" i="7" s="1"/>
  <c r="AG96" i="7" s="1"/>
  <c r="AH698" i="7"/>
  <c r="AH706" i="7" s="1"/>
  <c r="AH678" i="7" s="1"/>
  <c r="AH96" i="7" s="1"/>
  <c r="AI698" i="7"/>
  <c r="AI706" i="7" s="1"/>
  <c r="AI678" i="7" s="1"/>
  <c r="AI96" i="7" s="1"/>
  <c r="AJ698" i="7"/>
  <c r="AJ706" i="7" s="1"/>
  <c r="AJ678" i="7" s="1"/>
  <c r="AJ96" i="7" s="1"/>
  <c r="AK698" i="7"/>
  <c r="AK706" i="7" s="1"/>
  <c r="AK678" i="7" s="1"/>
  <c r="AK96" i="7" s="1"/>
  <c r="AL698" i="7"/>
  <c r="AL706" i="7" s="1"/>
  <c r="AL678" i="7" s="1"/>
  <c r="AL96" i="7" s="1"/>
  <c r="AP726" i="7"/>
  <c r="AP711" i="7" s="1"/>
  <c r="AP102" i="7" s="1"/>
  <c r="B716" i="7"/>
  <c r="AP386" i="7" s="1"/>
  <c r="AG730" i="7"/>
  <c r="AG738" i="7" s="1"/>
  <c r="AG710" i="7" s="1"/>
  <c r="AG97" i="7" s="1"/>
  <c r="AH730" i="7"/>
  <c r="AH738" i="7" s="1"/>
  <c r="AH710" i="7" s="1"/>
  <c r="AH97" i="7" s="1"/>
  <c r="AI730" i="7"/>
  <c r="AI738" i="7" s="1"/>
  <c r="AI710" i="7" s="1"/>
  <c r="AI97" i="7" s="1"/>
  <c r="AJ730" i="7"/>
  <c r="AJ738" i="7" s="1"/>
  <c r="AJ710" i="7" s="1"/>
  <c r="AJ97" i="7" s="1"/>
  <c r="AK730" i="7"/>
  <c r="AK738" i="7" s="1"/>
  <c r="AK710" i="7" s="1"/>
  <c r="AK97" i="7" s="1"/>
  <c r="AL730" i="7"/>
  <c r="AL738" i="7" s="1"/>
  <c r="AL710" i="7" s="1"/>
  <c r="AL97" i="7" s="1"/>
  <c r="AM730" i="7"/>
  <c r="AM738" i="7" s="1"/>
  <c r="AM710" i="7" s="1"/>
  <c r="AM97" i="7" s="1"/>
  <c r="AN730" i="7"/>
  <c r="AN738" i="7" s="1"/>
  <c r="AN710" i="7" s="1"/>
  <c r="AN97" i="7" s="1"/>
  <c r="AO730" i="7"/>
  <c r="AO738" i="7" s="1"/>
  <c r="AO710" i="7" s="1"/>
  <c r="AO97" i="7" s="1"/>
  <c r="AP758" i="7"/>
  <c r="AP743" i="7" s="1"/>
  <c r="AP103" i="7" s="1"/>
  <c r="B748" i="7"/>
  <c r="AP730" i="7"/>
  <c r="C360" i="7" l="1"/>
  <c r="O696" i="7"/>
  <c r="O706" i="7" s="1"/>
  <c r="O678" i="7" s="1"/>
  <c r="O96" i="7" s="1"/>
  <c r="P696" i="7"/>
  <c r="P706" i="7" s="1"/>
  <c r="P678" i="7" s="1"/>
  <c r="P96" i="7" s="1"/>
  <c r="Q696" i="7"/>
  <c r="Q706" i="7" s="1"/>
  <c r="Q678" i="7" s="1"/>
  <c r="Q96" i="7" s="1"/>
  <c r="U96" i="7"/>
  <c r="V96" i="7"/>
  <c r="AP523" i="7"/>
  <c r="AP497" i="7"/>
  <c r="AP540" i="7"/>
  <c r="AP552" i="7" s="1"/>
  <c r="B552" i="7" s="1"/>
  <c r="AP415" i="7"/>
  <c r="AP519" i="7"/>
  <c r="AP531" i="7" s="1"/>
  <c r="B531" i="7" s="1"/>
  <c r="AP394" i="7"/>
  <c r="B394" i="7" s="1"/>
  <c r="AP542" i="7"/>
  <c r="AP554" i="7" s="1"/>
  <c r="B554" i="7" s="1"/>
  <c r="AP417" i="7"/>
  <c r="B417" i="7" s="1"/>
  <c r="AP514" i="7"/>
  <c r="AP526" i="7" s="1"/>
  <c r="B526" i="7" s="1"/>
  <c r="AP389" i="7"/>
  <c r="B389" i="7" s="1"/>
  <c r="C412" i="7"/>
  <c r="D412" i="7"/>
  <c r="D422" i="7" s="1"/>
  <c r="C549" i="7"/>
  <c r="F412" i="7"/>
  <c r="F422" i="7" s="1"/>
  <c r="D549" i="7"/>
  <c r="D559" i="7" s="1"/>
  <c r="E412" i="7"/>
  <c r="E422" i="7" s="1"/>
  <c r="G412" i="7"/>
  <c r="G422" i="7" s="1"/>
  <c r="E549" i="7"/>
  <c r="E559" i="7" s="1"/>
  <c r="F549" i="7"/>
  <c r="F559" i="7" s="1"/>
  <c r="H412" i="7"/>
  <c r="H422" i="7" s="1"/>
  <c r="G549" i="7"/>
  <c r="G559" i="7" s="1"/>
  <c r="H549" i="7"/>
  <c r="H559" i="7" s="1"/>
  <c r="I412" i="7"/>
  <c r="I422" i="7" s="1"/>
  <c r="I549" i="7"/>
  <c r="J412" i="7"/>
  <c r="J422" i="7" s="1"/>
  <c r="J549" i="7"/>
  <c r="J559" i="7" s="1"/>
  <c r="K412" i="7"/>
  <c r="K422" i="7" s="1"/>
  <c r="K549" i="7"/>
  <c r="K559" i="7" s="1"/>
  <c r="L412" i="7"/>
  <c r="L422" i="7" s="1"/>
  <c r="M412" i="7"/>
  <c r="M422" i="7" s="1"/>
  <c r="N412" i="7"/>
  <c r="N422" i="7" s="1"/>
  <c r="L549" i="7"/>
  <c r="L559" i="7" s="1"/>
  <c r="N549" i="7"/>
  <c r="N559" i="7" s="1"/>
  <c r="M549" i="7"/>
  <c r="M559" i="7" s="1"/>
  <c r="O412" i="7"/>
  <c r="O422" i="7" s="1"/>
  <c r="O549" i="7"/>
  <c r="O559" i="7" s="1"/>
  <c r="P412" i="7"/>
  <c r="P422" i="7" s="1"/>
  <c r="Q412" i="7"/>
  <c r="Q422" i="7" s="1"/>
  <c r="P549" i="7"/>
  <c r="P559" i="7" s="1"/>
  <c r="R412" i="7"/>
  <c r="R422" i="7" s="1"/>
  <c r="Q549" i="7"/>
  <c r="Q559" i="7" s="1"/>
  <c r="S412" i="7"/>
  <c r="S422" i="7" s="1"/>
  <c r="R549" i="7"/>
  <c r="R559" i="7" s="1"/>
  <c r="S549" i="7"/>
  <c r="S559" i="7" s="1"/>
  <c r="T412" i="7"/>
  <c r="T422" i="7" s="1"/>
  <c r="T549" i="7"/>
  <c r="T559" i="7" s="1"/>
  <c r="U412" i="7"/>
  <c r="U422" i="7" s="1"/>
  <c r="V412" i="7"/>
  <c r="V422" i="7" s="1"/>
  <c r="U549" i="7"/>
  <c r="U559" i="7" s="1"/>
  <c r="V549" i="7"/>
  <c r="V559" i="7" s="1"/>
  <c r="W412" i="7"/>
  <c r="W422" i="7" s="1"/>
  <c r="X412" i="7"/>
  <c r="X422" i="7" s="1"/>
  <c r="W549" i="7"/>
  <c r="W559" i="7" s="1"/>
  <c r="Y412" i="7"/>
  <c r="Y422" i="7" s="1"/>
  <c r="X549" i="7"/>
  <c r="X559" i="7" s="1"/>
  <c r="Y549" i="7"/>
  <c r="Y559" i="7" s="1"/>
  <c r="Z412" i="7"/>
  <c r="Z422" i="7" s="1"/>
  <c r="AA412" i="7"/>
  <c r="AA422" i="7" s="1"/>
  <c r="Z549" i="7"/>
  <c r="Z559" i="7" s="1"/>
  <c r="AA549" i="7"/>
  <c r="AA559" i="7" s="1"/>
  <c r="AB412" i="7"/>
  <c r="AB422" i="7" s="1"/>
  <c r="AC412" i="7"/>
  <c r="AC422" i="7" s="1"/>
  <c r="AB549" i="7"/>
  <c r="AB559" i="7" s="1"/>
  <c r="AD412" i="7"/>
  <c r="AC549" i="7"/>
  <c r="AC559" i="7" s="1"/>
  <c r="AD549" i="7"/>
  <c r="AD559" i="7" s="1"/>
  <c r="AE412" i="7"/>
  <c r="AE422" i="7" s="1"/>
  <c r="AF412" i="7"/>
  <c r="AF422" i="7" s="1"/>
  <c r="AE549" i="7"/>
  <c r="AE559" i="7" s="1"/>
  <c r="AG412" i="7"/>
  <c r="AG422" i="7" s="1"/>
  <c r="AF549" i="7"/>
  <c r="AF559" i="7" s="1"/>
  <c r="AH412" i="7"/>
  <c r="AH422" i="7" s="1"/>
  <c r="AG549" i="7"/>
  <c r="AG559" i="7" s="1"/>
  <c r="AH549" i="7"/>
  <c r="AH559" i="7" s="1"/>
  <c r="AI412" i="7"/>
  <c r="AI549" i="7"/>
  <c r="AI559" i="7" s="1"/>
  <c r="AJ412" i="7"/>
  <c r="AJ422" i="7" s="1"/>
  <c r="AJ549" i="7"/>
  <c r="AJ559" i="7" s="1"/>
  <c r="AK412" i="7"/>
  <c r="AK422" i="7" s="1"/>
  <c r="AL412" i="7"/>
  <c r="AL422" i="7" s="1"/>
  <c r="AK549" i="7"/>
  <c r="AK559" i="7" s="1"/>
  <c r="AL549" i="7"/>
  <c r="AL559" i="7" s="1"/>
  <c r="AM412" i="7"/>
  <c r="AM422" i="7" s="1"/>
  <c r="AM549" i="7"/>
  <c r="AM559" i="7" s="1"/>
  <c r="AN412" i="7"/>
  <c r="AN422" i="7" s="1"/>
  <c r="AN549" i="7"/>
  <c r="AN559" i="7" s="1"/>
  <c r="AO412" i="7"/>
  <c r="AO422" i="7" s="1"/>
  <c r="AP494" i="7"/>
  <c r="AP506" i="7" s="1"/>
  <c r="B506" i="7" s="1"/>
  <c r="AP369" i="7"/>
  <c r="B369" i="7" s="1"/>
  <c r="D360" i="7"/>
  <c r="C497" i="7"/>
  <c r="F360" i="7"/>
  <c r="F370" i="7" s="1"/>
  <c r="D497" i="7"/>
  <c r="D507" i="7" s="1"/>
  <c r="E360" i="7"/>
  <c r="E370" i="7" s="1"/>
  <c r="F497" i="7"/>
  <c r="F507" i="7" s="1"/>
  <c r="E497" i="7"/>
  <c r="E507" i="7" s="1"/>
  <c r="G360" i="7"/>
  <c r="G370" i="7" s="1"/>
  <c r="G497" i="7"/>
  <c r="G507" i="7" s="1"/>
  <c r="H360" i="7"/>
  <c r="H370" i="7" s="1"/>
  <c r="I360" i="7"/>
  <c r="I370" i="7" s="1"/>
  <c r="H497" i="7"/>
  <c r="H507" i="7" s="1"/>
  <c r="I497" i="7"/>
  <c r="I507" i="7" s="1"/>
  <c r="J360" i="7"/>
  <c r="J370" i="7" s="1"/>
  <c r="J497" i="7"/>
  <c r="J507" i="7" s="1"/>
  <c r="K360" i="7"/>
  <c r="K370" i="7" s="1"/>
  <c r="M360" i="7"/>
  <c r="M370" i="7" s="1"/>
  <c r="L360" i="7"/>
  <c r="L370" i="7" s="1"/>
  <c r="K497" i="7"/>
  <c r="K507" i="7" s="1"/>
  <c r="N360" i="7"/>
  <c r="N370" i="7" s="1"/>
  <c r="L497" i="7"/>
  <c r="L507" i="7" s="1"/>
  <c r="M497" i="7"/>
  <c r="M507" i="7" s="1"/>
  <c r="N497" i="7"/>
  <c r="N507" i="7" s="1"/>
  <c r="O360" i="7"/>
  <c r="O370" i="7" s="1"/>
  <c r="O497" i="7"/>
  <c r="O507" i="7" s="1"/>
  <c r="P360" i="7"/>
  <c r="P370" i="7" s="1"/>
  <c r="Q360" i="7"/>
  <c r="Q370" i="7" s="1"/>
  <c r="P497" i="7"/>
  <c r="P507" i="7" s="1"/>
  <c r="R360" i="7"/>
  <c r="R370" i="7" s="1"/>
  <c r="Q497" i="7"/>
  <c r="Q507" i="7" s="1"/>
  <c r="S360" i="7"/>
  <c r="S370" i="7" s="1"/>
  <c r="R497" i="7"/>
  <c r="R507" i="7" s="1"/>
  <c r="S497" i="7"/>
  <c r="S507" i="7" s="1"/>
  <c r="T360" i="7"/>
  <c r="T370" i="7" s="1"/>
  <c r="U360" i="7"/>
  <c r="U370" i="7" s="1"/>
  <c r="T497" i="7"/>
  <c r="T507" i="7" s="1"/>
  <c r="V360" i="7"/>
  <c r="V370" i="7" s="1"/>
  <c r="U497" i="7"/>
  <c r="U507" i="7" s="1"/>
  <c r="W360" i="7"/>
  <c r="W370" i="7" s="1"/>
  <c r="V497" i="7"/>
  <c r="V507" i="7" s="1"/>
  <c r="X360" i="7"/>
  <c r="X370" i="7" s="1"/>
  <c r="W497" i="7"/>
  <c r="W507" i="7" s="1"/>
  <c r="X497" i="7"/>
  <c r="X507" i="7" s="1"/>
  <c r="Y360" i="7"/>
  <c r="Y370" i="7" s="1"/>
  <c r="Z360" i="7"/>
  <c r="Z370" i="7" s="1"/>
  <c r="Y497" i="7"/>
  <c r="Y507" i="7" s="1"/>
  <c r="AA360" i="7"/>
  <c r="AA370" i="7" s="1"/>
  <c r="AB360" i="7"/>
  <c r="AB370" i="7" s="1"/>
  <c r="Z497" i="7"/>
  <c r="Z507" i="7" s="1"/>
  <c r="AC360" i="7"/>
  <c r="AC370" i="7" s="1"/>
  <c r="AA497" i="7"/>
  <c r="AA507" i="7" s="1"/>
  <c r="AB497" i="7"/>
  <c r="AB507" i="7" s="1"/>
  <c r="AC497" i="7"/>
  <c r="AC507" i="7" s="1"/>
  <c r="AD360" i="7"/>
  <c r="AD370" i="7" s="1"/>
  <c r="AE360" i="7"/>
  <c r="AE370" i="7" s="1"/>
  <c r="AD497" i="7"/>
  <c r="AD507" i="7" s="1"/>
  <c r="AF360" i="7"/>
  <c r="AF370" i="7" s="1"/>
  <c r="AE497" i="7"/>
  <c r="AE507" i="7" s="1"/>
  <c r="AG360" i="7"/>
  <c r="AG370" i="7" s="1"/>
  <c r="AF497" i="7"/>
  <c r="AF507" i="7" s="1"/>
  <c r="AG497" i="7"/>
  <c r="AG507" i="7" s="1"/>
  <c r="AH360" i="7"/>
  <c r="AH370" i="7" s="1"/>
  <c r="AI360" i="7"/>
  <c r="AI370" i="7" s="1"/>
  <c r="AH497" i="7"/>
  <c r="AH507" i="7" s="1"/>
  <c r="AJ360" i="7"/>
  <c r="AJ370" i="7" s="1"/>
  <c r="AI497" i="7"/>
  <c r="AI507" i="7" s="1"/>
  <c r="AJ497" i="7"/>
  <c r="AJ507" i="7" s="1"/>
  <c r="AK360" i="7"/>
  <c r="AK370" i="7" s="1"/>
  <c r="AK497" i="7"/>
  <c r="AK507" i="7" s="1"/>
  <c r="AL360" i="7"/>
  <c r="AL370" i="7" s="1"/>
  <c r="AL497" i="7"/>
  <c r="AL507" i="7" s="1"/>
  <c r="AM360" i="7"/>
  <c r="AM370" i="7" s="1"/>
  <c r="AM497" i="7"/>
  <c r="AM507" i="7" s="1"/>
  <c r="AN360" i="7"/>
  <c r="AN370" i="7" s="1"/>
  <c r="AO360" i="7"/>
  <c r="AO370" i="7" s="1"/>
  <c r="AN497" i="7"/>
  <c r="AN507" i="7" s="1"/>
  <c r="AM770" i="7"/>
  <c r="AM742" i="7" s="1"/>
  <c r="AM98" i="7" s="1"/>
  <c r="AP490" i="7"/>
  <c r="AP502" i="7" s="1"/>
  <c r="B502" i="7" s="1"/>
  <c r="AP365" i="7"/>
  <c r="B365" i="7" s="1"/>
  <c r="AP517" i="7"/>
  <c r="AP529" i="7" s="1"/>
  <c r="B529" i="7" s="1"/>
  <c r="AP392" i="7"/>
  <c r="AP543" i="7"/>
  <c r="AP555" i="7" s="1"/>
  <c r="B555" i="7" s="1"/>
  <c r="AP418" i="7"/>
  <c r="B418" i="7" s="1"/>
  <c r="AO549" i="7"/>
  <c r="AO559" i="7" s="1"/>
  <c r="AP412" i="7"/>
  <c r="AP487" i="7"/>
  <c r="AP499" i="7" s="1"/>
  <c r="B499" i="7" s="1"/>
  <c r="AP362" i="7"/>
  <c r="B362" i="7" s="1"/>
  <c r="C386" i="7"/>
  <c r="D386" i="7"/>
  <c r="D396" i="7" s="1"/>
  <c r="F386" i="7"/>
  <c r="F396" i="7" s="1"/>
  <c r="C523" i="7"/>
  <c r="D523" i="7"/>
  <c r="D533" i="7" s="1"/>
  <c r="E386" i="7"/>
  <c r="E396" i="7" s="1"/>
  <c r="F523" i="7"/>
  <c r="F533" i="7" s="1"/>
  <c r="G386" i="7"/>
  <c r="G396" i="7" s="1"/>
  <c r="H386" i="7"/>
  <c r="H396" i="7" s="1"/>
  <c r="G523" i="7"/>
  <c r="G533" i="7" s="1"/>
  <c r="E523" i="7"/>
  <c r="E533" i="7" s="1"/>
  <c r="I386" i="7"/>
  <c r="I396" i="7" s="1"/>
  <c r="H523" i="7"/>
  <c r="H533" i="7" s="1"/>
  <c r="I523" i="7"/>
  <c r="I533" i="7" s="1"/>
  <c r="J386" i="7"/>
  <c r="J396" i="7" s="1"/>
  <c r="K386" i="7"/>
  <c r="K396" i="7" s="1"/>
  <c r="J523" i="7"/>
  <c r="J533" i="7" s="1"/>
  <c r="K523" i="7"/>
  <c r="K533" i="7" s="1"/>
  <c r="L386" i="7"/>
  <c r="L396" i="7" s="1"/>
  <c r="L523" i="7"/>
  <c r="L533" i="7" s="1"/>
  <c r="M386" i="7"/>
  <c r="M396" i="7" s="1"/>
  <c r="M523" i="7"/>
  <c r="M533" i="7" s="1"/>
  <c r="N386" i="7"/>
  <c r="N396" i="7" s="1"/>
  <c r="N523" i="7"/>
  <c r="N533" i="7" s="1"/>
  <c r="O386" i="7"/>
  <c r="O396" i="7" s="1"/>
  <c r="P386" i="7"/>
  <c r="P396" i="7" s="1"/>
  <c r="O523" i="7"/>
  <c r="O533" i="7" s="1"/>
  <c r="P523" i="7"/>
  <c r="P533" i="7" s="1"/>
  <c r="Q386" i="7"/>
  <c r="Q396" i="7" s="1"/>
  <c r="R386" i="7"/>
  <c r="R396" i="7" s="1"/>
  <c r="Q523" i="7"/>
  <c r="Q533" i="7" s="1"/>
  <c r="S386" i="7"/>
  <c r="S396" i="7" s="1"/>
  <c r="R523" i="7"/>
  <c r="R533" i="7" s="1"/>
  <c r="S523" i="7"/>
  <c r="S533" i="7" s="1"/>
  <c r="T386" i="7"/>
  <c r="T396" i="7" s="1"/>
  <c r="T523" i="7"/>
  <c r="T533" i="7" s="1"/>
  <c r="U386" i="7"/>
  <c r="U396" i="7" s="1"/>
  <c r="U523" i="7"/>
  <c r="U533" i="7" s="1"/>
  <c r="V386" i="7"/>
  <c r="V396" i="7" s="1"/>
  <c r="V523" i="7"/>
  <c r="V533" i="7" s="1"/>
  <c r="W386" i="7"/>
  <c r="W396" i="7" s="1"/>
  <c r="W523" i="7"/>
  <c r="W533" i="7" s="1"/>
  <c r="X386" i="7"/>
  <c r="X396" i="7" s="1"/>
  <c r="X523" i="7"/>
  <c r="X533" i="7" s="1"/>
  <c r="Y386" i="7"/>
  <c r="Y396" i="7" s="1"/>
  <c r="Y523" i="7"/>
  <c r="Y533" i="7" s="1"/>
  <c r="Z386" i="7"/>
  <c r="Z396" i="7" s="1"/>
  <c r="Z523" i="7"/>
  <c r="Z533" i="7" s="1"/>
  <c r="AA386" i="7"/>
  <c r="AA396" i="7" s="1"/>
  <c r="AB386" i="7"/>
  <c r="AB396" i="7" s="1"/>
  <c r="AA523" i="7"/>
  <c r="AA533" i="7" s="1"/>
  <c r="AC386" i="7"/>
  <c r="AC396" i="7" s="1"/>
  <c r="AB523" i="7"/>
  <c r="AB533" i="7" s="1"/>
  <c r="AC523" i="7"/>
  <c r="AC533" i="7" s="1"/>
  <c r="AD386" i="7"/>
  <c r="AD396" i="7" s="1"/>
  <c r="AE386" i="7"/>
  <c r="AE396" i="7" s="1"/>
  <c r="AD523" i="7"/>
  <c r="AD533" i="7" s="1"/>
  <c r="AF386" i="7"/>
  <c r="AF396" i="7" s="1"/>
  <c r="AE523" i="7"/>
  <c r="AE533" i="7" s="1"/>
  <c r="AG386" i="7"/>
  <c r="AG396" i="7" s="1"/>
  <c r="AF523" i="7"/>
  <c r="AF533" i="7" s="1"/>
  <c r="AG523" i="7"/>
  <c r="AG533" i="7" s="1"/>
  <c r="AH386" i="7"/>
  <c r="AH396" i="7" s="1"/>
  <c r="AH523" i="7"/>
  <c r="AH533" i="7" s="1"/>
  <c r="AI386" i="7"/>
  <c r="AI396" i="7" s="1"/>
  <c r="AJ386" i="7"/>
  <c r="AJ396" i="7" s="1"/>
  <c r="AI523" i="7"/>
  <c r="AI533" i="7" s="1"/>
  <c r="AK386" i="7"/>
  <c r="AK396" i="7" s="1"/>
  <c r="AJ523" i="7"/>
  <c r="AJ533" i="7" s="1"/>
  <c r="AK523" i="7"/>
  <c r="AK533" i="7" s="1"/>
  <c r="AL386" i="7"/>
  <c r="AL396" i="7" s="1"/>
  <c r="AM386" i="7"/>
  <c r="AM396" i="7" s="1"/>
  <c r="AL523" i="7"/>
  <c r="AL533" i="7" s="1"/>
  <c r="AM523" i="7"/>
  <c r="AM533" i="7" s="1"/>
  <c r="AN386" i="7"/>
  <c r="AN396" i="7" s="1"/>
  <c r="AO386" i="7"/>
  <c r="AO396" i="7" s="1"/>
  <c r="AN523" i="7"/>
  <c r="AN533" i="7" s="1"/>
  <c r="AP549" i="7"/>
  <c r="AP546" i="7"/>
  <c r="AP558" i="7" s="1"/>
  <c r="B558" i="7" s="1"/>
  <c r="AP421" i="7"/>
  <c r="B421" i="7" s="1"/>
  <c r="AP545" i="7"/>
  <c r="AP557" i="7" s="1"/>
  <c r="B557" i="7" s="1"/>
  <c r="AP420" i="7"/>
  <c r="B420" i="7" s="1"/>
  <c r="AP360" i="7"/>
  <c r="AP538" i="7"/>
  <c r="AP550" i="7" s="1"/>
  <c r="B550" i="7" s="1"/>
  <c r="AP413" i="7"/>
  <c r="B413" i="7" s="1"/>
  <c r="AP489" i="7"/>
  <c r="AP501" i="7" s="1"/>
  <c r="B501" i="7" s="1"/>
  <c r="AP364" i="7"/>
  <c r="B364" i="7" s="1"/>
  <c r="AP541" i="7"/>
  <c r="AP553" i="7" s="1"/>
  <c r="B553" i="7" s="1"/>
  <c r="AP416" i="7"/>
  <c r="B416" i="7" s="1"/>
  <c r="AO523" i="7"/>
  <c r="AO533" i="7" s="1"/>
  <c r="AP492" i="7"/>
  <c r="AP504" i="7" s="1"/>
  <c r="B504" i="7" s="1"/>
  <c r="AP367" i="7"/>
  <c r="B367" i="7" s="1"/>
  <c r="AP513" i="7"/>
  <c r="AP525" i="7" s="1"/>
  <c r="B525" i="7" s="1"/>
  <c r="AP388" i="7"/>
  <c r="B388" i="7" s="1"/>
  <c r="AP491" i="7"/>
  <c r="AP503" i="7" s="1"/>
  <c r="B503" i="7" s="1"/>
  <c r="AP366" i="7"/>
  <c r="AO497" i="7"/>
  <c r="AO507" i="7" s="1"/>
  <c r="AO770" i="7"/>
  <c r="AO742" i="7" s="1"/>
  <c r="AO98" i="7" s="1"/>
  <c r="AO114" i="7"/>
  <c r="AO115" i="7" s="1"/>
  <c r="T96" i="7"/>
  <c r="S96" i="7"/>
  <c r="R96" i="7"/>
  <c r="AP518" i="7"/>
  <c r="AP530" i="7" s="1"/>
  <c r="B530" i="7" s="1"/>
  <c r="AP493" i="7"/>
  <c r="AP505" i="7" s="1"/>
  <c r="B505" i="7" s="1"/>
  <c r="AP488" i="7"/>
  <c r="AP770" i="7"/>
  <c r="AP742" i="7" s="1"/>
  <c r="AP98" i="7" s="1"/>
  <c r="AJ770" i="7"/>
  <c r="AJ742" i="7" s="1"/>
  <c r="AJ98" i="7" s="1"/>
  <c r="AH770" i="7"/>
  <c r="AH742" i="7" s="1"/>
  <c r="AH98" i="7" s="1"/>
  <c r="AK770" i="7"/>
  <c r="AK742" i="7" s="1"/>
  <c r="AK98" i="7" s="1"/>
  <c r="AL770" i="7"/>
  <c r="AL742" i="7" s="1"/>
  <c r="AL98" i="7" s="1"/>
  <c r="AG770" i="7"/>
  <c r="AG742" i="7" s="1"/>
  <c r="AG98" i="7" s="1"/>
  <c r="AA770" i="7"/>
  <c r="AA742" i="7" s="1"/>
  <c r="AA98" i="7" s="1"/>
  <c r="AN770" i="7"/>
  <c r="AN742" i="7" s="1"/>
  <c r="AN98" i="7" s="1"/>
  <c r="AI770" i="7"/>
  <c r="AI742" i="7" s="1"/>
  <c r="AI98" i="7" s="1"/>
  <c r="AP539" i="7"/>
  <c r="AF770" i="7"/>
  <c r="AF742" i="7" s="1"/>
  <c r="AF98" i="7" s="1"/>
  <c r="AC770" i="7"/>
  <c r="AC742" i="7" s="1"/>
  <c r="AC98" i="7" s="1"/>
  <c r="Z770" i="7"/>
  <c r="Z742" i="7" s="1"/>
  <c r="Z98" i="7" s="1"/>
  <c r="W770" i="7"/>
  <c r="W742" i="7" s="1"/>
  <c r="W98" i="7" s="1"/>
  <c r="AP516" i="7"/>
  <c r="AP512" i="7"/>
  <c r="AP544" i="7"/>
  <c r="X770" i="7"/>
  <c r="X742" i="7" s="1"/>
  <c r="X98" i="7" s="1"/>
  <c r="AD770" i="7"/>
  <c r="AD742" i="7" s="1"/>
  <c r="AD98" i="7" s="1"/>
  <c r="AP486" i="7"/>
  <c r="AB770" i="7"/>
  <c r="AB742" i="7" s="1"/>
  <c r="AB98" i="7" s="1"/>
  <c r="B415" i="7"/>
  <c r="AP515" i="7"/>
  <c r="AE770" i="7"/>
  <c r="AE742" i="7" s="1"/>
  <c r="AE98" i="7" s="1"/>
  <c r="Y770" i="7"/>
  <c r="Y742" i="7" s="1"/>
  <c r="Y98" i="7" s="1"/>
  <c r="B765" i="7"/>
  <c r="B697" i="7"/>
  <c r="B764" i="7"/>
  <c r="B769" i="7"/>
  <c r="B768" i="7"/>
  <c r="B762" i="7"/>
  <c r="B767" i="7"/>
  <c r="B763" i="7"/>
  <c r="B766" i="7"/>
  <c r="B761" i="7"/>
  <c r="B698" i="7"/>
  <c r="B729" i="7"/>
  <c r="B730" i="7"/>
  <c r="AP96" i="7"/>
  <c r="B699" i="7"/>
  <c r="D760" i="7"/>
  <c r="D770" i="7" s="1"/>
  <c r="D742" i="7" s="1"/>
  <c r="D98" i="7" s="1"/>
  <c r="C760" i="7"/>
  <c r="E760" i="7"/>
  <c r="E770" i="7" s="1"/>
  <c r="E742" i="7" s="1"/>
  <c r="E98" i="7" s="1"/>
  <c r="F760" i="7"/>
  <c r="F770" i="7" s="1"/>
  <c r="F742" i="7" s="1"/>
  <c r="F98" i="7" s="1"/>
  <c r="G760" i="7"/>
  <c r="G770" i="7" s="1"/>
  <c r="G742" i="7" s="1"/>
  <c r="G98" i="7" s="1"/>
  <c r="H760" i="7"/>
  <c r="H770" i="7" s="1"/>
  <c r="H742" i="7" s="1"/>
  <c r="H98" i="7" s="1"/>
  <c r="I760" i="7"/>
  <c r="I770" i="7" s="1"/>
  <c r="I742" i="7" s="1"/>
  <c r="I98" i="7" s="1"/>
  <c r="J760" i="7"/>
  <c r="J770" i="7" s="1"/>
  <c r="J742" i="7" s="1"/>
  <c r="J98" i="7" s="1"/>
  <c r="K760" i="7"/>
  <c r="K770" i="7" s="1"/>
  <c r="K742" i="7" s="1"/>
  <c r="K98" i="7" s="1"/>
  <c r="L760" i="7"/>
  <c r="L770" i="7" s="1"/>
  <c r="L742" i="7" s="1"/>
  <c r="L98" i="7" s="1"/>
  <c r="M760" i="7"/>
  <c r="M770" i="7" s="1"/>
  <c r="M742" i="7" s="1"/>
  <c r="M98" i="7" s="1"/>
  <c r="N760" i="7"/>
  <c r="N770" i="7" s="1"/>
  <c r="N742" i="7" s="1"/>
  <c r="N98" i="7" s="1"/>
  <c r="O760" i="7"/>
  <c r="O770" i="7" s="1"/>
  <c r="O742" i="7" s="1"/>
  <c r="O98" i="7" s="1"/>
  <c r="P760" i="7"/>
  <c r="P770" i="7" s="1"/>
  <c r="P742" i="7" s="1"/>
  <c r="P98" i="7" s="1"/>
  <c r="Q760" i="7"/>
  <c r="Q770" i="7" s="1"/>
  <c r="Q742" i="7" s="1"/>
  <c r="Q98" i="7" s="1"/>
  <c r="R760" i="7"/>
  <c r="R770" i="7" s="1"/>
  <c r="R742" i="7" s="1"/>
  <c r="R98" i="7" s="1"/>
  <c r="S760" i="7"/>
  <c r="S770" i="7" s="1"/>
  <c r="S742" i="7" s="1"/>
  <c r="S98" i="7" s="1"/>
  <c r="T760" i="7"/>
  <c r="T770" i="7" s="1"/>
  <c r="T742" i="7" s="1"/>
  <c r="T98" i="7" s="1"/>
  <c r="U760" i="7"/>
  <c r="U770" i="7" s="1"/>
  <c r="U742" i="7" s="1"/>
  <c r="U98" i="7" s="1"/>
  <c r="V760" i="7"/>
  <c r="V770" i="7" s="1"/>
  <c r="V742" i="7" s="1"/>
  <c r="V98" i="7" s="1"/>
  <c r="I559" i="7"/>
  <c r="AD422" i="7"/>
  <c r="AI422" i="7"/>
  <c r="AP738" i="7"/>
  <c r="AP710" i="7" s="1"/>
  <c r="AP97" i="7" s="1"/>
  <c r="B414" i="7"/>
  <c r="B368" i="7"/>
  <c r="AP104" i="7"/>
  <c r="B395" i="7"/>
  <c r="B532" i="7"/>
  <c r="B393" i="7"/>
  <c r="B387" i="7"/>
  <c r="D728" i="7"/>
  <c r="D738" i="7" s="1"/>
  <c r="D710" i="7" s="1"/>
  <c r="D97" i="7" s="1"/>
  <c r="C728" i="7"/>
  <c r="E728" i="7"/>
  <c r="E738" i="7" s="1"/>
  <c r="E710" i="7" s="1"/>
  <c r="E97" i="7" s="1"/>
  <c r="F728" i="7"/>
  <c r="F738" i="7" s="1"/>
  <c r="F710" i="7" s="1"/>
  <c r="F97" i="7" s="1"/>
  <c r="G728" i="7"/>
  <c r="G738" i="7" s="1"/>
  <c r="G710" i="7" s="1"/>
  <c r="G97" i="7" s="1"/>
  <c r="H728" i="7"/>
  <c r="H738" i="7" s="1"/>
  <c r="H710" i="7" s="1"/>
  <c r="H97" i="7" s="1"/>
  <c r="I728" i="7"/>
  <c r="I738" i="7" s="1"/>
  <c r="I710" i="7" s="1"/>
  <c r="I97" i="7" s="1"/>
  <c r="J728" i="7"/>
  <c r="J738" i="7" s="1"/>
  <c r="J710" i="7" s="1"/>
  <c r="J97" i="7" s="1"/>
  <c r="K728" i="7"/>
  <c r="K738" i="7" s="1"/>
  <c r="K710" i="7" s="1"/>
  <c r="K97" i="7" s="1"/>
  <c r="L728" i="7"/>
  <c r="L738" i="7" s="1"/>
  <c r="L710" i="7" s="1"/>
  <c r="L97" i="7" s="1"/>
  <c r="M728" i="7"/>
  <c r="M738" i="7" s="1"/>
  <c r="M710" i="7" s="1"/>
  <c r="N728" i="7"/>
  <c r="N738" i="7" s="1"/>
  <c r="N710" i="7" s="1"/>
  <c r="O728" i="7"/>
  <c r="O738" i="7" s="1"/>
  <c r="O710" i="7" s="1"/>
  <c r="P728" i="7"/>
  <c r="P738" i="7" s="1"/>
  <c r="P710" i="7" s="1"/>
  <c r="Q728" i="7"/>
  <c r="Q738" i="7" s="1"/>
  <c r="Q710" i="7" s="1"/>
  <c r="D696" i="7"/>
  <c r="D706" i="7" s="1"/>
  <c r="D678" i="7" s="1"/>
  <c r="C696" i="7"/>
  <c r="E696" i="7"/>
  <c r="E706" i="7" s="1"/>
  <c r="E678" i="7" s="1"/>
  <c r="F696" i="7"/>
  <c r="F706" i="7" s="1"/>
  <c r="F678" i="7" s="1"/>
  <c r="G696" i="7"/>
  <c r="G706" i="7" s="1"/>
  <c r="G678" i="7" s="1"/>
  <c r="H696" i="7"/>
  <c r="H706" i="7" s="1"/>
  <c r="H678" i="7" s="1"/>
  <c r="I696" i="7"/>
  <c r="I706" i="7" s="1"/>
  <c r="I678" i="7" s="1"/>
  <c r="J696" i="7"/>
  <c r="J706" i="7" s="1"/>
  <c r="J678" i="7" s="1"/>
  <c r="K696" i="7"/>
  <c r="K706" i="7" s="1"/>
  <c r="K678" i="7" s="1"/>
  <c r="L696" i="7"/>
  <c r="L706" i="7" s="1"/>
  <c r="L678" i="7" s="1"/>
  <c r="M696" i="7"/>
  <c r="M706" i="7" s="1"/>
  <c r="M678" i="7" s="1"/>
  <c r="N696" i="7"/>
  <c r="N706" i="7" s="1"/>
  <c r="N678" i="7" s="1"/>
  <c r="B390" i="7"/>
  <c r="B419" i="7"/>
  <c r="B391" i="7"/>
  <c r="B363" i="7"/>
  <c r="B361" i="7"/>
  <c r="D370" i="7" l="1"/>
  <c r="B360" i="7"/>
  <c r="AP527" i="7"/>
  <c r="B527" i="7" s="1"/>
  <c r="AP528" i="7"/>
  <c r="B528" i="7" s="1"/>
  <c r="AP500" i="7"/>
  <c r="B500" i="7" s="1"/>
  <c r="AP556" i="7"/>
  <c r="B556" i="7" s="1"/>
  <c r="AP551" i="7"/>
  <c r="B551" i="7" s="1"/>
  <c r="AP524" i="7"/>
  <c r="B524" i="7" s="1"/>
  <c r="AP498" i="7"/>
  <c r="B498" i="7" s="1"/>
  <c r="AP114" i="7"/>
  <c r="AP115" i="7" s="1"/>
  <c r="AP396" i="7"/>
  <c r="AP422" i="7"/>
  <c r="B392" i="7"/>
  <c r="AP370" i="7"/>
  <c r="B366" i="7"/>
  <c r="N96" i="7"/>
  <c r="M96" i="7"/>
  <c r="P97" i="7"/>
  <c r="N97" i="7"/>
  <c r="Q97" i="7"/>
  <c r="O97" i="7"/>
  <c r="M97" i="7"/>
  <c r="K96" i="7"/>
  <c r="I96" i="7"/>
  <c r="G96" i="7"/>
  <c r="E96" i="7"/>
  <c r="D96" i="7"/>
  <c r="L96" i="7"/>
  <c r="J96" i="7"/>
  <c r="H96" i="7"/>
  <c r="F96" i="7"/>
  <c r="B696" i="7"/>
  <c r="C706" i="7"/>
  <c r="C678" i="7" s="1"/>
  <c r="B523" i="7"/>
  <c r="C533" i="7"/>
  <c r="B728" i="7"/>
  <c r="C738" i="7"/>
  <c r="C710" i="7" s="1"/>
  <c r="C770" i="7"/>
  <c r="C742" i="7" s="1"/>
  <c r="B760" i="7"/>
  <c r="C370" i="7"/>
  <c r="C507" i="7"/>
  <c r="B497" i="7"/>
  <c r="C396" i="7"/>
  <c r="B386" i="7"/>
  <c r="C422" i="7"/>
  <c r="B412" i="7"/>
  <c r="B549" i="7"/>
  <c r="C559" i="7"/>
  <c r="AP533" i="7" l="1"/>
  <c r="AP507" i="7"/>
  <c r="AP559" i="7"/>
  <c r="C98" i="7"/>
  <c r="C744" i="7"/>
  <c r="D741" i="7" s="1"/>
  <c r="D744" i="7" s="1"/>
  <c r="E741" i="7" s="1"/>
  <c r="E744" i="7" s="1"/>
  <c r="F741" i="7" s="1"/>
  <c r="F744" i="7" s="1"/>
  <c r="G741" i="7" s="1"/>
  <c r="G744" i="7" s="1"/>
  <c r="H741" i="7" s="1"/>
  <c r="H744" i="7" s="1"/>
  <c r="I741" i="7" s="1"/>
  <c r="I744" i="7" s="1"/>
  <c r="J741" i="7" s="1"/>
  <c r="J744" i="7" s="1"/>
  <c r="K741" i="7" s="1"/>
  <c r="K744" i="7" s="1"/>
  <c r="L741" i="7" s="1"/>
  <c r="L744" i="7" s="1"/>
  <c r="M741" i="7" s="1"/>
  <c r="M744" i="7" s="1"/>
  <c r="N741" i="7" s="1"/>
  <c r="N744" i="7" s="1"/>
  <c r="O741" i="7" s="1"/>
  <c r="O744" i="7" s="1"/>
  <c r="P741" i="7" s="1"/>
  <c r="P744" i="7" s="1"/>
  <c r="Q741" i="7" s="1"/>
  <c r="Q744" i="7" s="1"/>
  <c r="R741" i="7" s="1"/>
  <c r="R744" i="7" s="1"/>
  <c r="S741" i="7" s="1"/>
  <c r="S744" i="7" s="1"/>
  <c r="T741" i="7" s="1"/>
  <c r="T744" i="7" s="1"/>
  <c r="U741" i="7" s="1"/>
  <c r="U744" i="7" s="1"/>
  <c r="V741" i="7" s="1"/>
  <c r="V744" i="7" s="1"/>
  <c r="W741" i="7" s="1"/>
  <c r="W744" i="7" s="1"/>
  <c r="X741" i="7" s="1"/>
  <c r="X744" i="7" s="1"/>
  <c r="Y741" i="7" s="1"/>
  <c r="Y744" i="7" s="1"/>
  <c r="Z741" i="7" s="1"/>
  <c r="Z744" i="7" s="1"/>
  <c r="AA741" i="7" s="1"/>
  <c r="AA744" i="7" s="1"/>
  <c r="AB741" i="7" s="1"/>
  <c r="AB744" i="7" s="1"/>
  <c r="AC741" i="7" s="1"/>
  <c r="AC744" i="7" s="1"/>
  <c r="AD741" i="7" s="1"/>
  <c r="AD744" i="7" s="1"/>
  <c r="AE741" i="7" s="1"/>
  <c r="AE744" i="7" s="1"/>
  <c r="AF741" i="7" s="1"/>
  <c r="AF744" i="7" s="1"/>
  <c r="AG741" i="7" s="1"/>
  <c r="AG744" i="7" s="1"/>
  <c r="AH741" i="7" s="1"/>
  <c r="AH744" i="7" s="1"/>
  <c r="AI741" i="7" s="1"/>
  <c r="AI744" i="7" s="1"/>
  <c r="AJ741" i="7" s="1"/>
  <c r="AJ744" i="7" s="1"/>
  <c r="AK741" i="7" s="1"/>
  <c r="AK744" i="7" s="1"/>
  <c r="AL741" i="7" s="1"/>
  <c r="AL744" i="7" s="1"/>
  <c r="AM741" i="7" s="1"/>
  <c r="AM744" i="7" s="1"/>
  <c r="AN741" i="7" s="1"/>
  <c r="AN744" i="7" s="1"/>
  <c r="AO741" i="7" s="1"/>
  <c r="AO744" i="7" s="1"/>
  <c r="AP741" i="7" s="1"/>
  <c r="AP744" i="7" s="1"/>
  <c r="C97" i="7"/>
  <c r="C712" i="7"/>
  <c r="D709" i="7" s="1"/>
  <c r="D712" i="7" s="1"/>
  <c r="E709" i="7" s="1"/>
  <c r="E712" i="7" s="1"/>
  <c r="F709" i="7" s="1"/>
  <c r="F712" i="7" s="1"/>
  <c r="G709" i="7" s="1"/>
  <c r="G712" i="7" s="1"/>
  <c r="H709" i="7" s="1"/>
  <c r="H712" i="7" s="1"/>
  <c r="I709" i="7" s="1"/>
  <c r="I712" i="7" s="1"/>
  <c r="J709" i="7" s="1"/>
  <c r="J712" i="7" s="1"/>
  <c r="K709" i="7" s="1"/>
  <c r="K712" i="7" s="1"/>
  <c r="L709" i="7" s="1"/>
  <c r="L712" i="7" s="1"/>
  <c r="M709" i="7" s="1"/>
  <c r="M712" i="7" s="1"/>
  <c r="N709" i="7" s="1"/>
  <c r="N712" i="7" s="1"/>
  <c r="O709" i="7" s="1"/>
  <c r="O712" i="7" s="1"/>
  <c r="P709" i="7" s="1"/>
  <c r="P712" i="7" s="1"/>
  <c r="Q709" i="7" s="1"/>
  <c r="Q712" i="7" s="1"/>
  <c r="R709" i="7" s="1"/>
  <c r="R712" i="7" s="1"/>
  <c r="S709" i="7" s="1"/>
  <c r="S712" i="7" s="1"/>
  <c r="T709" i="7" s="1"/>
  <c r="T712" i="7" s="1"/>
  <c r="U709" i="7" s="1"/>
  <c r="U712" i="7" s="1"/>
  <c r="V709" i="7" s="1"/>
  <c r="V712" i="7" s="1"/>
  <c r="W709" i="7" s="1"/>
  <c r="W712" i="7" s="1"/>
  <c r="X709" i="7" s="1"/>
  <c r="X712" i="7" s="1"/>
  <c r="Y709" i="7" s="1"/>
  <c r="Y712" i="7" s="1"/>
  <c r="Z709" i="7" s="1"/>
  <c r="Z712" i="7" s="1"/>
  <c r="AA709" i="7" s="1"/>
  <c r="AA712" i="7" s="1"/>
  <c r="AB709" i="7" s="1"/>
  <c r="AB712" i="7" s="1"/>
  <c r="AC709" i="7" s="1"/>
  <c r="AC712" i="7" s="1"/>
  <c r="AD709" i="7" s="1"/>
  <c r="AD712" i="7" s="1"/>
  <c r="AE709" i="7" s="1"/>
  <c r="AE712" i="7" s="1"/>
  <c r="AF709" i="7" s="1"/>
  <c r="AF712" i="7" s="1"/>
  <c r="AG709" i="7" s="1"/>
  <c r="AG712" i="7" s="1"/>
  <c r="AH709" i="7" s="1"/>
  <c r="AH712" i="7" s="1"/>
  <c r="AI709" i="7" s="1"/>
  <c r="AI712" i="7" s="1"/>
  <c r="AJ709" i="7" s="1"/>
  <c r="AJ712" i="7" s="1"/>
  <c r="AK709" i="7" s="1"/>
  <c r="AK712" i="7" s="1"/>
  <c r="AL709" i="7" s="1"/>
  <c r="AL712" i="7" s="1"/>
  <c r="AM709" i="7" s="1"/>
  <c r="AM712" i="7" s="1"/>
  <c r="AN709" i="7" s="1"/>
  <c r="AN712" i="7" s="1"/>
  <c r="AO709" i="7" s="1"/>
  <c r="AO712" i="7" s="1"/>
  <c r="AP709" i="7" s="1"/>
  <c r="AP712" i="7" s="1"/>
  <c r="C96" i="7"/>
  <c r="C680" i="7"/>
  <c r="D677" i="7" s="1"/>
  <c r="D680" i="7" s="1"/>
  <c r="E677" i="7" s="1"/>
  <c r="E680" i="7" s="1"/>
  <c r="F677" i="7" s="1"/>
  <c r="F680" i="7" s="1"/>
  <c r="G677" i="7" s="1"/>
  <c r="G680" i="7" s="1"/>
  <c r="H677" i="7" s="1"/>
  <c r="H680" i="7" s="1"/>
  <c r="I677" i="7" s="1"/>
  <c r="I680" i="7" s="1"/>
  <c r="J677" i="7" s="1"/>
  <c r="J680" i="7" s="1"/>
  <c r="K677" i="7" s="1"/>
  <c r="K680" i="7" s="1"/>
  <c r="L677" i="7" s="1"/>
  <c r="L680" i="7" s="1"/>
  <c r="M677" i="7" l="1"/>
  <c r="M680" i="7" s="1"/>
  <c r="N677" i="7" l="1"/>
  <c r="N680" i="7" s="1"/>
  <c r="AO626" i="7" l="1"/>
  <c r="AO26" i="7" s="1"/>
  <c r="AO622" i="7"/>
  <c r="AO587" i="7"/>
  <c r="AO130" i="7" s="1"/>
  <c r="AO618" i="7"/>
  <c r="AO614" i="7"/>
  <c r="AO581" i="7"/>
  <c r="AO129" i="7" s="1"/>
  <c r="AO43" i="7"/>
  <c r="AN622" i="7"/>
  <c r="AN587" i="7"/>
  <c r="AN130" i="7" s="1"/>
  <c r="AN626" i="7"/>
  <c r="AN26" i="7" s="1"/>
  <c r="AN614" i="7"/>
  <c r="AN581" i="7"/>
  <c r="AN129" i="7" s="1"/>
  <c r="AN618" i="7"/>
  <c r="AN43" i="7"/>
  <c r="AM618" i="7"/>
  <c r="AM614" i="7"/>
  <c r="AM581" i="7"/>
  <c r="AM129" i="7" s="1"/>
  <c r="AM43" i="7"/>
  <c r="AM626" i="7"/>
  <c r="AM26" i="7" s="1"/>
  <c r="AM622" i="7"/>
  <c r="AM587" i="7"/>
  <c r="AM130" i="7" s="1"/>
  <c r="AL622" i="7"/>
  <c r="AL587" i="7"/>
  <c r="AL130" i="7" s="1"/>
  <c r="AL626" i="7"/>
  <c r="AL26" i="7" s="1"/>
  <c r="AL614" i="7"/>
  <c r="AL581" i="7"/>
  <c r="AL129" i="7" s="1"/>
  <c r="AL618" i="7"/>
  <c r="AL43" i="7"/>
  <c r="AK626" i="7"/>
  <c r="AK26" i="7" s="1"/>
  <c r="AK622" i="7"/>
  <c r="AK618" i="7"/>
  <c r="AK614" i="7"/>
  <c r="AK581" i="7"/>
  <c r="AK129" i="7" s="1"/>
  <c r="AK43" i="7"/>
  <c r="AK587" i="7"/>
  <c r="AK130" i="7" s="1"/>
  <c r="AJ614" i="7"/>
  <c r="AJ581" i="7"/>
  <c r="AJ129" i="7" s="1"/>
  <c r="AJ618" i="7"/>
  <c r="AJ43" i="7"/>
  <c r="AJ622" i="7"/>
  <c r="AJ587" i="7"/>
  <c r="AJ130" i="7" s="1"/>
  <c r="AJ626" i="7"/>
  <c r="AJ26" i="7" s="1"/>
  <c r="AH614" i="7"/>
  <c r="AH581" i="7"/>
  <c r="AH129" i="7" s="1"/>
  <c r="AH618" i="7"/>
  <c r="AH43" i="7"/>
  <c r="AH622" i="7"/>
  <c r="AH587" i="7"/>
  <c r="AH130" i="7" s="1"/>
  <c r="AH626" i="7"/>
  <c r="AH26" i="7" s="1"/>
  <c r="AG618" i="7"/>
  <c r="AG614" i="7"/>
  <c r="AG581" i="7"/>
  <c r="AG129" i="7" s="1"/>
  <c r="AG43" i="7"/>
  <c r="AG626" i="7"/>
  <c r="AG26" i="7" s="1"/>
  <c r="AG622" i="7"/>
  <c r="AG587" i="7"/>
  <c r="AG130" i="7" s="1"/>
  <c r="AP622" i="7"/>
  <c r="AP587" i="7"/>
  <c r="AP130" i="7" s="1"/>
  <c r="AP626" i="7"/>
  <c r="AP26" i="7" s="1"/>
  <c r="AP614" i="7"/>
  <c r="AP581" i="7"/>
  <c r="AP129" i="7" s="1"/>
  <c r="AP618" i="7"/>
  <c r="AP43" i="7"/>
  <c r="AI618" i="7"/>
  <c r="AI581" i="7"/>
  <c r="AI129" i="7" s="1"/>
  <c r="AI626" i="7"/>
  <c r="AI26" i="7" s="1"/>
  <c r="AI622" i="7"/>
  <c r="AI587" i="7"/>
  <c r="AI130" i="7" s="1"/>
  <c r="AI614" i="7"/>
  <c r="AI43" i="7"/>
  <c r="C614" i="7"/>
  <c r="C43" i="7"/>
  <c r="C622" i="7"/>
  <c r="C618" i="7"/>
  <c r="C581" i="7"/>
  <c r="C129" i="7" s="1"/>
  <c r="C626" i="7"/>
  <c r="C26" i="7" s="1"/>
  <c r="C27" i="7" s="1"/>
  <c r="C29" i="7" s="1"/>
  <c r="C587" i="7"/>
  <c r="C130" i="7" s="1"/>
  <c r="G626" i="7"/>
  <c r="G26" i="7" s="1"/>
  <c r="G587" i="7"/>
  <c r="G130" i="7" s="1"/>
  <c r="G614" i="7"/>
  <c r="G43" i="7"/>
  <c r="G622" i="7"/>
  <c r="G618" i="7"/>
  <c r="G581" i="7"/>
  <c r="G129" i="7" s="1"/>
  <c r="K626" i="7"/>
  <c r="K26" i="7" s="1"/>
  <c r="K587" i="7"/>
  <c r="K130" i="7" s="1"/>
  <c r="K581" i="7"/>
  <c r="K129" i="7" s="1"/>
  <c r="K614" i="7"/>
  <c r="K622" i="7"/>
  <c r="K618" i="7"/>
  <c r="K43" i="7"/>
  <c r="O626" i="7"/>
  <c r="O26" i="7" s="1"/>
  <c r="O614" i="7"/>
  <c r="O43" i="7"/>
  <c r="O622" i="7"/>
  <c r="O618" i="7"/>
  <c r="O581" i="7"/>
  <c r="O129" i="7" s="1"/>
  <c r="O587" i="7"/>
  <c r="O130" i="7" s="1"/>
  <c r="S618" i="7"/>
  <c r="S581" i="7"/>
  <c r="S129" i="7" s="1"/>
  <c r="S626" i="7"/>
  <c r="S26" i="7" s="1"/>
  <c r="S587" i="7"/>
  <c r="S130" i="7" s="1"/>
  <c r="S614" i="7"/>
  <c r="S43" i="7"/>
  <c r="S622" i="7"/>
  <c r="W618" i="7"/>
  <c r="W581" i="7"/>
  <c r="W129" i="7" s="1"/>
  <c r="W626" i="7"/>
  <c r="W26" i="7" s="1"/>
  <c r="W587" i="7"/>
  <c r="W130" i="7" s="1"/>
  <c r="W614" i="7"/>
  <c r="W43" i="7"/>
  <c r="W622" i="7"/>
  <c r="AA618" i="7"/>
  <c r="AA581" i="7"/>
  <c r="AA129" i="7" s="1"/>
  <c r="AA626" i="7"/>
  <c r="AA26" i="7" s="1"/>
  <c r="AA587" i="7"/>
  <c r="AA130" i="7" s="1"/>
  <c r="AA614" i="7"/>
  <c r="AA43" i="7"/>
  <c r="AA622" i="7"/>
  <c r="AE626" i="7"/>
  <c r="AE26" i="7" s="1"/>
  <c r="AE587" i="7"/>
  <c r="AE130" i="7" s="1"/>
  <c r="AE614" i="7"/>
  <c r="AE43" i="7"/>
  <c r="AE622" i="7"/>
  <c r="AE618" i="7"/>
  <c r="AE581" i="7"/>
  <c r="AE129" i="7" s="1"/>
  <c r="F622" i="7"/>
  <c r="F626" i="7"/>
  <c r="F26" i="7" s="1"/>
  <c r="F581" i="7"/>
  <c r="F129" i="7" s="1"/>
  <c r="F43" i="7"/>
  <c r="F587" i="7"/>
  <c r="F130" i="7" s="1"/>
  <c r="F614" i="7"/>
  <c r="F618" i="7"/>
  <c r="J581" i="7"/>
  <c r="J129" i="7" s="1"/>
  <c r="J43" i="7"/>
  <c r="J587" i="7"/>
  <c r="J130" i="7" s="1"/>
  <c r="J614" i="7"/>
  <c r="J618" i="7"/>
  <c r="J622" i="7"/>
  <c r="J626" i="7"/>
  <c r="J26" i="7" s="1"/>
  <c r="N581" i="7"/>
  <c r="N129" i="7" s="1"/>
  <c r="N43" i="7"/>
  <c r="N587" i="7"/>
  <c r="N130" i="7" s="1"/>
  <c r="N614" i="7"/>
  <c r="N618" i="7"/>
  <c r="N622" i="7"/>
  <c r="N626" i="7"/>
  <c r="N26" i="7" s="1"/>
  <c r="R614" i="7"/>
  <c r="R618" i="7"/>
  <c r="R622" i="7"/>
  <c r="R626" i="7"/>
  <c r="R26" i="7" s="1"/>
  <c r="R581" i="7"/>
  <c r="R129" i="7" s="1"/>
  <c r="R43" i="7"/>
  <c r="R587" i="7"/>
  <c r="R130" i="7" s="1"/>
  <c r="V587" i="7"/>
  <c r="V130" i="7" s="1"/>
  <c r="V581" i="7"/>
  <c r="V129" i="7" s="1"/>
  <c r="V43" i="7"/>
  <c r="V622" i="7"/>
  <c r="V626" i="7"/>
  <c r="V26" i="7" s="1"/>
  <c r="V614" i="7"/>
  <c r="V618" i="7"/>
  <c r="Z587" i="7"/>
  <c r="Z130" i="7" s="1"/>
  <c r="Z614" i="7"/>
  <c r="Z618" i="7"/>
  <c r="Z626" i="7"/>
  <c r="Z26" i="7" s="1"/>
  <c r="Z622" i="7"/>
  <c r="Z581" i="7"/>
  <c r="Z129" i="7" s="1"/>
  <c r="Z43" i="7"/>
  <c r="AD581" i="7"/>
  <c r="AD129" i="7" s="1"/>
  <c r="AD43" i="7"/>
  <c r="AD587" i="7"/>
  <c r="AD130" i="7" s="1"/>
  <c r="AD614" i="7"/>
  <c r="AD618" i="7"/>
  <c r="AD622" i="7"/>
  <c r="AD626" i="7"/>
  <c r="AD26" i="7" s="1"/>
  <c r="E626" i="7"/>
  <c r="E26" i="7" s="1"/>
  <c r="E587" i="7"/>
  <c r="E130" i="7" s="1"/>
  <c r="E614" i="7"/>
  <c r="E43" i="7"/>
  <c r="E622" i="7"/>
  <c r="E618" i="7"/>
  <c r="E581" i="7"/>
  <c r="E129" i="7" s="1"/>
  <c r="I618" i="7"/>
  <c r="I581" i="7"/>
  <c r="I129" i="7" s="1"/>
  <c r="I626" i="7"/>
  <c r="I26" i="7" s="1"/>
  <c r="I587" i="7"/>
  <c r="I130" i="7" s="1"/>
  <c r="I614" i="7"/>
  <c r="I43" i="7"/>
  <c r="I622" i="7"/>
  <c r="M626" i="7"/>
  <c r="M26" i="7" s="1"/>
  <c r="M618" i="7"/>
  <c r="M581" i="7"/>
  <c r="M129" i="7" s="1"/>
  <c r="M622" i="7"/>
  <c r="M587" i="7"/>
  <c r="M130" i="7" s="1"/>
  <c r="M614" i="7"/>
  <c r="M43" i="7"/>
  <c r="Q626" i="7"/>
  <c r="Q26" i="7" s="1"/>
  <c r="Q587" i="7"/>
  <c r="Q130" i="7" s="1"/>
  <c r="Q614" i="7"/>
  <c r="Q43" i="7"/>
  <c r="Q622" i="7"/>
  <c r="Q618" i="7"/>
  <c r="Q581" i="7"/>
  <c r="Q129" i="7" s="1"/>
  <c r="U626" i="7"/>
  <c r="U26" i="7" s="1"/>
  <c r="U587" i="7"/>
  <c r="U130" i="7" s="1"/>
  <c r="U618" i="7"/>
  <c r="U43" i="7"/>
  <c r="U622" i="7"/>
  <c r="U581" i="7"/>
  <c r="U129" i="7" s="1"/>
  <c r="U614" i="7"/>
  <c r="Y626" i="7"/>
  <c r="Y26" i="7" s="1"/>
  <c r="Y587" i="7"/>
  <c r="Y130" i="7" s="1"/>
  <c r="Y614" i="7"/>
  <c r="Y43" i="7"/>
  <c r="Y622" i="7"/>
  <c r="Y618" i="7"/>
  <c r="Y581" i="7"/>
  <c r="Y129" i="7" s="1"/>
  <c r="AC626" i="7"/>
  <c r="AC26" i="7" s="1"/>
  <c r="AC587" i="7"/>
  <c r="AC130" i="7" s="1"/>
  <c r="AC614" i="7"/>
  <c r="AC43" i="7"/>
  <c r="AC622" i="7"/>
  <c r="AC618" i="7"/>
  <c r="AC581" i="7"/>
  <c r="AC129" i="7" s="1"/>
  <c r="D622" i="7"/>
  <c r="D626" i="7"/>
  <c r="D26" i="7" s="1"/>
  <c r="D581" i="7"/>
  <c r="D129" i="7" s="1"/>
  <c r="D43" i="7"/>
  <c r="D587" i="7"/>
  <c r="D130" i="7" s="1"/>
  <c r="D614" i="7"/>
  <c r="D618" i="7"/>
  <c r="H581" i="7"/>
  <c r="H129" i="7" s="1"/>
  <c r="H43" i="7"/>
  <c r="H614" i="7"/>
  <c r="H618" i="7"/>
  <c r="H622" i="7"/>
  <c r="H626" i="7"/>
  <c r="H26" i="7" s="1"/>
  <c r="H587" i="7"/>
  <c r="H130" i="7" s="1"/>
  <c r="L581" i="7"/>
  <c r="L129" i="7" s="1"/>
  <c r="L43" i="7"/>
  <c r="L587" i="7"/>
  <c r="L130" i="7" s="1"/>
  <c r="L614" i="7"/>
  <c r="L618" i="7"/>
  <c r="L622" i="7"/>
  <c r="L626" i="7"/>
  <c r="L26" i="7" s="1"/>
  <c r="P581" i="7"/>
  <c r="P129" i="7" s="1"/>
  <c r="P43" i="7"/>
  <c r="P587" i="7"/>
  <c r="P130" i="7" s="1"/>
  <c r="P614" i="7"/>
  <c r="P618" i="7"/>
  <c r="P622" i="7"/>
  <c r="P626" i="7"/>
  <c r="P26" i="7" s="1"/>
  <c r="T622" i="7"/>
  <c r="T626" i="7"/>
  <c r="T26" i="7" s="1"/>
  <c r="T618" i="7"/>
  <c r="T581" i="7"/>
  <c r="T129" i="7" s="1"/>
  <c r="T587" i="7"/>
  <c r="T130" i="7" s="1"/>
  <c r="T614" i="7"/>
  <c r="T43" i="7"/>
  <c r="X581" i="7"/>
  <c r="X129" i="7" s="1"/>
  <c r="X43" i="7"/>
  <c r="X587" i="7"/>
  <c r="X130" i="7" s="1"/>
  <c r="X614" i="7"/>
  <c r="X618" i="7"/>
  <c r="X622" i="7"/>
  <c r="X626" i="7"/>
  <c r="X26" i="7" s="1"/>
  <c r="AB622" i="7"/>
  <c r="AB626" i="7"/>
  <c r="AB26" i="7" s="1"/>
  <c r="AB618" i="7"/>
  <c r="AB614" i="7"/>
  <c r="AB587" i="7"/>
  <c r="AB130" i="7" s="1"/>
  <c r="AB581" i="7"/>
  <c r="AB129" i="7" s="1"/>
  <c r="AB43" i="7"/>
  <c r="AF581" i="7"/>
  <c r="AF129" i="7" s="1"/>
  <c r="AF43" i="7"/>
  <c r="AF587" i="7"/>
  <c r="AF130" i="7" s="1"/>
  <c r="AF614" i="7"/>
  <c r="AF618" i="7"/>
  <c r="AF622" i="7"/>
  <c r="AF626" i="7"/>
  <c r="AF26" i="7" s="1"/>
  <c r="O677" i="7"/>
  <c r="O680" i="7" s="1"/>
  <c r="L63" i="7" l="1"/>
  <c r="D63" i="7"/>
  <c r="Q63" i="7"/>
  <c r="M63" i="7"/>
  <c r="I63" i="7"/>
  <c r="Z63" i="7"/>
  <c r="S63" i="7"/>
  <c r="AL63" i="7"/>
  <c r="AL65" i="7" s="1"/>
  <c r="T63" i="7"/>
  <c r="P63" i="7"/>
  <c r="U63" i="7"/>
  <c r="E63" i="7"/>
  <c r="J63" i="7"/>
  <c r="AE63" i="7"/>
  <c r="AE65" i="7" s="1"/>
  <c r="W63" i="7"/>
  <c r="K63" i="7"/>
  <c r="AP63" i="7"/>
  <c r="AP65" i="7" s="1"/>
  <c r="AJ63" i="7"/>
  <c r="AJ65" i="7" s="1"/>
  <c r="AO63" i="7"/>
  <c r="AO65" i="7" s="1"/>
  <c r="AF63" i="7"/>
  <c r="AF65" i="7" s="1"/>
  <c r="Y63" i="7"/>
  <c r="AD63" i="7"/>
  <c r="AD65" i="7" s="1"/>
  <c r="N63" i="7"/>
  <c r="F63" i="7"/>
  <c r="AA63" i="7"/>
  <c r="O63" i="7"/>
  <c r="AI63" i="7"/>
  <c r="AI65" i="7" s="1"/>
  <c r="AH63" i="7"/>
  <c r="AH65" i="7" s="1"/>
  <c r="AK63" i="7"/>
  <c r="AK65" i="7" s="1"/>
  <c r="AM63" i="7"/>
  <c r="AM65" i="7" s="1"/>
  <c r="AN63" i="7"/>
  <c r="AN65" i="7" s="1"/>
  <c r="AB63" i="7"/>
  <c r="AB65" i="7" s="1"/>
  <c r="X63" i="7"/>
  <c r="H63" i="7"/>
  <c r="AC63" i="7"/>
  <c r="AC65" i="7" s="1"/>
  <c r="V63" i="7"/>
  <c r="R63" i="7"/>
  <c r="G63" i="7"/>
  <c r="AG63" i="7"/>
  <c r="AG65" i="7" s="1"/>
  <c r="C63" i="7"/>
  <c r="C65" i="7" s="1"/>
  <c r="AC671" i="7"/>
  <c r="Y671" i="7"/>
  <c r="Y672" i="7" s="1"/>
  <c r="Y95" i="7" s="1"/>
  <c r="U671" i="7"/>
  <c r="U672" i="7" s="1"/>
  <c r="U95" i="7" s="1"/>
  <c r="Q671" i="7"/>
  <c r="Q672" i="7" s="1"/>
  <c r="Q95" i="7" s="1"/>
  <c r="E671" i="7"/>
  <c r="E672" i="7" s="1"/>
  <c r="E95" i="7" s="1"/>
  <c r="Z671" i="7"/>
  <c r="Z672" i="7" s="1"/>
  <c r="Z95" i="7" s="1"/>
  <c r="V671" i="7"/>
  <c r="V672" i="7" s="1"/>
  <c r="V95" i="7" s="1"/>
  <c r="R671" i="7"/>
  <c r="R672" i="7" s="1"/>
  <c r="R95" i="7" s="1"/>
  <c r="AA671" i="7"/>
  <c r="AA673" i="7" s="1"/>
  <c r="AA95" i="7" s="1"/>
  <c r="W671" i="7"/>
  <c r="W672" i="7" s="1"/>
  <c r="W95" i="7" s="1"/>
  <c r="S671" i="7"/>
  <c r="S672" i="7" s="1"/>
  <c r="S95" i="7" s="1"/>
  <c r="AL671" i="7"/>
  <c r="X671" i="7"/>
  <c r="X672" i="7" s="1"/>
  <c r="X95" i="7" s="1"/>
  <c r="AF671" i="7"/>
  <c r="T671" i="7"/>
  <c r="T672" i="7" s="1"/>
  <c r="T95" i="7" s="1"/>
  <c r="D671" i="7"/>
  <c r="D672" i="7" s="1"/>
  <c r="D95" i="7" s="1"/>
  <c r="M671" i="7"/>
  <c r="M672" i="7" s="1"/>
  <c r="M95" i="7" s="1"/>
  <c r="AD671" i="7"/>
  <c r="N671" i="7"/>
  <c r="N672" i="7" s="1"/>
  <c r="N95" i="7" s="1"/>
  <c r="J671" i="7"/>
  <c r="J672" i="7" s="1"/>
  <c r="J95" i="7" s="1"/>
  <c r="AP671" i="7"/>
  <c r="AJ671" i="7"/>
  <c r="AO671" i="7"/>
  <c r="AB671" i="7"/>
  <c r="I671" i="7"/>
  <c r="I672" i="7" s="1"/>
  <c r="I95" i="7" s="1"/>
  <c r="AE671" i="7"/>
  <c r="O671" i="7"/>
  <c r="O672" i="7" s="1"/>
  <c r="O95" i="7" s="1"/>
  <c r="K671" i="7"/>
  <c r="K672" i="7" s="1"/>
  <c r="K95" i="7" s="1"/>
  <c r="G671" i="7"/>
  <c r="G672" i="7" s="1"/>
  <c r="G95" i="7" s="1"/>
  <c r="AI671" i="7"/>
  <c r="AH671" i="7"/>
  <c r="AK671" i="7"/>
  <c r="AM671" i="7"/>
  <c r="AN671" i="7"/>
  <c r="P671" i="7"/>
  <c r="P672" i="7" s="1"/>
  <c r="P95" i="7" s="1"/>
  <c r="L671" i="7"/>
  <c r="L672" i="7" s="1"/>
  <c r="L95" i="7" s="1"/>
  <c r="H671" i="7"/>
  <c r="H672" i="7" s="1"/>
  <c r="H95" i="7" s="1"/>
  <c r="F671" i="7"/>
  <c r="F672" i="7" s="1"/>
  <c r="F95" i="7" s="1"/>
  <c r="AG671" i="7"/>
  <c r="C671" i="7"/>
  <c r="C672" i="7" s="1"/>
  <c r="C95" i="7" s="1"/>
  <c r="C628" i="7"/>
  <c r="B149" i="7"/>
  <c r="AB279" i="7"/>
  <c r="AB239" i="7"/>
  <c r="AB74" i="7"/>
  <c r="X278" i="7"/>
  <c r="X238" i="7"/>
  <c r="X73" i="7"/>
  <c r="T276" i="7"/>
  <c r="T71" i="7"/>
  <c r="T236" i="7"/>
  <c r="T277" i="7"/>
  <c r="T237" i="7"/>
  <c r="T72" i="7"/>
  <c r="P276" i="7"/>
  <c r="P236" i="7"/>
  <c r="P71" i="7"/>
  <c r="L277" i="7"/>
  <c r="L237" i="7"/>
  <c r="L72" i="7"/>
  <c r="H276" i="7"/>
  <c r="H236" i="7"/>
  <c r="H71" i="7"/>
  <c r="D276" i="7"/>
  <c r="D71" i="7"/>
  <c r="D236" i="7"/>
  <c r="AC279" i="7"/>
  <c r="AC239" i="7"/>
  <c r="AC74" i="7"/>
  <c r="Y278" i="7"/>
  <c r="Y238" i="7"/>
  <c r="Y73" i="7"/>
  <c r="Q277" i="7"/>
  <c r="Q72" i="7"/>
  <c r="Q237" i="7"/>
  <c r="Q276" i="7"/>
  <c r="Q236" i="7"/>
  <c r="Q71" i="7"/>
  <c r="M279" i="7"/>
  <c r="M239" i="7"/>
  <c r="M74" i="7"/>
  <c r="I276" i="7"/>
  <c r="I236" i="7"/>
  <c r="I71" i="7"/>
  <c r="AD279" i="7"/>
  <c r="AD239" i="7"/>
  <c r="AD74" i="7"/>
  <c r="Z278" i="7"/>
  <c r="Z238" i="7"/>
  <c r="Z73" i="7"/>
  <c r="V279" i="7"/>
  <c r="V239" i="7"/>
  <c r="V74" i="7"/>
  <c r="R278" i="7"/>
  <c r="R73" i="7"/>
  <c r="R238" i="7"/>
  <c r="N279" i="7"/>
  <c r="N239" i="7"/>
  <c r="N74" i="7"/>
  <c r="J276" i="7"/>
  <c r="J71" i="7"/>
  <c r="J236" i="7"/>
  <c r="F279" i="7"/>
  <c r="F239" i="7"/>
  <c r="F74" i="7"/>
  <c r="AA278" i="7"/>
  <c r="AA238" i="7"/>
  <c r="AA73" i="7"/>
  <c r="W277" i="7"/>
  <c r="W237" i="7"/>
  <c r="W72" i="7"/>
  <c r="S276" i="7"/>
  <c r="S236" i="7"/>
  <c r="S71" i="7"/>
  <c r="O277" i="7"/>
  <c r="O237" i="7"/>
  <c r="O72" i="7"/>
  <c r="O276" i="7"/>
  <c r="O71" i="7"/>
  <c r="O236" i="7"/>
  <c r="K277" i="7"/>
  <c r="K72" i="7"/>
  <c r="K237" i="7"/>
  <c r="G279" i="7"/>
  <c r="G239" i="7"/>
  <c r="G74" i="7"/>
  <c r="AI279" i="7"/>
  <c r="AI239" i="7"/>
  <c r="AI74" i="7"/>
  <c r="AP277" i="7"/>
  <c r="AP237" i="7"/>
  <c r="AP72" i="7"/>
  <c r="AG279" i="7"/>
  <c r="AG239" i="7"/>
  <c r="AG74" i="7"/>
  <c r="AG277" i="7"/>
  <c r="AG237" i="7"/>
  <c r="AG72" i="7"/>
  <c r="AJ279" i="7"/>
  <c r="AJ239" i="7"/>
  <c r="AJ74" i="7"/>
  <c r="AJ277" i="7"/>
  <c r="AJ237" i="7"/>
  <c r="AJ72" i="7"/>
  <c r="AK277" i="7"/>
  <c r="AK72" i="7"/>
  <c r="AK237" i="7"/>
  <c r="AL278" i="7"/>
  <c r="AL238" i="7"/>
  <c r="AL73" i="7"/>
  <c r="AM278" i="7"/>
  <c r="AM238" i="7"/>
  <c r="AM73" i="7"/>
  <c r="AM276" i="7"/>
  <c r="AM236" i="7"/>
  <c r="AM71" i="7"/>
  <c r="AN279" i="7"/>
  <c r="AN239" i="7"/>
  <c r="AN74" i="7"/>
  <c r="AB276" i="7"/>
  <c r="AB236" i="7"/>
  <c r="AB71" i="7"/>
  <c r="P279" i="7"/>
  <c r="P239" i="7"/>
  <c r="P74" i="7"/>
  <c r="L276" i="7"/>
  <c r="L71" i="7"/>
  <c r="L236" i="7"/>
  <c r="H279" i="7"/>
  <c r="H239" i="7"/>
  <c r="H74" i="7"/>
  <c r="AC277" i="7"/>
  <c r="AC72" i="7"/>
  <c r="AC237" i="7"/>
  <c r="AC276" i="7"/>
  <c r="AC236" i="7"/>
  <c r="AC71" i="7"/>
  <c r="Y279" i="7"/>
  <c r="Y239" i="7"/>
  <c r="Y74" i="7"/>
  <c r="U278" i="7"/>
  <c r="U238" i="7"/>
  <c r="U73" i="7"/>
  <c r="M278" i="7"/>
  <c r="M238" i="7"/>
  <c r="M73" i="7"/>
  <c r="I277" i="7"/>
  <c r="I72" i="7"/>
  <c r="I237" i="7"/>
  <c r="E278" i="7"/>
  <c r="E238" i="7"/>
  <c r="E73" i="7"/>
  <c r="AD278" i="7"/>
  <c r="AD238" i="7"/>
  <c r="AD73" i="7"/>
  <c r="Z279" i="7"/>
  <c r="Z239" i="7"/>
  <c r="Z74" i="7"/>
  <c r="V278" i="7"/>
  <c r="V238" i="7"/>
  <c r="V73" i="7"/>
  <c r="R277" i="7"/>
  <c r="R237" i="7"/>
  <c r="R72" i="7"/>
  <c r="N278" i="7"/>
  <c r="N73" i="7"/>
  <c r="N238" i="7"/>
  <c r="J279" i="7"/>
  <c r="J239" i="7"/>
  <c r="J74" i="7"/>
  <c r="F277" i="7"/>
  <c r="F237" i="7"/>
  <c r="F72" i="7"/>
  <c r="F278" i="7"/>
  <c r="F73" i="7"/>
  <c r="F238" i="7"/>
  <c r="AE278" i="7"/>
  <c r="AE238" i="7"/>
  <c r="AE73" i="7"/>
  <c r="AA279" i="7"/>
  <c r="AA239" i="7"/>
  <c r="AA74" i="7"/>
  <c r="W278" i="7"/>
  <c r="W238" i="7"/>
  <c r="W73" i="7"/>
  <c r="S277" i="7"/>
  <c r="S237" i="7"/>
  <c r="S72" i="7"/>
  <c r="O278" i="7"/>
  <c r="O238" i="7"/>
  <c r="O73" i="7"/>
  <c r="G277" i="7"/>
  <c r="G237" i="7"/>
  <c r="G72" i="7"/>
  <c r="G276" i="7"/>
  <c r="G71" i="7"/>
  <c r="G236" i="7"/>
  <c r="C277" i="7"/>
  <c r="C237" i="7"/>
  <c r="C72" i="7"/>
  <c r="C276" i="7"/>
  <c r="C236" i="7"/>
  <c r="C71" i="7"/>
  <c r="AP279" i="7"/>
  <c r="AP239" i="7"/>
  <c r="AP74" i="7"/>
  <c r="AH278" i="7"/>
  <c r="AH238" i="7"/>
  <c r="AH73" i="7"/>
  <c r="AH276" i="7"/>
  <c r="AH71" i="7"/>
  <c r="AH236" i="7"/>
  <c r="AL277" i="7"/>
  <c r="AL237" i="7"/>
  <c r="AL72" i="7"/>
  <c r="AM279" i="7"/>
  <c r="AM239" i="7"/>
  <c r="AM74" i="7"/>
  <c r="AM277" i="7"/>
  <c r="AM237" i="7"/>
  <c r="AM72" i="7"/>
  <c r="AN276" i="7"/>
  <c r="AN236" i="7"/>
  <c r="AN71" i="7"/>
  <c r="AO276" i="7"/>
  <c r="AO236" i="7"/>
  <c r="AO71" i="7"/>
  <c r="X277" i="7"/>
  <c r="X237" i="7"/>
  <c r="X72" i="7"/>
  <c r="D279" i="7"/>
  <c r="D239" i="7"/>
  <c r="D74" i="7"/>
  <c r="Y277" i="7"/>
  <c r="Y72" i="7"/>
  <c r="Y237" i="7"/>
  <c r="Y276" i="7"/>
  <c r="Y236" i="7"/>
  <c r="Y71" i="7"/>
  <c r="U276" i="7"/>
  <c r="U236" i="7"/>
  <c r="U71" i="7"/>
  <c r="U279" i="7"/>
  <c r="U239" i="7"/>
  <c r="U74" i="7"/>
  <c r="Q278" i="7"/>
  <c r="Q238" i="7"/>
  <c r="Q73" i="7"/>
  <c r="M276" i="7"/>
  <c r="M236" i="7"/>
  <c r="M71" i="7"/>
  <c r="I278" i="7"/>
  <c r="I238" i="7"/>
  <c r="I73" i="7"/>
  <c r="E279" i="7"/>
  <c r="E239" i="7"/>
  <c r="E74" i="7"/>
  <c r="AD277" i="7"/>
  <c r="AD237" i="7"/>
  <c r="AD72" i="7"/>
  <c r="Z277" i="7"/>
  <c r="Z237" i="7"/>
  <c r="Z72" i="7"/>
  <c r="V277" i="7"/>
  <c r="V237" i="7"/>
  <c r="V72" i="7"/>
  <c r="R279" i="7"/>
  <c r="R239" i="7"/>
  <c r="R74" i="7"/>
  <c r="R276" i="7"/>
  <c r="R71" i="7"/>
  <c r="R236" i="7"/>
  <c r="N277" i="7"/>
  <c r="N237" i="7"/>
  <c r="N72" i="7"/>
  <c r="J278" i="7"/>
  <c r="J238" i="7"/>
  <c r="J73" i="7"/>
  <c r="F276" i="7"/>
  <c r="F71" i="7"/>
  <c r="F236" i="7"/>
  <c r="AE279" i="7"/>
  <c r="AE239" i="7"/>
  <c r="AE74" i="7"/>
  <c r="AA276" i="7"/>
  <c r="AA236" i="7"/>
  <c r="AA71" i="7"/>
  <c r="W279" i="7"/>
  <c r="W239" i="7"/>
  <c r="W74" i="7"/>
  <c r="S278" i="7"/>
  <c r="S238" i="7"/>
  <c r="S73" i="7"/>
  <c r="O279" i="7"/>
  <c r="O239" i="7"/>
  <c r="O74" i="7"/>
  <c r="K278" i="7"/>
  <c r="K238" i="7"/>
  <c r="K73" i="7"/>
  <c r="AI277" i="7"/>
  <c r="AI237" i="7"/>
  <c r="AI72" i="7"/>
  <c r="AP276" i="7"/>
  <c r="AP236" i="7"/>
  <c r="AP71" i="7"/>
  <c r="AJ278" i="7"/>
  <c r="AJ238" i="7"/>
  <c r="AJ73" i="7"/>
  <c r="AJ276" i="7"/>
  <c r="AJ71" i="7"/>
  <c r="AJ236" i="7"/>
  <c r="AK278" i="7"/>
  <c r="AK238" i="7"/>
  <c r="AK73" i="7"/>
  <c r="AL279" i="7"/>
  <c r="AL239" i="7"/>
  <c r="AL74" i="7"/>
  <c r="AN278" i="7"/>
  <c r="AN238" i="7"/>
  <c r="AN73" i="7"/>
  <c r="AO277" i="7"/>
  <c r="AO237" i="7"/>
  <c r="AO72" i="7"/>
  <c r="AO278" i="7"/>
  <c r="AO238" i="7"/>
  <c r="AO73" i="7"/>
  <c r="AF276" i="7"/>
  <c r="AF236" i="7"/>
  <c r="AF71" i="7"/>
  <c r="AF279" i="7"/>
  <c r="AF239" i="7"/>
  <c r="AF74" i="7"/>
  <c r="AB278" i="7"/>
  <c r="AB238" i="7"/>
  <c r="AB73" i="7"/>
  <c r="AF278" i="7"/>
  <c r="AF238" i="7"/>
  <c r="AF73" i="7"/>
  <c r="AB277" i="7"/>
  <c r="AB237" i="7"/>
  <c r="AB72" i="7"/>
  <c r="X276" i="7"/>
  <c r="X236" i="7"/>
  <c r="X71" i="7"/>
  <c r="T279" i="7"/>
  <c r="T239" i="7"/>
  <c r="T74" i="7"/>
  <c r="P278" i="7"/>
  <c r="P238" i="7"/>
  <c r="P73" i="7"/>
  <c r="L279" i="7"/>
  <c r="L239" i="7"/>
  <c r="L74" i="7"/>
  <c r="H278" i="7"/>
  <c r="H238" i="7"/>
  <c r="H73" i="7"/>
  <c r="AF277" i="7"/>
  <c r="AF237" i="7"/>
  <c r="AF72" i="7"/>
  <c r="X279" i="7"/>
  <c r="X239" i="7"/>
  <c r="X74" i="7"/>
  <c r="T278" i="7"/>
  <c r="T238" i="7"/>
  <c r="T73" i="7"/>
  <c r="P277" i="7"/>
  <c r="P237" i="7"/>
  <c r="P72" i="7"/>
  <c r="L278" i="7"/>
  <c r="L238" i="7"/>
  <c r="L73" i="7"/>
  <c r="H277" i="7"/>
  <c r="H237" i="7"/>
  <c r="H72" i="7"/>
  <c r="D277" i="7"/>
  <c r="D237" i="7"/>
  <c r="D72" i="7"/>
  <c r="D278" i="7"/>
  <c r="D238" i="7"/>
  <c r="D73" i="7"/>
  <c r="AC278" i="7"/>
  <c r="AC238" i="7"/>
  <c r="AC73" i="7"/>
  <c r="U277" i="7"/>
  <c r="U237" i="7"/>
  <c r="U72" i="7"/>
  <c r="Q279" i="7"/>
  <c r="Q239" i="7"/>
  <c r="Q74" i="7"/>
  <c r="M277" i="7"/>
  <c r="M237" i="7"/>
  <c r="M72" i="7"/>
  <c r="I279" i="7"/>
  <c r="I239" i="7"/>
  <c r="I74" i="7"/>
  <c r="E277" i="7"/>
  <c r="E237" i="7"/>
  <c r="E72" i="7"/>
  <c r="E276" i="7"/>
  <c r="E236" i="7"/>
  <c r="E71" i="7"/>
  <c r="AD276" i="7"/>
  <c r="AD236" i="7"/>
  <c r="AD71" i="7"/>
  <c r="Z276" i="7"/>
  <c r="Z236" i="7"/>
  <c r="Z71" i="7"/>
  <c r="V276" i="7"/>
  <c r="V236" i="7"/>
  <c r="V71" i="7"/>
  <c r="N276" i="7"/>
  <c r="N71" i="7"/>
  <c r="N236" i="7"/>
  <c r="J277" i="7"/>
  <c r="J237" i="7"/>
  <c r="J72" i="7"/>
  <c r="AE277" i="7"/>
  <c r="AE237" i="7"/>
  <c r="AE72" i="7"/>
  <c r="AE276" i="7"/>
  <c r="AE236" i="7"/>
  <c r="AE71" i="7"/>
  <c r="AA277" i="7"/>
  <c r="AA72" i="7"/>
  <c r="AA237" i="7"/>
  <c r="W276" i="7"/>
  <c r="W236" i="7"/>
  <c r="W71" i="7"/>
  <c r="S279" i="7"/>
  <c r="S239" i="7"/>
  <c r="S74" i="7"/>
  <c r="K276" i="7"/>
  <c r="K71" i="7"/>
  <c r="K236" i="7"/>
  <c r="K279" i="7"/>
  <c r="K239" i="7"/>
  <c r="K74" i="7"/>
  <c r="G278" i="7"/>
  <c r="G238" i="7"/>
  <c r="G73" i="7"/>
  <c r="C279" i="7"/>
  <c r="C74" i="7"/>
  <c r="C239" i="7"/>
  <c r="C278" i="7"/>
  <c r="C73" i="7"/>
  <c r="C238" i="7"/>
  <c r="AI276" i="7"/>
  <c r="AI236" i="7"/>
  <c r="AI71" i="7"/>
  <c r="AI278" i="7"/>
  <c r="AI238" i="7"/>
  <c r="AI73" i="7"/>
  <c r="AP278" i="7"/>
  <c r="AP238" i="7"/>
  <c r="AP73" i="7"/>
  <c r="AG278" i="7"/>
  <c r="AG238" i="7"/>
  <c r="AG73" i="7"/>
  <c r="AG276" i="7"/>
  <c r="AG236" i="7"/>
  <c r="AG71" i="7"/>
  <c r="AH279" i="7"/>
  <c r="AH239" i="7"/>
  <c r="AH74" i="7"/>
  <c r="AH277" i="7"/>
  <c r="AH237" i="7"/>
  <c r="AH72" i="7"/>
  <c r="AK276" i="7"/>
  <c r="AK236" i="7"/>
  <c r="AK71" i="7"/>
  <c r="AK279" i="7"/>
  <c r="AK239" i="7"/>
  <c r="AK74" i="7"/>
  <c r="AL276" i="7"/>
  <c r="AL236" i="7"/>
  <c r="AL71" i="7"/>
  <c r="AN277" i="7"/>
  <c r="AN237" i="7"/>
  <c r="AN72" i="7"/>
  <c r="AO279" i="7"/>
  <c r="AO239" i="7"/>
  <c r="AO74" i="7"/>
  <c r="AI27" i="7"/>
  <c r="AI628" i="7"/>
  <c r="AI254" i="7"/>
  <c r="AI131" i="7"/>
  <c r="AI199" i="7" s="1"/>
  <c r="AP254" i="7"/>
  <c r="AP131" i="7"/>
  <c r="AP199" i="7" s="1"/>
  <c r="AG27" i="7"/>
  <c r="AG628" i="7"/>
  <c r="AH27" i="7"/>
  <c r="AH628" i="7"/>
  <c r="AJ27" i="7"/>
  <c r="AJ628" i="7"/>
  <c r="AK254" i="7"/>
  <c r="AK131" i="7"/>
  <c r="AK199" i="7" s="1"/>
  <c r="AL254" i="7"/>
  <c r="AL131" i="7"/>
  <c r="AL199" i="7" s="1"/>
  <c r="AM27" i="7"/>
  <c r="AM628" i="7"/>
  <c r="AN254" i="7"/>
  <c r="AN131" i="7"/>
  <c r="AN199" i="7" s="1"/>
  <c r="AO254" i="7"/>
  <c r="AO131" i="7"/>
  <c r="AO199" i="7" s="1"/>
  <c r="AP27" i="7"/>
  <c r="AP628" i="7"/>
  <c r="AG254" i="7"/>
  <c r="AG131" i="7"/>
  <c r="AG199" i="7" s="1"/>
  <c r="AH254" i="7"/>
  <c r="AH131" i="7"/>
  <c r="AH199" i="7" s="1"/>
  <c r="AJ254" i="7"/>
  <c r="AJ131" i="7"/>
  <c r="AJ199" i="7" s="1"/>
  <c r="AK27" i="7"/>
  <c r="AK628" i="7"/>
  <c r="AL27" i="7"/>
  <c r="AL628" i="7"/>
  <c r="AM254" i="7"/>
  <c r="AM131" i="7"/>
  <c r="AM199" i="7" s="1"/>
  <c r="AN27" i="7"/>
  <c r="AN628" i="7"/>
  <c r="AO27" i="7"/>
  <c r="AO628" i="7"/>
  <c r="AB27" i="7"/>
  <c r="AB628" i="7"/>
  <c r="T254" i="7"/>
  <c r="T131" i="7"/>
  <c r="T199" i="7" s="1"/>
  <c r="L27" i="7"/>
  <c r="L29" i="7" s="1"/>
  <c r="L628" i="7"/>
  <c r="L254" i="7"/>
  <c r="L131" i="7"/>
  <c r="L199" i="7" s="1"/>
  <c r="AC27" i="7"/>
  <c r="AC628" i="7"/>
  <c r="Y254" i="7"/>
  <c r="Y131" i="7"/>
  <c r="Y199" i="7" s="1"/>
  <c r="U254" i="7"/>
  <c r="U131" i="7"/>
  <c r="U199" i="7" s="1"/>
  <c r="Q254" i="7"/>
  <c r="Q131" i="7"/>
  <c r="Q199" i="7" s="1"/>
  <c r="E27" i="7"/>
  <c r="E29" i="7" s="1"/>
  <c r="E628" i="7"/>
  <c r="Z254" i="7"/>
  <c r="Z131" i="7"/>
  <c r="Z199" i="7" s="1"/>
  <c r="R27" i="7"/>
  <c r="R29" i="7" s="1"/>
  <c r="R628" i="7"/>
  <c r="J27" i="7"/>
  <c r="J29" i="7" s="1"/>
  <c r="J628" i="7"/>
  <c r="J254" i="7"/>
  <c r="J131" i="7"/>
  <c r="J199" i="7" s="1"/>
  <c r="F27" i="7"/>
  <c r="F29" i="7" s="1"/>
  <c r="F628" i="7"/>
  <c r="F254" i="7"/>
  <c r="F131" i="7"/>
  <c r="F199" i="7" s="1"/>
  <c r="AE27" i="7"/>
  <c r="AE628" i="7"/>
  <c r="W27" i="7"/>
  <c r="W29" i="7" s="1"/>
  <c r="W628" i="7"/>
  <c r="W254" i="7"/>
  <c r="W131" i="7"/>
  <c r="W199" i="7" s="1"/>
  <c r="O254" i="7"/>
  <c r="O131" i="7"/>
  <c r="O199" i="7" s="1"/>
  <c r="K27" i="7"/>
  <c r="K29" i="7" s="1"/>
  <c r="K628" i="7"/>
  <c r="G27" i="7"/>
  <c r="G29" i="7" s="1"/>
  <c r="G628" i="7"/>
  <c r="AF27" i="7"/>
  <c r="AF628" i="7"/>
  <c r="AF254" i="7"/>
  <c r="AF131" i="7"/>
  <c r="AF199" i="7" s="1"/>
  <c r="AB254" i="7"/>
  <c r="AB131" i="7"/>
  <c r="AB199" i="7" s="1"/>
  <c r="X27" i="7"/>
  <c r="X29" i="7" s="1"/>
  <c r="X628" i="7"/>
  <c r="X254" i="7"/>
  <c r="X131" i="7"/>
  <c r="X199" i="7" s="1"/>
  <c r="T27" i="7"/>
  <c r="T29" i="7" s="1"/>
  <c r="T628" i="7"/>
  <c r="P27" i="7"/>
  <c r="P29" i="7" s="1"/>
  <c r="P628" i="7"/>
  <c r="P254" i="7"/>
  <c r="P131" i="7"/>
  <c r="P199" i="7" s="1"/>
  <c r="H27" i="7"/>
  <c r="H29" i="7" s="1"/>
  <c r="H628" i="7"/>
  <c r="H254" i="7"/>
  <c r="H131" i="7"/>
  <c r="H199" i="7" s="1"/>
  <c r="D27" i="7"/>
  <c r="D29" i="7" s="1"/>
  <c r="D628" i="7"/>
  <c r="D254" i="7"/>
  <c r="D131" i="7"/>
  <c r="D199" i="7" s="1"/>
  <c r="AC254" i="7"/>
  <c r="AC131" i="7"/>
  <c r="AC199" i="7" s="1"/>
  <c r="Y27" i="7"/>
  <c r="Y29" i="7" s="1"/>
  <c r="Y628" i="7"/>
  <c r="U27" i="7"/>
  <c r="U29" i="7" s="1"/>
  <c r="U628" i="7"/>
  <c r="Q27" i="7"/>
  <c r="Q29" i="7" s="1"/>
  <c r="Q628" i="7"/>
  <c r="M27" i="7"/>
  <c r="M29" i="7" s="1"/>
  <c r="M628" i="7"/>
  <c r="M254" i="7"/>
  <c r="M131" i="7"/>
  <c r="M199" i="7" s="1"/>
  <c r="I27" i="7"/>
  <c r="I29" i="7" s="1"/>
  <c r="I628" i="7"/>
  <c r="I254" i="7"/>
  <c r="I131" i="7"/>
  <c r="I199" i="7" s="1"/>
  <c r="E254" i="7"/>
  <c r="E131" i="7"/>
  <c r="E199" i="7" s="1"/>
  <c r="AD27" i="7"/>
  <c r="AD628" i="7"/>
  <c r="AD254" i="7"/>
  <c r="AD131" i="7"/>
  <c r="AD199" i="7" s="1"/>
  <c r="Z27" i="7"/>
  <c r="Z29" i="7" s="1"/>
  <c r="Z628" i="7"/>
  <c r="V27" i="7"/>
  <c r="V29" i="7" s="1"/>
  <c r="V628" i="7"/>
  <c r="V254" i="7"/>
  <c r="V131" i="7"/>
  <c r="V199" i="7" s="1"/>
  <c r="R254" i="7"/>
  <c r="R131" i="7"/>
  <c r="R199" i="7" s="1"/>
  <c r="N27" i="7"/>
  <c r="N29" i="7" s="1"/>
  <c r="N628" i="7"/>
  <c r="N254" i="7"/>
  <c r="N131" i="7"/>
  <c r="N199" i="7" s="1"/>
  <c r="AE254" i="7"/>
  <c r="AE131" i="7"/>
  <c r="AE199" i="7" s="1"/>
  <c r="AA27" i="7"/>
  <c r="AA29" i="7" s="1"/>
  <c r="AA628" i="7"/>
  <c r="AA254" i="7"/>
  <c r="AA131" i="7"/>
  <c r="AA199" i="7" s="1"/>
  <c r="S27" i="7"/>
  <c r="S29" i="7" s="1"/>
  <c r="S628" i="7"/>
  <c r="S254" i="7"/>
  <c r="S131" i="7"/>
  <c r="S199" i="7" s="1"/>
  <c r="O27" i="7"/>
  <c r="O29" i="7" s="1"/>
  <c r="O628" i="7"/>
  <c r="K254" i="7"/>
  <c r="K131" i="7"/>
  <c r="K199" i="7" s="1"/>
  <c r="G254" i="7"/>
  <c r="G131" i="7"/>
  <c r="G199" i="7" s="1"/>
  <c r="C254" i="7"/>
  <c r="C131" i="7"/>
  <c r="C199" i="7" s="1"/>
  <c r="P677" i="7"/>
  <c r="P680" i="7" s="1"/>
  <c r="V65" i="7" l="1"/>
  <c r="F65" i="7"/>
  <c r="K65" i="7"/>
  <c r="E65" i="7"/>
  <c r="M65" i="7"/>
  <c r="N65" i="7"/>
  <c r="W65" i="7"/>
  <c r="U65" i="7"/>
  <c r="S65" i="7"/>
  <c r="Q65" i="7"/>
  <c r="G65" i="7"/>
  <c r="H65" i="7"/>
  <c r="O65" i="7"/>
  <c r="P65" i="7"/>
  <c r="Z65" i="7"/>
  <c r="D65" i="7"/>
  <c r="R65" i="7"/>
  <c r="X65" i="7"/>
  <c r="AA65" i="7"/>
  <c r="Y65" i="7"/>
  <c r="J65" i="7"/>
  <c r="T65" i="7"/>
  <c r="I65" i="7"/>
  <c r="L65" i="7"/>
  <c r="B153" i="7"/>
  <c r="V280" i="7"/>
  <c r="V281" i="7" s="1"/>
  <c r="Z280" i="7"/>
  <c r="Z281" i="7" s="1"/>
  <c r="C240" i="7"/>
  <c r="F280" i="7"/>
  <c r="F281" i="7" s="1"/>
  <c r="AJ280" i="7"/>
  <c r="AJ281" i="7" s="1"/>
  <c r="Y280" i="7"/>
  <c r="Y281" i="7" s="1"/>
  <c r="AA280" i="7"/>
  <c r="AA281" i="7" s="1"/>
  <c r="AK280" i="7"/>
  <c r="AK281" i="7" s="1"/>
  <c r="K280" i="7"/>
  <c r="K281" i="7" s="1"/>
  <c r="N280" i="7"/>
  <c r="N281" i="7" s="1"/>
  <c r="AL280" i="7"/>
  <c r="AL281" i="7" s="1"/>
  <c r="W280" i="7"/>
  <c r="W281" i="7" s="1"/>
  <c r="AD280" i="7"/>
  <c r="AD281" i="7" s="1"/>
  <c r="X280" i="7"/>
  <c r="X281" i="7" s="1"/>
  <c r="R280" i="7"/>
  <c r="R281" i="7" s="1"/>
  <c r="AN280" i="7"/>
  <c r="AN281" i="7" s="1"/>
  <c r="AH280" i="7"/>
  <c r="AH281" i="7" s="1"/>
  <c r="L280" i="7"/>
  <c r="L281" i="7" s="1"/>
  <c r="AM280" i="7"/>
  <c r="AM281" i="7" s="1"/>
  <c r="O280" i="7"/>
  <c r="O281" i="7" s="1"/>
  <c r="I280" i="7"/>
  <c r="I281" i="7" s="1"/>
  <c r="M280" i="7"/>
  <c r="M281" i="7" s="1"/>
  <c r="AO280" i="7"/>
  <c r="AO281" i="7" s="1"/>
  <c r="H280" i="7"/>
  <c r="H281" i="7" s="1"/>
  <c r="T280" i="7"/>
  <c r="T281" i="7" s="1"/>
  <c r="AE280" i="7"/>
  <c r="AE281" i="7" s="1"/>
  <c r="U280" i="7"/>
  <c r="U281" i="7" s="1"/>
  <c r="AB280" i="7"/>
  <c r="AB281" i="7" s="1"/>
  <c r="S280" i="7"/>
  <c r="S281" i="7" s="1"/>
  <c r="J280" i="7"/>
  <c r="J281" i="7" s="1"/>
  <c r="Q280" i="7"/>
  <c r="Q281" i="7" s="1"/>
  <c r="D280" i="7"/>
  <c r="D281" i="7" s="1"/>
  <c r="AG280" i="7"/>
  <c r="AG281" i="7" s="1"/>
  <c r="AI280" i="7"/>
  <c r="AI281" i="7" s="1"/>
  <c r="E280" i="7"/>
  <c r="E281" i="7" s="1"/>
  <c r="AF280" i="7"/>
  <c r="AF281" i="7" s="1"/>
  <c r="AP280" i="7"/>
  <c r="AP281" i="7" s="1"/>
  <c r="G280" i="7"/>
  <c r="G281" i="7" s="1"/>
  <c r="AC280" i="7"/>
  <c r="AC281" i="7" s="1"/>
  <c r="P280" i="7"/>
  <c r="P281" i="7" s="1"/>
  <c r="S75" i="7"/>
  <c r="AF75" i="7"/>
  <c r="AP75" i="7"/>
  <c r="AK240" i="7"/>
  <c r="AK241" i="7" s="1"/>
  <c r="AL75" i="7"/>
  <c r="S240" i="7"/>
  <c r="S241" i="7" s="1"/>
  <c r="AJ75" i="7"/>
  <c r="AJ240" i="7"/>
  <c r="AJ241" i="7" s="1"/>
  <c r="AK75" i="7"/>
  <c r="AP240" i="7"/>
  <c r="AP241" i="7" s="1"/>
  <c r="AH75" i="7"/>
  <c r="AH240" i="7"/>
  <c r="AH241" i="7" s="1"/>
  <c r="AO240" i="7"/>
  <c r="AO241" i="7" s="1"/>
  <c r="AN240" i="7"/>
  <c r="AN241" i="7" s="1"/>
  <c r="AN75" i="7"/>
  <c r="AL240" i="7"/>
  <c r="AL241" i="7" s="1"/>
  <c r="AM75" i="7"/>
  <c r="AM240" i="7"/>
  <c r="AM241" i="7" s="1"/>
  <c r="AG240" i="7"/>
  <c r="AG241" i="7" s="1"/>
  <c r="AG75" i="7"/>
  <c r="AI75" i="7"/>
  <c r="AI240" i="7"/>
  <c r="AI241" i="7" s="1"/>
  <c r="AO75" i="7"/>
  <c r="I75" i="7"/>
  <c r="P75" i="7"/>
  <c r="X240" i="7"/>
  <c r="X241" i="7" s="1"/>
  <c r="Z75" i="7"/>
  <c r="I240" i="7"/>
  <c r="I241" i="7" s="1"/>
  <c r="H75" i="7"/>
  <c r="N75" i="7"/>
  <c r="O75" i="7"/>
  <c r="V75" i="7"/>
  <c r="Q75" i="7"/>
  <c r="Y240" i="7"/>
  <c r="Y241" i="7" s="1"/>
  <c r="H240" i="7"/>
  <c r="H241" i="7" s="1"/>
  <c r="AA75" i="7"/>
  <c r="N240" i="7"/>
  <c r="N241" i="7" s="1"/>
  <c r="AD240" i="7"/>
  <c r="AD241" i="7" s="1"/>
  <c r="P240" i="7"/>
  <c r="P241" i="7" s="1"/>
  <c r="M240" i="7"/>
  <c r="M241" i="7" s="1"/>
  <c r="U75" i="7"/>
  <c r="D240" i="7"/>
  <c r="D241" i="7" s="1"/>
  <c r="T75" i="7"/>
  <c r="G75" i="7"/>
  <c r="K240" i="7"/>
  <c r="K241" i="7" s="1"/>
  <c r="W240" i="7"/>
  <c r="W241" i="7" s="1"/>
  <c r="AE240" i="7"/>
  <c r="AE241" i="7" s="1"/>
  <c r="F75" i="7"/>
  <c r="J240" i="7"/>
  <c r="J241" i="7" s="1"/>
  <c r="R75" i="7"/>
  <c r="E240" i="7"/>
  <c r="E241" i="7" s="1"/>
  <c r="AC240" i="7"/>
  <c r="AC241" i="7" s="1"/>
  <c r="L75" i="7"/>
  <c r="AB240" i="7"/>
  <c r="AB241" i="7" s="1"/>
  <c r="O240" i="7"/>
  <c r="O241" i="7" s="1"/>
  <c r="AA240" i="7"/>
  <c r="AA241" i="7" s="1"/>
  <c r="V240" i="7"/>
  <c r="V241" i="7" s="1"/>
  <c r="Z240" i="7"/>
  <c r="Z241" i="7" s="1"/>
  <c r="AD75" i="7"/>
  <c r="M75" i="7"/>
  <c r="Q240" i="7"/>
  <c r="Q241" i="7" s="1"/>
  <c r="U240" i="7"/>
  <c r="U241" i="7" s="1"/>
  <c r="Y75" i="7"/>
  <c r="D75" i="7"/>
  <c r="T240" i="7"/>
  <c r="T241" i="7" s="1"/>
  <c r="X75" i="7"/>
  <c r="AF240" i="7"/>
  <c r="AF241" i="7" s="1"/>
  <c r="C75" i="7"/>
  <c r="C280" i="7"/>
  <c r="G240" i="7"/>
  <c r="G241" i="7" s="1"/>
  <c r="K75" i="7"/>
  <c r="W75" i="7"/>
  <c r="AE75" i="7"/>
  <c r="F240" i="7"/>
  <c r="F241" i="7" s="1"/>
  <c r="J75" i="7"/>
  <c r="R240" i="7"/>
  <c r="R241" i="7" s="1"/>
  <c r="E75" i="7"/>
  <c r="AC75" i="7"/>
  <c r="L240" i="7"/>
  <c r="L241" i="7" s="1"/>
  <c r="AB75" i="7"/>
  <c r="Q677" i="7"/>
  <c r="Q680" i="7" s="1"/>
  <c r="B154" i="7" l="1"/>
  <c r="F11" i="1" s="1"/>
  <c r="R677" i="7"/>
  <c r="R680" i="7" s="1"/>
  <c r="AO668" i="7" l="1"/>
  <c r="AM668" i="7"/>
  <c r="AL668" i="7"/>
  <c r="AK668" i="7"/>
  <c r="AJ668" i="7"/>
  <c r="AI668" i="7"/>
  <c r="AF668" i="7"/>
  <c r="AN668" i="7"/>
  <c r="AH668" i="7"/>
  <c r="AG668" i="7"/>
  <c r="AE668" i="7"/>
  <c r="AC668" i="7"/>
  <c r="AA668" i="7"/>
  <c r="Y668" i="7"/>
  <c r="W668" i="7"/>
  <c r="U668" i="7"/>
  <c r="S668" i="7"/>
  <c r="Q668" i="7"/>
  <c r="O668" i="7"/>
  <c r="M668" i="7"/>
  <c r="K668" i="7"/>
  <c r="I668" i="7"/>
  <c r="G668" i="7"/>
  <c r="E668" i="7"/>
  <c r="C668" i="7"/>
  <c r="AD668" i="7"/>
  <c r="AB668" i="7"/>
  <c r="Z668" i="7"/>
  <c r="X668" i="7"/>
  <c r="V668" i="7"/>
  <c r="T668" i="7"/>
  <c r="R668" i="7"/>
  <c r="P668" i="7"/>
  <c r="N668" i="7"/>
  <c r="L668" i="7"/>
  <c r="J668" i="7"/>
  <c r="H668" i="7"/>
  <c r="F668" i="7"/>
  <c r="D668" i="7"/>
  <c r="S677" i="7"/>
  <c r="S680" i="7" s="1"/>
  <c r="S665" i="7" l="1"/>
  <c r="U666" i="7"/>
  <c r="K665" i="7"/>
  <c r="E665" i="7"/>
  <c r="E666" i="7" s="1"/>
  <c r="E94" i="7" s="1"/>
  <c r="U665" i="7"/>
  <c r="M665" i="7"/>
  <c r="M666" i="7" s="1"/>
  <c r="M94" i="7" s="1"/>
  <c r="G665" i="7"/>
  <c r="G666" i="7" s="1"/>
  <c r="G94" i="7" s="1"/>
  <c r="O665" i="7"/>
  <c r="O666" i="7" s="1"/>
  <c r="O94" i="7" s="1"/>
  <c r="I665" i="7"/>
  <c r="I666" i="7" s="1"/>
  <c r="I94" i="7" s="1"/>
  <c r="Q665" i="7"/>
  <c r="Q666" i="7" s="1"/>
  <c r="Q94" i="7" s="1"/>
  <c r="K666" i="7"/>
  <c r="S666" i="7"/>
  <c r="S94" i="7" s="1"/>
  <c r="AA665" i="7"/>
  <c r="AA667" i="7" s="1"/>
  <c r="AA94" i="7" s="1"/>
  <c r="AA99" i="7" s="1"/>
  <c r="AA105" i="7" s="1"/>
  <c r="AC665" i="7"/>
  <c r="AG665" i="7"/>
  <c r="W665" i="7"/>
  <c r="W666" i="7" s="1"/>
  <c r="W94" i="7" s="1"/>
  <c r="W99" i="7" s="1"/>
  <c r="W105" i="7" s="1"/>
  <c r="AE665" i="7"/>
  <c r="AJ665" i="7"/>
  <c r="Y665" i="7"/>
  <c r="Y666" i="7" s="1"/>
  <c r="Y94" i="7" s="1"/>
  <c r="Y99" i="7" s="1"/>
  <c r="Y105" i="7" s="1"/>
  <c r="B668" i="7"/>
  <c r="B666" i="7" s="1"/>
  <c r="AG94" i="7"/>
  <c r="AG99" i="7" s="1"/>
  <c r="AG105" i="7" s="1"/>
  <c r="AH665" i="7"/>
  <c r="AH94" i="7" s="1"/>
  <c r="AH99" i="7" s="1"/>
  <c r="AH105" i="7" s="1"/>
  <c r="AI665" i="7"/>
  <c r="AI94" i="7" s="1"/>
  <c r="AI99" i="7" s="1"/>
  <c r="AI105" i="7" s="1"/>
  <c r="AO665" i="7"/>
  <c r="AO94" i="7" s="1"/>
  <c r="AO99" i="7" s="1"/>
  <c r="AO105" i="7" s="1"/>
  <c r="AK665" i="7"/>
  <c r="AK94" i="7" s="1"/>
  <c r="AK99" i="7" s="1"/>
  <c r="AK105" i="7" s="1"/>
  <c r="AJ94" i="7"/>
  <c r="AJ99" i="7" s="1"/>
  <c r="AJ105" i="7" s="1"/>
  <c r="AL665" i="7"/>
  <c r="AL94" i="7" s="1"/>
  <c r="AL99" i="7" s="1"/>
  <c r="AL105" i="7" s="1"/>
  <c r="AP665" i="7"/>
  <c r="AP667" i="7" s="1"/>
  <c r="AP94" i="7" s="1"/>
  <c r="AP99" i="7" s="1"/>
  <c r="AP105" i="7" s="1"/>
  <c r="AM665" i="7"/>
  <c r="AM94" i="7" s="1"/>
  <c r="AM99" i="7" s="1"/>
  <c r="AM105" i="7" s="1"/>
  <c r="AN665" i="7"/>
  <c r="AN94" i="7" s="1"/>
  <c r="AN99" i="7" s="1"/>
  <c r="AN105" i="7" s="1"/>
  <c r="D665" i="7"/>
  <c r="F665" i="7"/>
  <c r="F666" i="7" s="1"/>
  <c r="H665" i="7"/>
  <c r="J665" i="7"/>
  <c r="L665" i="7"/>
  <c r="K94" i="7"/>
  <c r="N665" i="7"/>
  <c r="P665" i="7"/>
  <c r="R665" i="7"/>
  <c r="R666" i="7" s="1"/>
  <c r="T665" i="7"/>
  <c r="V665" i="7"/>
  <c r="V666" i="7" s="1"/>
  <c r="U94" i="7"/>
  <c r="X665" i="7"/>
  <c r="Z665" i="7"/>
  <c r="Z666" i="7" s="1"/>
  <c r="AB665" i="7"/>
  <c r="AB94" i="7" s="1"/>
  <c r="AB99" i="7" s="1"/>
  <c r="AB105" i="7" s="1"/>
  <c r="AD665" i="7"/>
  <c r="AD94" i="7" s="1"/>
  <c r="AD99" i="7" s="1"/>
  <c r="AD105" i="7" s="1"/>
  <c r="AC94" i="7"/>
  <c r="AC99" i="7" s="1"/>
  <c r="AC105" i="7" s="1"/>
  <c r="AF665" i="7"/>
  <c r="AE94" i="7"/>
  <c r="AE99" i="7" s="1"/>
  <c r="AE105" i="7" s="1"/>
  <c r="C268" i="7"/>
  <c r="C281" i="7" s="1"/>
  <c r="C228" i="7"/>
  <c r="C241" i="7" s="1"/>
  <c r="T677" i="7"/>
  <c r="T680" i="7" s="1"/>
  <c r="D666" i="7" l="1"/>
  <c r="D94" i="7" s="1"/>
  <c r="H666" i="7"/>
  <c r="H94" i="7" s="1"/>
  <c r="X666" i="7"/>
  <c r="X94" i="7" s="1"/>
  <c r="X99" i="7" s="1"/>
  <c r="X105" i="7" s="1"/>
  <c r="T666" i="7"/>
  <c r="T94" i="7" s="1"/>
  <c r="Z94" i="7"/>
  <c r="Z99" i="7" s="1"/>
  <c r="Z105" i="7" s="1"/>
  <c r="V94" i="7"/>
  <c r="R94" i="7"/>
  <c r="F94" i="7"/>
  <c r="P666" i="7"/>
  <c r="P94" i="7" s="1"/>
  <c r="N666" i="7"/>
  <c r="N94" i="7" s="1"/>
  <c r="L666" i="7"/>
  <c r="L94" i="7" s="1"/>
  <c r="J666" i="7"/>
  <c r="J94" i="7" s="1"/>
  <c r="C665" i="7"/>
  <c r="B94" i="7"/>
  <c r="AF667" i="7"/>
  <c r="U677" i="7"/>
  <c r="U680" i="7" s="1"/>
  <c r="C666" i="7" l="1"/>
  <c r="C94" i="7" s="1"/>
  <c r="AF94" i="7"/>
  <c r="AF99" i="7" s="1"/>
  <c r="AF105" i="7" s="1"/>
  <c r="V677" i="7"/>
  <c r="V680" i="7" s="1"/>
  <c r="V773" i="7" s="1"/>
  <c r="W677" i="7" l="1"/>
  <c r="W680" i="7" s="1"/>
  <c r="W773" i="7" s="1"/>
  <c r="W774" i="7"/>
  <c r="W249" i="7" l="1"/>
  <c r="W212" i="7"/>
  <c r="W76" i="7"/>
  <c r="X677" i="7"/>
  <c r="X680" i="7" s="1"/>
  <c r="X773" i="7" s="1"/>
  <c r="X774" i="7"/>
  <c r="X249" i="7" l="1"/>
  <c r="X212" i="7"/>
  <c r="X76" i="7"/>
  <c r="Y677" i="7"/>
  <c r="Y680" i="7" s="1"/>
  <c r="Y773" i="7" s="1"/>
  <c r="Y774" i="7"/>
  <c r="Y249" i="7" l="1"/>
  <c r="Y212" i="7"/>
  <c r="Y76" i="7"/>
  <c r="Z677" i="7"/>
  <c r="Z680" i="7" s="1"/>
  <c r="Z773" i="7" s="1"/>
  <c r="Z774" i="7"/>
  <c r="AA677" i="7" l="1"/>
  <c r="AA680" i="7" s="1"/>
  <c r="AA773" i="7" s="1"/>
  <c r="AA774" i="7"/>
  <c r="Z249" i="7"/>
  <c r="Z212" i="7"/>
  <c r="Z76" i="7"/>
  <c r="AB677" i="7" l="1"/>
  <c r="AB680" i="7" s="1"/>
  <c r="AB773" i="7" s="1"/>
  <c r="AB774" i="7"/>
  <c r="AA249" i="7"/>
  <c r="AA212" i="7"/>
  <c r="AA76" i="7"/>
  <c r="AC677" i="7" l="1"/>
  <c r="AC680" i="7" s="1"/>
  <c r="AC773" i="7" s="1"/>
  <c r="AC774" i="7"/>
  <c r="AB249" i="7"/>
  <c r="AB212" i="7"/>
  <c r="AB76" i="7"/>
  <c r="AC249" i="7" l="1"/>
  <c r="AC212" i="7"/>
  <c r="AC76" i="7"/>
  <c r="AD677" i="7"/>
  <c r="AD680" i="7" s="1"/>
  <c r="AD773" i="7" s="1"/>
  <c r="AD774" i="7"/>
  <c r="AE677" i="7" l="1"/>
  <c r="AE680" i="7" s="1"/>
  <c r="AE773" i="7" s="1"/>
  <c r="AE774" i="7"/>
  <c r="AD249" i="7"/>
  <c r="AD212" i="7"/>
  <c r="AD76" i="7"/>
  <c r="AF677" i="7" l="1"/>
  <c r="AF680" i="7" s="1"/>
  <c r="AF773" i="7" s="1"/>
  <c r="AF774" i="7"/>
  <c r="AE249" i="7"/>
  <c r="AE212" i="7"/>
  <c r="AE76" i="7"/>
  <c r="AG677" i="7" l="1"/>
  <c r="AG680" i="7" s="1"/>
  <c r="AG773" i="7" s="1"/>
  <c r="AF249" i="7"/>
  <c r="AF212" i="7"/>
  <c r="AF76" i="7"/>
  <c r="AG212" i="7" l="1"/>
  <c r="AG249" i="7"/>
  <c r="AG76" i="7"/>
  <c r="M429" i="7"/>
  <c r="M431" i="7"/>
  <c r="AH677" i="7"/>
  <c r="AH680" i="7" s="1"/>
  <c r="AH773" i="7" s="1"/>
  <c r="M291" i="7" l="1"/>
  <c r="AH249" i="7"/>
  <c r="AH76" i="7"/>
  <c r="AH212" i="7"/>
  <c r="M294" i="7"/>
  <c r="M428" i="7"/>
  <c r="AI677" i="7"/>
  <c r="AI680" i="7" s="1"/>
  <c r="AI773" i="7" s="1"/>
  <c r="AI212" i="7" l="1"/>
  <c r="AI249" i="7"/>
  <c r="AI76" i="7"/>
  <c r="AJ677" i="7"/>
  <c r="AJ680" i="7" s="1"/>
  <c r="AJ773" i="7" s="1"/>
  <c r="AJ249" i="7" l="1"/>
  <c r="AJ212" i="7"/>
  <c r="AJ76" i="7"/>
  <c r="AK677" i="7"/>
  <c r="AK680" i="7" s="1"/>
  <c r="AK773" i="7" s="1"/>
  <c r="AK249" i="7" l="1"/>
  <c r="AK212" i="7"/>
  <c r="AK76" i="7"/>
  <c r="AL677" i="7"/>
  <c r="AL680" i="7" s="1"/>
  <c r="AL773" i="7" s="1"/>
  <c r="AL212" i="7" l="1"/>
  <c r="AL249" i="7"/>
  <c r="AL76" i="7"/>
  <c r="AM677" i="7"/>
  <c r="AM680" i="7" s="1"/>
  <c r="AM773" i="7" s="1"/>
  <c r="AM249" i="7" l="1"/>
  <c r="AM76" i="7"/>
  <c r="AM212" i="7"/>
  <c r="AN677" i="7"/>
  <c r="AN680" i="7" s="1"/>
  <c r="AN773" i="7" s="1"/>
  <c r="AN249" i="7" l="1"/>
  <c r="AN76" i="7"/>
  <c r="AN212" i="7"/>
  <c r="AO677" i="7"/>
  <c r="AO680" i="7" s="1"/>
  <c r="AO773" i="7" s="1"/>
  <c r="AO249" i="7" l="1"/>
  <c r="AO76" i="7"/>
  <c r="AO212" i="7"/>
  <c r="AP677" i="7"/>
  <c r="AP680" i="7" s="1"/>
  <c r="AP773" i="7" s="1"/>
  <c r="AP212" i="7" l="1"/>
  <c r="AP249" i="7"/>
  <c r="AP76" i="7"/>
  <c r="AF69" i="7" l="1"/>
  <c r="AF78" i="7" s="1"/>
  <c r="AF120" i="7" s="1"/>
  <c r="AC69" i="7"/>
  <c r="AC78" i="7" s="1"/>
  <c r="AC120" i="7" s="1"/>
  <c r="H642" i="7" l="1"/>
  <c r="AC211" i="7"/>
  <c r="H211" i="7"/>
  <c r="H69" i="7"/>
  <c r="H248" i="7"/>
  <c r="AC248" i="7"/>
  <c r="AF248" i="7"/>
  <c r="AF211" i="7"/>
  <c r="C642" i="7"/>
  <c r="AC121" i="7"/>
  <c r="AF121" i="7"/>
  <c r="AN211" i="7"/>
  <c r="AN248" i="7"/>
  <c r="AN69" i="7"/>
  <c r="AN78" i="7" s="1"/>
  <c r="AN120" i="7" s="1"/>
  <c r="AP248" i="7"/>
  <c r="AP69" i="7"/>
  <c r="AP78" i="7" s="1"/>
  <c r="AP120" i="7" s="1"/>
  <c r="AP211" i="7"/>
  <c r="U642" i="7"/>
  <c r="AH248" i="7"/>
  <c r="AH211" i="7"/>
  <c r="AH69" i="7"/>
  <c r="AH78" i="7" s="1"/>
  <c r="AH120" i="7" s="1"/>
  <c r="T773" i="7" l="1"/>
  <c r="T642" i="7"/>
  <c r="Q642" i="7"/>
  <c r="R642" i="7"/>
  <c r="AA248" i="7"/>
  <c r="M211" i="7"/>
  <c r="T69" i="7"/>
  <c r="T248" i="7"/>
  <c r="T211" i="7"/>
  <c r="AH121" i="7"/>
  <c r="R211" i="7"/>
  <c r="R69" i="7"/>
  <c r="R248" i="7"/>
  <c r="J642" i="7"/>
  <c r="J69" i="7"/>
  <c r="J248" i="7"/>
  <c r="J211" i="7"/>
  <c r="AJ69" i="7"/>
  <c r="AJ78" i="7" s="1"/>
  <c r="AJ120" i="7" s="1"/>
  <c r="AJ211" i="7"/>
  <c r="AJ248" i="7"/>
  <c r="AK211" i="7"/>
  <c r="AK69" i="7"/>
  <c r="AK78" i="7" s="1"/>
  <c r="AK120" i="7" s="1"/>
  <c r="AK248" i="7"/>
  <c r="E211" i="7"/>
  <c r="E69" i="7"/>
  <c r="E248" i="7"/>
  <c r="E642" i="7"/>
  <c r="AP121" i="7"/>
  <c r="G69" i="7"/>
  <c r="G248" i="7"/>
  <c r="G211" i="7"/>
  <c r="G642" i="7"/>
  <c r="AN121" i="7"/>
  <c r="C69" i="7"/>
  <c r="C211" i="7"/>
  <c r="C248" i="7"/>
  <c r="AI69" i="7"/>
  <c r="AI78" i="7" s="1"/>
  <c r="AI120" i="7" s="1"/>
  <c r="AI248" i="7"/>
  <c r="AI211" i="7"/>
  <c r="AM69" i="7"/>
  <c r="AM78" i="7" s="1"/>
  <c r="AM120" i="7" s="1"/>
  <c r="AM211" i="7"/>
  <c r="AM248" i="7"/>
  <c r="AO69" i="7"/>
  <c r="AO78" i="7" s="1"/>
  <c r="AO120" i="7" s="1"/>
  <c r="AO211" i="7"/>
  <c r="AO248" i="7"/>
  <c r="L642" i="7"/>
  <c r="L211" i="7"/>
  <c r="L248" i="7"/>
  <c r="L69" i="7"/>
  <c r="Q69" i="7"/>
  <c r="Q211" i="7"/>
  <c r="Q248" i="7"/>
  <c r="V642" i="7"/>
  <c r="AL248" i="7"/>
  <c r="AL211" i="7"/>
  <c r="AL69" i="7"/>
  <c r="AL78" i="7" s="1"/>
  <c r="AL120" i="7" s="1"/>
  <c r="N211" i="7"/>
  <c r="N248" i="7"/>
  <c r="N69" i="7"/>
  <c r="N642" i="7"/>
  <c r="AE211" i="7"/>
  <c r="AE69" i="7"/>
  <c r="AE78" i="7" s="1"/>
  <c r="AE120" i="7" s="1"/>
  <c r="AE248" i="7"/>
  <c r="AG248" i="7"/>
  <c r="AG69" i="7"/>
  <c r="AG78" i="7" s="1"/>
  <c r="AG120" i="7" s="1"/>
  <c r="AG211" i="7"/>
  <c r="U211" i="7"/>
  <c r="U69" i="7"/>
  <c r="U248" i="7"/>
  <c r="AD69" i="7"/>
  <c r="AD78" i="7" s="1"/>
  <c r="AD120" i="7" s="1"/>
  <c r="AD248" i="7"/>
  <c r="AD211" i="7"/>
  <c r="AB211" i="7"/>
  <c r="AB69" i="7"/>
  <c r="AB78" i="7" s="1"/>
  <c r="AB120" i="7" s="1"/>
  <c r="AB248" i="7"/>
  <c r="U774" i="7" l="1"/>
  <c r="U659" i="7"/>
  <c r="U773" i="7"/>
  <c r="P642" i="7"/>
  <c r="S642" i="7"/>
  <c r="AA211" i="7"/>
  <c r="AA69" i="7"/>
  <c r="AA78" i="7" s="1"/>
  <c r="M248" i="7"/>
  <c r="M69" i="7"/>
  <c r="D211" i="7"/>
  <c r="M642" i="7"/>
  <c r="D69" i="7"/>
  <c r="F642" i="7"/>
  <c r="F248" i="7"/>
  <c r="F211" i="7"/>
  <c r="F69" i="7"/>
  <c r="D642" i="7"/>
  <c r="D248" i="7"/>
  <c r="K248" i="7"/>
  <c r="K211" i="7"/>
  <c r="K642" i="7"/>
  <c r="K69" i="7"/>
  <c r="AG121" i="7"/>
  <c r="W248" i="7"/>
  <c r="W211" i="7"/>
  <c r="W69" i="7"/>
  <c r="W78" i="7" s="1"/>
  <c r="W120" i="7" s="1"/>
  <c r="AL121" i="7"/>
  <c r="AM121" i="7"/>
  <c r="Y211" i="7"/>
  <c r="Y69" i="7"/>
  <c r="Y78" i="7" s="1"/>
  <c r="Y120" i="7" s="1"/>
  <c r="Y248" i="7"/>
  <c r="Z248" i="7"/>
  <c r="Z211" i="7"/>
  <c r="Z69" i="7"/>
  <c r="Z78" i="7" s="1"/>
  <c r="Z120" i="7" s="1"/>
  <c r="S211" i="7"/>
  <c r="S248" i="7"/>
  <c r="S69" i="7"/>
  <c r="O211" i="7"/>
  <c r="O642" i="7"/>
  <c r="O248" i="7"/>
  <c r="O69" i="7"/>
  <c r="I69" i="7"/>
  <c r="I248" i="7"/>
  <c r="I211" i="7"/>
  <c r="I642" i="7"/>
  <c r="AB121" i="7"/>
  <c r="AD121" i="7"/>
  <c r="AE121" i="7"/>
  <c r="V69" i="7"/>
  <c r="V248" i="7"/>
  <c r="V211" i="7"/>
  <c r="AO121" i="7"/>
  <c r="X211" i="7"/>
  <c r="X69" i="7"/>
  <c r="X78" i="7" s="1"/>
  <c r="X120" i="7" s="1"/>
  <c r="X248" i="7"/>
  <c r="AI121" i="7"/>
  <c r="AK121" i="7"/>
  <c r="AJ121" i="7"/>
  <c r="P69" i="7"/>
  <c r="P248" i="7"/>
  <c r="P211" i="7"/>
  <c r="AA120" i="7" l="1"/>
  <c r="V774" i="7"/>
  <c r="V659" i="7"/>
  <c r="V93" i="7" s="1"/>
  <c r="V99" i="7" s="1"/>
  <c r="V105" i="7" s="1"/>
  <c r="U93" i="7"/>
  <c r="U99" i="7" s="1"/>
  <c r="U105" i="7" s="1"/>
  <c r="U76" i="7"/>
  <c r="U212" i="7"/>
  <c r="U249" i="7"/>
  <c r="X121" i="7"/>
  <c r="Z121" i="7"/>
  <c r="Y121" i="7"/>
  <c r="W121" i="7"/>
  <c r="AA121" i="7" l="1"/>
  <c r="V249" i="7"/>
  <c r="V212" i="7"/>
  <c r="V76" i="7"/>
  <c r="U250" i="7" l="1"/>
  <c r="U77" i="7"/>
  <c r="U78" i="7" s="1"/>
  <c r="U213" i="7"/>
  <c r="U114" i="7" l="1"/>
  <c r="U115" i="7" s="1"/>
  <c r="U120" i="7" s="1"/>
  <c r="AN214" i="7"/>
  <c r="AN215" i="7" s="1"/>
  <c r="AN243" i="7" s="1"/>
  <c r="AN245" i="7" s="1"/>
  <c r="AP214" i="7"/>
  <c r="AP215" i="7" s="1"/>
  <c r="AP243" i="7" s="1"/>
  <c r="AP245" i="7" s="1"/>
  <c r="AL214" i="7"/>
  <c r="AL215" i="7" s="1"/>
  <c r="AL243" i="7" s="1"/>
  <c r="AL245" i="7" s="1"/>
  <c r="AH214" i="7"/>
  <c r="AH215" i="7" s="1"/>
  <c r="AH243" i="7" s="1"/>
  <c r="AH245" i="7" s="1"/>
  <c r="AO214" i="7"/>
  <c r="AO215" i="7" s="1"/>
  <c r="AO243" i="7" s="1"/>
  <c r="AO245" i="7" s="1"/>
  <c r="AK214" i="7"/>
  <c r="AK215" i="7" s="1"/>
  <c r="AK243" i="7" s="1"/>
  <c r="AK245" i="7" s="1"/>
  <c r="AG214" i="7"/>
  <c r="AG215" i="7" s="1"/>
  <c r="AG243" i="7" s="1"/>
  <c r="AG245" i="7" s="1"/>
  <c r="AJ214" i="7"/>
  <c r="AJ215" i="7" s="1"/>
  <c r="AJ243" i="7" s="1"/>
  <c r="AJ245" i="7" s="1"/>
  <c r="AM214" i="7"/>
  <c r="AM215" i="7" s="1"/>
  <c r="AM243" i="7" s="1"/>
  <c r="AM245" i="7" s="1"/>
  <c r="AI214" i="7"/>
  <c r="AI215" i="7" s="1"/>
  <c r="AI243" i="7" s="1"/>
  <c r="AI245" i="7" s="1"/>
  <c r="U121" i="7" l="1"/>
  <c r="AG252" i="7"/>
  <c r="AG133" i="7"/>
  <c r="AH252" i="7"/>
  <c r="AH133" i="7"/>
  <c r="AK252" i="7"/>
  <c r="AK133" i="7"/>
  <c r="AL133" i="7"/>
  <c r="AL252" i="7"/>
  <c r="AI252" i="7"/>
  <c r="AI133" i="7"/>
  <c r="AJ252" i="7"/>
  <c r="AJ133" i="7"/>
  <c r="AO252" i="7"/>
  <c r="AO133" i="7"/>
  <c r="AP252" i="7"/>
  <c r="AP133" i="7"/>
  <c r="AM252" i="7"/>
  <c r="AM133" i="7"/>
  <c r="AN252" i="7"/>
  <c r="AN133" i="7"/>
  <c r="AK251" i="7"/>
  <c r="AJ251" i="7"/>
  <c r="AG251" i="7"/>
  <c r="AI251" i="7"/>
  <c r="AL251" i="7"/>
  <c r="AO251" i="7"/>
  <c r="AH251" i="7"/>
  <c r="AN251" i="7"/>
  <c r="AP251" i="7"/>
  <c r="AM251" i="7"/>
  <c r="V77" i="7" l="1"/>
  <c r="V78" i="7" s="1"/>
  <c r="V250" i="7"/>
  <c r="V213" i="7"/>
  <c r="V114" i="7" l="1"/>
  <c r="V115" i="7" s="1"/>
  <c r="V120" i="7" s="1"/>
  <c r="V121" i="7" l="1"/>
  <c r="M430" i="7" l="1"/>
  <c r="M434" i="7" s="1"/>
  <c r="M292" i="7"/>
  <c r="M295" i="7"/>
  <c r="M293" i="7"/>
  <c r="M298" i="7" l="1"/>
  <c r="AD214" i="7"/>
  <c r="AD215" i="7" s="1"/>
  <c r="AD243" i="7" s="1"/>
  <c r="AD245" i="7" s="1"/>
  <c r="AD251" i="7"/>
  <c r="AB214" i="7"/>
  <c r="AB215" i="7" s="1"/>
  <c r="AB243" i="7" s="1"/>
  <c r="AB245" i="7" s="1"/>
  <c r="AB251" i="7"/>
  <c r="AF214" i="7"/>
  <c r="AF215" i="7" s="1"/>
  <c r="AF243" i="7" s="1"/>
  <c r="AF245" i="7" s="1"/>
  <c r="AF251" i="7"/>
  <c r="AC214" i="7"/>
  <c r="AC215" i="7" s="1"/>
  <c r="AC243" i="7" s="1"/>
  <c r="AC245" i="7" s="1"/>
  <c r="AC251" i="7"/>
  <c r="AE214" i="7"/>
  <c r="AE215" i="7" s="1"/>
  <c r="AE243" i="7" s="1"/>
  <c r="AE245" i="7" s="1"/>
  <c r="AE251" i="7"/>
  <c r="AD133" i="7" l="1"/>
  <c r="AD252" i="7"/>
  <c r="AB252" i="7"/>
  <c r="AB133" i="7"/>
  <c r="AE133" i="7"/>
  <c r="AE252" i="7"/>
  <c r="AF252" i="7"/>
  <c r="AF133" i="7"/>
  <c r="AC133" i="7"/>
  <c r="AC252" i="7"/>
  <c r="B654" i="7" l="1"/>
  <c r="B645" i="7" s="1"/>
  <c r="B646" i="7" l="1"/>
  <c r="B655" i="7"/>
  <c r="F22" i="1" s="1"/>
  <c r="N773" i="7"/>
  <c r="S93" i="7"/>
  <c r="S99" i="7" s="1"/>
  <c r="S105" i="7" s="1"/>
  <c r="O773" i="7"/>
  <c r="G773" i="7"/>
  <c r="B773" i="7"/>
  <c r="L773" i="7"/>
  <c r="J773" i="7"/>
  <c r="C773" i="7"/>
  <c r="H773" i="7"/>
  <c r="K773" i="7"/>
  <c r="Q773" i="7"/>
  <c r="M773" i="7"/>
  <c r="B647" i="7" l="1"/>
  <c r="E773" i="7"/>
  <c r="F774" i="7" s="1"/>
  <c r="F212" i="7" s="1"/>
  <c r="S659" i="7"/>
  <c r="R773" i="7"/>
  <c r="S774" i="7" s="1"/>
  <c r="S212" i="7" s="1"/>
  <c r="D773" i="7"/>
  <c r="E774" i="7" s="1"/>
  <c r="E212" i="7" s="1"/>
  <c r="G659" i="7"/>
  <c r="F773" i="7"/>
  <c r="G774" i="7" s="1"/>
  <c r="G249" i="7" s="1"/>
  <c r="Q774" i="7"/>
  <c r="Q249" i="7" s="1"/>
  <c r="P773" i="7"/>
  <c r="T659" i="7"/>
  <c r="T93" i="7" s="1"/>
  <c r="T99" i="7" s="1"/>
  <c r="T105" i="7" s="1"/>
  <c r="S773" i="7"/>
  <c r="T774" i="7" s="1"/>
  <c r="T249" i="7" s="1"/>
  <c r="J659" i="7"/>
  <c r="I773" i="7"/>
  <c r="J774" i="7" s="1"/>
  <c r="E659" i="7"/>
  <c r="E93" i="7" s="1"/>
  <c r="E99" i="7" s="1"/>
  <c r="E105" i="7" s="1"/>
  <c r="F659" i="7"/>
  <c r="F93" i="7" s="1"/>
  <c r="F99" i="7" s="1"/>
  <c r="F105" i="7" s="1"/>
  <c r="Q659" i="7"/>
  <c r="L659" i="7"/>
  <c r="L93" i="7" s="1"/>
  <c r="L99" i="7" s="1"/>
  <c r="L105" i="7" s="1"/>
  <c r="L774" i="7"/>
  <c r="C93" i="7"/>
  <c r="C99" i="7" s="1"/>
  <c r="C105" i="7" s="1"/>
  <c r="C774" i="7"/>
  <c r="J212" i="7"/>
  <c r="J249" i="7"/>
  <c r="J76" i="7"/>
  <c r="N659" i="7"/>
  <c r="N774" i="7"/>
  <c r="I659" i="7"/>
  <c r="I93" i="7" s="1"/>
  <c r="I99" i="7" s="1"/>
  <c r="I105" i="7" s="1"/>
  <c r="I774" i="7"/>
  <c r="K659" i="7"/>
  <c r="K93" i="7" s="1"/>
  <c r="K99" i="7" s="1"/>
  <c r="K105" i="7" s="1"/>
  <c r="J93" i="7"/>
  <c r="J99" i="7" s="1"/>
  <c r="J105" i="7" s="1"/>
  <c r="K774" i="7"/>
  <c r="H659" i="7"/>
  <c r="H93" i="7" s="1"/>
  <c r="H99" i="7" s="1"/>
  <c r="H105" i="7" s="1"/>
  <c r="G93" i="7"/>
  <c r="G99" i="7" s="1"/>
  <c r="G105" i="7" s="1"/>
  <c r="H774" i="7"/>
  <c r="O659" i="7"/>
  <c r="N93" i="7"/>
  <c r="N99" i="7" s="1"/>
  <c r="N105" i="7" s="1"/>
  <c r="O774" i="7"/>
  <c r="R659" i="7"/>
  <c r="R93" i="7" s="1"/>
  <c r="R99" i="7" s="1"/>
  <c r="R105" i="7" s="1"/>
  <c r="Q93" i="7"/>
  <c r="Q99" i="7" s="1"/>
  <c r="Q105" i="7" s="1"/>
  <c r="R774" i="7"/>
  <c r="D659" i="7"/>
  <c r="D93" i="7" s="1"/>
  <c r="D99" i="7" s="1"/>
  <c r="D105" i="7" s="1"/>
  <c r="D774" i="7"/>
  <c r="M659" i="7"/>
  <c r="M93" i="7" s="1"/>
  <c r="M99" i="7" s="1"/>
  <c r="M105" i="7" s="1"/>
  <c r="M774" i="7"/>
  <c r="P659" i="7"/>
  <c r="P93" i="7" s="1"/>
  <c r="P99" i="7" s="1"/>
  <c r="P105" i="7" s="1"/>
  <c r="O93" i="7"/>
  <c r="O99" i="7" s="1"/>
  <c r="O105" i="7" s="1"/>
  <c r="P774" i="7"/>
  <c r="B635" i="7" l="1"/>
  <c r="C635" i="7" s="1"/>
  <c r="D635" i="7" s="1"/>
  <c r="E635" i="7" s="1"/>
  <c r="F635" i="7" s="1"/>
  <c r="G635" i="7" s="1"/>
  <c r="H635" i="7" s="1"/>
  <c r="I635" i="7" s="1"/>
  <c r="J635" i="7" s="1"/>
  <c r="K635" i="7" s="1"/>
  <c r="L635" i="7" s="1"/>
  <c r="M635" i="7" s="1"/>
  <c r="N635" i="7" s="1"/>
  <c r="O635" i="7" s="1"/>
  <c r="P635" i="7" s="1"/>
  <c r="Q635" i="7" s="1"/>
  <c r="R635" i="7" s="1"/>
  <c r="S635" i="7" s="1"/>
  <c r="T635" i="7" s="1"/>
  <c r="U635" i="7" s="1"/>
  <c r="V635" i="7" s="1"/>
  <c r="W635" i="7" s="1"/>
  <c r="X635" i="7" s="1"/>
  <c r="Y635" i="7" s="1"/>
  <c r="Z635" i="7" s="1"/>
  <c r="AA635" i="7" s="1"/>
  <c r="AB635" i="7" s="1"/>
  <c r="AC635" i="7" s="1"/>
  <c r="AD635" i="7" s="1"/>
  <c r="AE635" i="7" s="1"/>
  <c r="AF635" i="7" s="1"/>
  <c r="AG635" i="7" s="1"/>
  <c r="AH635" i="7" s="1"/>
  <c r="AI635" i="7" s="1"/>
  <c r="AJ635" i="7" s="1"/>
  <c r="AK635" i="7" s="1"/>
  <c r="AL635" i="7" s="1"/>
  <c r="AM635" i="7" s="1"/>
  <c r="AN635" i="7" s="1"/>
  <c r="AO635" i="7" s="1"/>
  <c r="AP635" i="7" s="1"/>
  <c r="B111" i="7"/>
  <c r="B112" i="7" s="1"/>
  <c r="F76" i="7"/>
  <c r="Q212" i="7"/>
  <c r="E249" i="7"/>
  <c r="F249" i="7"/>
  <c r="Q76" i="7"/>
  <c r="E76" i="7"/>
  <c r="B93" i="7"/>
  <c r="B99" i="7" s="1"/>
  <c r="B105" i="7" s="1"/>
  <c r="T212" i="7"/>
  <c r="T76" i="7"/>
  <c r="G76" i="7"/>
  <c r="S76" i="7"/>
  <c r="G212" i="7"/>
  <c r="S249" i="7"/>
  <c r="M212" i="7"/>
  <c r="M249" i="7"/>
  <c r="M76" i="7"/>
  <c r="I249" i="7"/>
  <c r="I212" i="7"/>
  <c r="I76" i="7"/>
  <c r="L212" i="7"/>
  <c r="L76" i="7"/>
  <c r="L249" i="7"/>
  <c r="H249" i="7"/>
  <c r="H212" i="7"/>
  <c r="H76" i="7"/>
  <c r="K249" i="7"/>
  <c r="K212" i="7"/>
  <c r="K76" i="7"/>
  <c r="R212" i="7"/>
  <c r="R249" i="7"/>
  <c r="R76" i="7"/>
  <c r="O76" i="7"/>
  <c r="O249" i="7"/>
  <c r="O212" i="7"/>
  <c r="C249" i="7"/>
  <c r="C212" i="7"/>
  <c r="C76" i="7"/>
  <c r="P212" i="7"/>
  <c r="P76" i="7"/>
  <c r="P249" i="7"/>
  <c r="D212" i="7"/>
  <c r="D76" i="7"/>
  <c r="D249" i="7"/>
  <c r="N212" i="7"/>
  <c r="N249" i="7"/>
  <c r="N76" i="7"/>
  <c r="F21" i="1" l="1"/>
  <c r="C433" i="7"/>
  <c r="F433" i="7" s="1"/>
  <c r="B113" i="7"/>
  <c r="B192" i="7" s="1"/>
  <c r="C297" i="7"/>
  <c r="F297" i="7" s="1"/>
  <c r="C296" i="7"/>
  <c r="F296" i="7" s="1"/>
  <c r="C295" i="7"/>
  <c r="F295" i="7" s="1"/>
  <c r="C293" i="7"/>
  <c r="F293" i="7" s="1"/>
  <c r="C432" i="7"/>
  <c r="F432" i="7" s="1"/>
  <c r="C431" i="7"/>
  <c r="F431" i="7" s="1"/>
  <c r="C429" i="7"/>
  <c r="F429" i="7" s="1"/>
  <c r="F19" i="1"/>
  <c r="C430" i="7"/>
  <c r="F430" i="7" s="1"/>
  <c r="C292" i="7"/>
  <c r="F292" i="7" s="1"/>
  <c r="C294" i="7"/>
  <c r="F294" i="7" s="1"/>
  <c r="C428" i="7"/>
  <c r="F428" i="7" s="1"/>
  <c r="C427" i="7"/>
  <c r="C291" i="7"/>
  <c r="C213" i="7"/>
  <c r="C77" i="7"/>
  <c r="C78" i="7" s="1"/>
  <c r="C250" i="7"/>
  <c r="F23" i="1" l="1"/>
  <c r="F20" i="1"/>
  <c r="B172" i="7"/>
  <c r="B175" i="7" s="1"/>
  <c r="B119" i="7"/>
  <c r="F427" i="7"/>
  <c r="C434" i="7"/>
  <c r="C298" i="7"/>
  <c r="F291" i="7"/>
  <c r="B115" i="7"/>
  <c r="B120" i="7" s="1"/>
  <c r="C114" i="7"/>
  <c r="C115" i="7" s="1"/>
  <c r="C120" i="7" s="1"/>
  <c r="F298" i="7" l="1"/>
  <c r="G291" i="7"/>
  <c r="G298" i="7" s="1"/>
  <c r="F434" i="7"/>
  <c r="G427" i="7"/>
  <c r="G434" i="7" s="1"/>
  <c r="H432" i="7" s="1"/>
  <c r="B167" i="7"/>
  <c r="B168" i="7" s="1"/>
  <c r="B194" i="7"/>
  <c r="B197" i="7" s="1"/>
  <c r="B201" i="7" s="1"/>
  <c r="B144" i="7"/>
  <c r="B121" i="7"/>
  <c r="B136" i="7" s="1"/>
  <c r="C121" i="7"/>
  <c r="H297" i="7"/>
  <c r="K297" i="7" s="1"/>
  <c r="L297" i="7" s="1"/>
  <c r="D77" i="7"/>
  <c r="D78" i="7" s="1"/>
  <c r="D213" i="7"/>
  <c r="D250" i="7"/>
  <c r="H293" i="7"/>
  <c r="K293" i="7" s="1"/>
  <c r="L293" i="7" s="1"/>
  <c r="H296" i="7"/>
  <c r="H292" i="7"/>
  <c r="K292" i="7" s="1"/>
  <c r="L292" i="7" s="1"/>
  <c r="H295" i="7"/>
  <c r="K295" i="7" s="1"/>
  <c r="L295" i="7" s="1"/>
  <c r="H294" i="7"/>
  <c r="K294" i="7" s="1"/>
  <c r="L294" i="7" s="1"/>
  <c r="H291" i="7"/>
  <c r="H427" i="7" l="1"/>
  <c r="H429" i="7"/>
  <c r="K429" i="7" s="1"/>
  <c r="L429" i="7" s="1"/>
  <c r="H431" i="7"/>
  <c r="K431" i="7" s="1"/>
  <c r="L431" i="7" s="1"/>
  <c r="AM573" i="7"/>
  <c r="AM574" i="7" s="1"/>
  <c r="AM126" i="7" s="1"/>
  <c r="W573" i="7"/>
  <c r="W574" i="7" s="1"/>
  <c r="W126" i="7" s="1"/>
  <c r="G573" i="7"/>
  <c r="G574" i="7" s="1"/>
  <c r="G126" i="7" s="1"/>
  <c r="AH573" i="7"/>
  <c r="AH574" i="7" s="1"/>
  <c r="AH126" i="7" s="1"/>
  <c r="R573" i="7"/>
  <c r="R574" i="7" s="1"/>
  <c r="R126" i="7" s="1"/>
  <c r="AO573" i="7"/>
  <c r="AO574" i="7" s="1"/>
  <c r="AO126" i="7" s="1"/>
  <c r="Y573" i="7"/>
  <c r="Y574" i="7" s="1"/>
  <c r="Y126" i="7" s="1"/>
  <c r="I573" i="7"/>
  <c r="I574" i="7" s="1"/>
  <c r="I126" i="7" s="1"/>
  <c r="H573" i="7"/>
  <c r="H574" i="7" s="1"/>
  <c r="H126" i="7" s="1"/>
  <c r="AF573" i="7"/>
  <c r="AF574" i="7" s="1"/>
  <c r="AF126" i="7" s="1"/>
  <c r="AI573" i="7"/>
  <c r="AI574" i="7" s="1"/>
  <c r="AI126" i="7" s="1"/>
  <c r="S573" i="7"/>
  <c r="S574" i="7" s="1"/>
  <c r="S126" i="7" s="1"/>
  <c r="C573" i="7"/>
  <c r="AD573" i="7"/>
  <c r="AD574" i="7" s="1"/>
  <c r="AD126" i="7" s="1"/>
  <c r="N573" i="7"/>
  <c r="N574" i="7" s="1"/>
  <c r="N126" i="7" s="1"/>
  <c r="AK573" i="7"/>
  <c r="AK574" i="7" s="1"/>
  <c r="AK126" i="7" s="1"/>
  <c r="U573" i="7"/>
  <c r="U574" i="7" s="1"/>
  <c r="U126" i="7" s="1"/>
  <c r="E573" i="7"/>
  <c r="E574" i="7" s="1"/>
  <c r="E126" i="7" s="1"/>
  <c r="P573" i="7"/>
  <c r="P574" i="7" s="1"/>
  <c r="P126" i="7" s="1"/>
  <c r="AE573" i="7"/>
  <c r="AE574" i="7" s="1"/>
  <c r="AE126" i="7" s="1"/>
  <c r="O573" i="7"/>
  <c r="O574" i="7" s="1"/>
  <c r="O126" i="7" s="1"/>
  <c r="AP573" i="7"/>
  <c r="AP574" i="7" s="1"/>
  <c r="AP126" i="7" s="1"/>
  <c r="Z573" i="7"/>
  <c r="Z574" i="7" s="1"/>
  <c r="Z126" i="7" s="1"/>
  <c r="J573" i="7"/>
  <c r="J574" i="7" s="1"/>
  <c r="J126" i="7" s="1"/>
  <c r="AG573" i="7"/>
  <c r="AG574" i="7" s="1"/>
  <c r="AG126" i="7" s="1"/>
  <c r="Q573" i="7"/>
  <c r="Q574" i="7" s="1"/>
  <c r="Q126" i="7" s="1"/>
  <c r="AN573" i="7"/>
  <c r="AN574" i="7" s="1"/>
  <c r="AN126" i="7" s="1"/>
  <c r="T573" i="7"/>
  <c r="T574" i="7" s="1"/>
  <c r="T126" i="7" s="1"/>
  <c r="AB573" i="7"/>
  <c r="AB574" i="7" s="1"/>
  <c r="AB126" i="7" s="1"/>
  <c r="AA573" i="7"/>
  <c r="AA574" i="7" s="1"/>
  <c r="AA126" i="7" s="1"/>
  <c r="K573" i="7"/>
  <c r="K574" i="7" s="1"/>
  <c r="K126" i="7" s="1"/>
  <c r="AL573" i="7"/>
  <c r="AL574" i="7" s="1"/>
  <c r="AL126" i="7" s="1"/>
  <c r="V573" i="7"/>
  <c r="V574" i="7" s="1"/>
  <c r="V126" i="7" s="1"/>
  <c r="F573" i="7"/>
  <c r="F574" i="7" s="1"/>
  <c r="F126" i="7" s="1"/>
  <c r="AC573" i="7"/>
  <c r="AC574" i="7" s="1"/>
  <c r="AC126" i="7" s="1"/>
  <c r="M573" i="7"/>
  <c r="M574" i="7" s="1"/>
  <c r="M126" i="7" s="1"/>
  <c r="X573" i="7"/>
  <c r="X574" i="7" s="1"/>
  <c r="X126" i="7" s="1"/>
  <c r="D573" i="7"/>
  <c r="D574" i="7" s="1"/>
  <c r="D126" i="7" s="1"/>
  <c r="L573" i="7"/>
  <c r="L574" i="7" s="1"/>
  <c r="L126" i="7" s="1"/>
  <c r="AJ573" i="7"/>
  <c r="AJ574" i="7" s="1"/>
  <c r="AJ126" i="7" s="1"/>
  <c r="H430" i="7"/>
  <c r="K430" i="7" s="1"/>
  <c r="L430" i="7" s="1"/>
  <c r="H433" i="7"/>
  <c r="K433" i="7" s="1"/>
  <c r="L433" i="7" s="1"/>
  <c r="AM567" i="7"/>
  <c r="AM568" i="7" s="1"/>
  <c r="AM125" i="7" s="1"/>
  <c r="W567" i="7"/>
  <c r="W568" i="7" s="1"/>
  <c r="W125" i="7" s="1"/>
  <c r="G567" i="7"/>
  <c r="G568" i="7" s="1"/>
  <c r="G125" i="7" s="1"/>
  <c r="AH567" i="7"/>
  <c r="AH568" i="7" s="1"/>
  <c r="AH125" i="7" s="1"/>
  <c r="R567" i="7"/>
  <c r="R568" i="7" s="1"/>
  <c r="R125" i="7" s="1"/>
  <c r="AO567" i="7"/>
  <c r="AO568" i="7" s="1"/>
  <c r="AO125" i="7" s="1"/>
  <c r="Q567" i="7"/>
  <c r="Q568" i="7" s="1"/>
  <c r="Q125" i="7" s="1"/>
  <c r="P567" i="7"/>
  <c r="P568" i="7" s="1"/>
  <c r="P125" i="7" s="1"/>
  <c r="U567" i="7"/>
  <c r="U568" i="7" s="1"/>
  <c r="U125" i="7" s="1"/>
  <c r="AB567" i="7"/>
  <c r="AB568" i="7" s="1"/>
  <c r="AB125" i="7" s="1"/>
  <c r="AI567" i="7"/>
  <c r="AI568" i="7" s="1"/>
  <c r="AI125" i="7" s="1"/>
  <c r="S567" i="7"/>
  <c r="S568" i="7" s="1"/>
  <c r="S125" i="7" s="1"/>
  <c r="C567" i="7"/>
  <c r="AD567" i="7"/>
  <c r="AD568" i="7" s="1"/>
  <c r="AD125" i="7" s="1"/>
  <c r="N567" i="7"/>
  <c r="N568" i="7" s="1"/>
  <c r="N125" i="7" s="1"/>
  <c r="AK567" i="7"/>
  <c r="AK568" i="7" s="1"/>
  <c r="AK125" i="7" s="1"/>
  <c r="I567" i="7"/>
  <c r="I568" i="7" s="1"/>
  <c r="I125" i="7" s="1"/>
  <c r="H567" i="7"/>
  <c r="H568" i="7" s="1"/>
  <c r="H125" i="7" s="1"/>
  <c r="M567" i="7"/>
  <c r="M568" i="7" s="1"/>
  <c r="M125" i="7" s="1"/>
  <c r="T567" i="7"/>
  <c r="T568" i="7" s="1"/>
  <c r="T125" i="7" s="1"/>
  <c r="AE567" i="7"/>
  <c r="AE568" i="7" s="1"/>
  <c r="AE125" i="7" s="1"/>
  <c r="O567" i="7"/>
  <c r="O568" i="7" s="1"/>
  <c r="O125" i="7" s="1"/>
  <c r="AP567" i="7"/>
  <c r="AP568" i="7" s="1"/>
  <c r="AP125" i="7" s="1"/>
  <c r="Z567" i="7"/>
  <c r="Z568" i="7" s="1"/>
  <c r="Z125" i="7" s="1"/>
  <c r="J567" i="7"/>
  <c r="J568" i="7" s="1"/>
  <c r="J125" i="7" s="1"/>
  <c r="AG567" i="7"/>
  <c r="AG568" i="7" s="1"/>
  <c r="AG125" i="7" s="1"/>
  <c r="AF567" i="7"/>
  <c r="AF568" i="7" s="1"/>
  <c r="AF125" i="7" s="1"/>
  <c r="AN567" i="7"/>
  <c r="AN568" i="7" s="1"/>
  <c r="AN125" i="7" s="1"/>
  <c r="E567" i="7"/>
  <c r="E568" i="7" s="1"/>
  <c r="E125" i="7" s="1"/>
  <c r="L567" i="7"/>
  <c r="L568" i="7" s="1"/>
  <c r="L125" i="7" s="1"/>
  <c r="AA567" i="7"/>
  <c r="AA568" i="7" s="1"/>
  <c r="AA125" i="7" s="1"/>
  <c r="K567" i="7"/>
  <c r="K568" i="7" s="1"/>
  <c r="K125" i="7" s="1"/>
  <c r="AL567" i="7"/>
  <c r="AL568" i="7" s="1"/>
  <c r="AL125" i="7" s="1"/>
  <c r="V567" i="7"/>
  <c r="V568" i="7" s="1"/>
  <c r="V125" i="7" s="1"/>
  <c r="F567" i="7"/>
  <c r="F568" i="7" s="1"/>
  <c r="F125" i="7" s="1"/>
  <c r="Y567" i="7"/>
  <c r="Y568" i="7" s="1"/>
  <c r="Y125" i="7" s="1"/>
  <c r="X567" i="7"/>
  <c r="X568" i="7" s="1"/>
  <c r="X125" i="7" s="1"/>
  <c r="AC567" i="7"/>
  <c r="AC568" i="7" s="1"/>
  <c r="AC125" i="7" s="1"/>
  <c r="AJ567" i="7"/>
  <c r="AJ568" i="7" s="1"/>
  <c r="AJ125" i="7" s="1"/>
  <c r="D567" i="7"/>
  <c r="D568" i="7" s="1"/>
  <c r="D125" i="7" s="1"/>
  <c r="H428" i="7"/>
  <c r="K428" i="7" s="1"/>
  <c r="L428" i="7" s="1"/>
  <c r="B169" i="7"/>
  <c r="C166" i="7" s="1"/>
  <c r="C168" i="7" s="1"/>
  <c r="C193" i="7" s="1"/>
  <c r="B178" i="7"/>
  <c r="B183" i="7" s="1"/>
  <c r="K432" i="7"/>
  <c r="L432" i="7" s="1"/>
  <c r="K296" i="7"/>
  <c r="L296" i="7" s="1"/>
  <c r="H298" i="7"/>
  <c r="D114" i="7"/>
  <c r="D115" i="7" s="1"/>
  <c r="D120" i="7" s="1"/>
  <c r="K427" i="7"/>
  <c r="L427" i="7" s="1"/>
  <c r="K291" i="7"/>
  <c r="L291" i="7" s="1"/>
  <c r="H434" i="7" l="1"/>
  <c r="AC127" i="7"/>
  <c r="AC253" i="7"/>
  <c r="AC255" i="7" s="1"/>
  <c r="AC283" i="7" s="1"/>
  <c r="AC285" i="7" s="1"/>
  <c r="V127" i="7"/>
  <c r="V198" i="7" s="1"/>
  <c r="V253" i="7"/>
  <c r="L127" i="7"/>
  <c r="L198" i="7" s="1"/>
  <c r="L253" i="7"/>
  <c r="AG127" i="7"/>
  <c r="AG253" i="7"/>
  <c r="AG255" i="7" s="1"/>
  <c r="AG283" i="7" s="1"/>
  <c r="AG285" i="7" s="1"/>
  <c r="O127" i="7"/>
  <c r="O198" i="7" s="1"/>
  <c r="O253" i="7"/>
  <c r="H127" i="7"/>
  <c r="H198" i="7" s="1"/>
  <c r="H253" i="7"/>
  <c r="AD127" i="7"/>
  <c r="AD253" i="7"/>
  <c r="AD255" i="7" s="1"/>
  <c r="AD283" i="7" s="1"/>
  <c r="AD285" i="7" s="1"/>
  <c r="AB127" i="7"/>
  <c r="AB253" i="7"/>
  <c r="AB255" i="7" s="1"/>
  <c r="AB283" i="7" s="1"/>
  <c r="AB285" i="7" s="1"/>
  <c r="AO127" i="7"/>
  <c r="AO253" i="7"/>
  <c r="AO255" i="7" s="1"/>
  <c r="AO283" i="7" s="1"/>
  <c r="AO285" i="7" s="1"/>
  <c r="W127" i="7"/>
  <c r="W198" i="7" s="1"/>
  <c r="W253" i="7"/>
  <c r="X127" i="7"/>
  <c r="X198" i="7" s="1"/>
  <c r="X253" i="7"/>
  <c r="AL127" i="7"/>
  <c r="AL253" i="7"/>
  <c r="AL255" i="7" s="1"/>
  <c r="AL283" i="7" s="1"/>
  <c r="AL285" i="7" s="1"/>
  <c r="E127" i="7"/>
  <c r="E198" i="7" s="1"/>
  <c r="E253" i="7"/>
  <c r="J127" i="7"/>
  <c r="J198" i="7" s="1"/>
  <c r="J253" i="7"/>
  <c r="AE127" i="7"/>
  <c r="AE253" i="7"/>
  <c r="AE255" i="7" s="1"/>
  <c r="AE283" i="7" s="1"/>
  <c r="AE285" i="7" s="1"/>
  <c r="I127" i="7"/>
  <c r="I198" i="7" s="1"/>
  <c r="I253" i="7"/>
  <c r="I298" i="7"/>
  <c r="C568" i="7"/>
  <c r="C125" i="7" s="1"/>
  <c r="U127" i="7"/>
  <c r="U198" i="7" s="1"/>
  <c r="U253" i="7"/>
  <c r="R127" i="7"/>
  <c r="R198" i="7" s="1"/>
  <c r="R253" i="7"/>
  <c r="AM127" i="7"/>
  <c r="AM253" i="7"/>
  <c r="AM255" i="7" s="1"/>
  <c r="AM283" i="7" s="1"/>
  <c r="AM285" i="7" s="1"/>
  <c r="D127" i="7"/>
  <c r="D198" i="7" s="1"/>
  <c r="D253" i="7"/>
  <c r="Y127" i="7"/>
  <c r="Y198" i="7" s="1"/>
  <c r="Y253" i="7"/>
  <c r="K127" i="7"/>
  <c r="K198" i="7" s="1"/>
  <c r="K253" i="7"/>
  <c r="AN127" i="7"/>
  <c r="AN253" i="7"/>
  <c r="AN255" i="7" s="1"/>
  <c r="AN283" i="7" s="1"/>
  <c r="AN285" i="7" s="1"/>
  <c r="Z127" i="7"/>
  <c r="Z198" i="7" s="1"/>
  <c r="Z253" i="7"/>
  <c r="T127" i="7"/>
  <c r="T198" i="7" s="1"/>
  <c r="T253" i="7"/>
  <c r="AK127" i="7"/>
  <c r="AK253" i="7"/>
  <c r="AK255" i="7" s="1"/>
  <c r="AK283" i="7" s="1"/>
  <c r="AK285" i="7" s="1"/>
  <c r="S127" i="7"/>
  <c r="S198" i="7" s="1"/>
  <c r="S253" i="7"/>
  <c r="P127" i="7"/>
  <c r="P198" i="7" s="1"/>
  <c r="P253" i="7"/>
  <c r="AH127" i="7"/>
  <c r="AH253" i="7"/>
  <c r="AH255" i="7" s="1"/>
  <c r="AH283" i="7" s="1"/>
  <c r="AH285" i="7" s="1"/>
  <c r="AJ127" i="7"/>
  <c r="AJ253" i="7"/>
  <c r="AJ255" i="7" s="1"/>
  <c r="AJ283" i="7" s="1"/>
  <c r="AJ285" i="7" s="1"/>
  <c r="F127" i="7"/>
  <c r="F198" i="7" s="1"/>
  <c r="F253" i="7"/>
  <c r="AA127" i="7"/>
  <c r="AA198" i="7" s="1"/>
  <c r="AA253" i="7"/>
  <c r="AF127" i="7"/>
  <c r="AF253" i="7"/>
  <c r="AF255" i="7" s="1"/>
  <c r="AF283" i="7" s="1"/>
  <c r="AF285" i="7" s="1"/>
  <c r="AP127" i="7"/>
  <c r="AP253" i="7"/>
  <c r="AP255" i="7" s="1"/>
  <c r="AP283" i="7" s="1"/>
  <c r="AP285" i="7" s="1"/>
  <c r="M127" i="7"/>
  <c r="M198" i="7" s="1"/>
  <c r="M253" i="7"/>
  <c r="N127" i="7"/>
  <c r="N198" i="7" s="1"/>
  <c r="N253" i="7"/>
  <c r="AI127" i="7"/>
  <c r="AI253" i="7"/>
  <c r="AI255" i="7" s="1"/>
  <c r="AI283" i="7" s="1"/>
  <c r="AI285" i="7" s="1"/>
  <c r="Q127" i="7"/>
  <c r="Q198" i="7" s="1"/>
  <c r="Q253" i="7"/>
  <c r="G127" i="7"/>
  <c r="G198" i="7" s="1"/>
  <c r="G253" i="7"/>
  <c r="C574" i="7"/>
  <c r="C126" i="7" s="1"/>
  <c r="C127" i="7" s="1"/>
  <c r="C198" i="7" s="1"/>
  <c r="I434" i="7"/>
  <c r="C174" i="7"/>
  <c r="C169" i="7"/>
  <c r="D166" i="7" s="1"/>
  <c r="D168" i="7" s="1"/>
  <c r="D193" i="7" s="1"/>
  <c r="D121" i="7"/>
  <c r="L434" i="7"/>
  <c r="L298" i="7"/>
  <c r="E213" i="7"/>
  <c r="E114" i="7"/>
  <c r="E115" i="7" s="1"/>
  <c r="E250" i="7"/>
  <c r="E77" i="7"/>
  <c r="E78" i="7" s="1"/>
  <c r="C253" i="7"/>
  <c r="AI144" i="7" l="1"/>
  <c r="AI134" i="7"/>
  <c r="AI135" i="7" s="1"/>
  <c r="AI200" i="7" s="1"/>
  <c r="AF144" i="7"/>
  <c r="AF134" i="7"/>
  <c r="AF135" i="7" s="1"/>
  <c r="AF200" i="7" s="1"/>
  <c r="AH144" i="7"/>
  <c r="AH134" i="7"/>
  <c r="AH135" i="7" s="1"/>
  <c r="AH200" i="7" s="1"/>
  <c r="AN144" i="7"/>
  <c r="AN134" i="7"/>
  <c r="AN135" i="7" s="1"/>
  <c r="AN200" i="7" s="1"/>
  <c r="AM144" i="7"/>
  <c r="AM134" i="7"/>
  <c r="AM135" i="7" s="1"/>
  <c r="AM200" i="7" s="1"/>
  <c r="AL144" i="7"/>
  <c r="AL134" i="7"/>
  <c r="AL135" i="7" s="1"/>
  <c r="AL200" i="7" s="1"/>
  <c r="AB144" i="7"/>
  <c r="AB134" i="7"/>
  <c r="AB135" i="7" s="1"/>
  <c r="AB200" i="7" s="1"/>
  <c r="AG144" i="7"/>
  <c r="AG134" i="7"/>
  <c r="AG135" i="7" s="1"/>
  <c r="AG200" i="7" s="1"/>
  <c r="AI198" i="7"/>
  <c r="AI136" i="7"/>
  <c r="AF198" i="7"/>
  <c r="AF136" i="7"/>
  <c r="AH198" i="7"/>
  <c r="AH136" i="7"/>
  <c r="AN198" i="7"/>
  <c r="AN136" i="7"/>
  <c r="AM198" i="7"/>
  <c r="AM136" i="7"/>
  <c r="AL198" i="7"/>
  <c r="AL136" i="7"/>
  <c r="AB198" i="7"/>
  <c r="AB136" i="7"/>
  <c r="AG198" i="7"/>
  <c r="AG136" i="7"/>
  <c r="I432" i="7"/>
  <c r="J432" i="7" s="1"/>
  <c r="I431" i="7"/>
  <c r="J431" i="7" s="1"/>
  <c r="I428" i="7"/>
  <c r="J428" i="7" s="1"/>
  <c r="I429" i="7"/>
  <c r="J429" i="7" s="1"/>
  <c r="I430" i="7"/>
  <c r="J430" i="7" s="1"/>
  <c r="I433" i="7"/>
  <c r="J433" i="7" s="1"/>
  <c r="I427" i="7"/>
  <c r="J427" i="7" s="1"/>
  <c r="AP144" i="7"/>
  <c r="AP134" i="7"/>
  <c r="AP135" i="7" s="1"/>
  <c r="AP200" i="7" s="1"/>
  <c r="AJ144" i="7"/>
  <c r="AJ134" i="7"/>
  <c r="AJ135" i="7" s="1"/>
  <c r="AJ200" i="7" s="1"/>
  <c r="AK144" i="7"/>
  <c r="AK134" i="7"/>
  <c r="AK135" i="7" s="1"/>
  <c r="AK200" i="7" s="1"/>
  <c r="AE144" i="7"/>
  <c r="AE134" i="7"/>
  <c r="AE135" i="7" s="1"/>
  <c r="AE200" i="7" s="1"/>
  <c r="AO144" i="7"/>
  <c r="AO134" i="7"/>
  <c r="AO135" i="7" s="1"/>
  <c r="AO200" i="7" s="1"/>
  <c r="AD144" i="7"/>
  <c r="AD134" i="7"/>
  <c r="AD135" i="7" s="1"/>
  <c r="AD200" i="7" s="1"/>
  <c r="AC144" i="7"/>
  <c r="AC134" i="7"/>
  <c r="AC135" i="7" s="1"/>
  <c r="AC200" i="7" s="1"/>
  <c r="AP198" i="7"/>
  <c r="AJ198" i="7"/>
  <c r="AK198" i="7"/>
  <c r="I295" i="7"/>
  <c r="J295" i="7" s="1"/>
  <c r="I292" i="7"/>
  <c r="J292" i="7" s="1"/>
  <c r="I297" i="7"/>
  <c r="J297" i="7" s="1"/>
  <c r="I291" i="7"/>
  <c r="J291" i="7" s="1"/>
  <c r="I294" i="7"/>
  <c r="J294" i="7" s="1"/>
  <c r="I293" i="7"/>
  <c r="J293" i="7" s="1"/>
  <c r="I296" i="7"/>
  <c r="J296" i="7" s="1"/>
  <c r="AE198" i="7"/>
  <c r="AO198" i="7"/>
  <c r="AD198" i="7"/>
  <c r="AC198" i="7"/>
  <c r="E120" i="7"/>
  <c r="AP136" i="7" l="1"/>
  <c r="AO136" i="7"/>
  <c r="AC136" i="7"/>
  <c r="AE136" i="7"/>
  <c r="AD136" i="7"/>
  <c r="AK136" i="7"/>
  <c r="N293" i="7"/>
  <c r="O293" i="7" s="1"/>
  <c r="Q293" i="7" s="1"/>
  <c r="N429" i="7"/>
  <c r="O429" i="7" s="1"/>
  <c r="Q429" i="7" s="1"/>
  <c r="J298" i="7"/>
  <c r="J434" i="7"/>
  <c r="N427" i="7"/>
  <c r="N291" i="7"/>
  <c r="N428" i="7"/>
  <c r="O428" i="7" s="1"/>
  <c r="N292" i="7"/>
  <c r="O292" i="7" s="1"/>
  <c r="P292" i="7" s="1"/>
  <c r="Q292" i="7" s="1"/>
  <c r="AK333" i="7" s="1"/>
  <c r="N297" i="7"/>
  <c r="O297" i="7" s="1"/>
  <c r="Q297" i="7" s="1"/>
  <c r="E338" i="7" s="1"/>
  <c r="N433" i="7"/>
  <c r="O433" i="7" s="1"/>
  <c r="Q433" i="7" s="1"/>
  <c r="N295" i="7"/>
  <c r="O295" i="7" s="1"/>
  <c r="Q295" i="7" s="1"/>
  <c r="N431" i="7"/>
  <c r="O431" i="7" s="1"/>
  <c r="Q431" i="7" s="1"/>
  <c r="AJ136" i="7"/>
  <c r="N430" i="7"/>
  <c r="O430" i="7" s="1"/>
  <c r="Q430" i="7" s="1"/>
  <c r="N294" i="7"/>
  <c r="O294" i="7" s="1"/>
  <c r="Q294" i="7" s="1"/>
  <c r="N432" i="7"/>
  <c r="O432" i="7" s="1"/>
  <c r="Q432" i="7" s="1"/>
  <c r="N296" i="7"/>
  <c r="O296" i="7" s="1"/>
  <c r="Q296" i="7" s="1"/>
  <c r="J333" i="7"/>
  <c r="Q333" i="7"/>
  <c r="X333" i="7"/>
  <c r="H333" i="7"/>
  <c r="C333" i="7"/>
  <c r="AH333" i="7"/>
  <c r="R333" i="7"/>
  <c r="D333" i="7"/>
  <c r="M333" i="7"/>
  <c r="AJ333" i="7"/>
  <c r="T333" i="7"/>
  <c r="AA333" i="7"/>
  <c r="G333" i="7"/>
  <c r="AD333" i="7"/>
  <c r="AO333" i="7"/>
  <c r="Y333" i="7"/>
  <c r="I333" i="7"/>
  <c r="P333" i="7"/>
  <c r="O333" i="7"/>
  <c r="K333" i="7"/>
  <c r="C338" i="7"/>
  <c r="G338" i="7"/>
  <c r="K338" i="7"/>
  <c r="O338" i="7"/>
  <c r="S338" i="7"/>
  <c r="W338" i="7"/>
  <c r="AA338" i="7"/>
  <c r="D169" i="7"/>
  <c r="E166" i="7" s="1"/>
  <c r="E121" i="7"/>
  <c r="F77" i="7"/>
  <c r="F78" i="7" s="1"/>
  <c r="F250" i="7"/>
  <c r="F213" i="7"/>
  <c r="AG333" i="7" l="1"/>
  <c r="AL333" i="7"/>
  <c r="X338" i="7"/>
  <c r="T338" i="7"/>
  <c r="P338" i="7"/>
  <c r="L338" i="7"/>
  <c r="H338" i="7"/>
  <c r="D338" i="7"/>
  <c r="Z338" i="7"/>
  <c r="V338" i="7"/>
  <c r="R338" i="7"/>
  <c r="N338" i="7"/>
  <c r="J338" i="7"/>
  <c r="F338" i="7"/>
  <c r="Y338" i="7"/>
  <c r="U338" i="7"/>
  <c r="Q338" i="7"/>
  <c r="M338" i="7"/>
  <c r="I338" i="7"/>
  <c r="AM333" i="7"/>
  <c r="AB333" i="7"/>
  <c r="P473" i="7"/>
  <c r="I473" i="7"/>
  <c r="AL473" i="7"/>
  <c r="H473" i="7"/>
  <c r="G473" i="7"/>
  <c r="AO473" i="7"/>
  <c r="AF473" i="7"/>
  <c r="AG473" i="7"/>
  <c r="N473" i="7"/>
  <c r="L473" i="7"/>
  <c r="X473" i="7"/>
  <c r="T473" i="7"/>
  <c r="AB473" i="7"/>
  <c r="AK473" i="7"/>
  <c r="E473" i="7"/>
  <c r="AH473" i="7"/>
  <c r="AI473" i="7"/>
  <c r="R473" i="7"/>
  <c r="S473" i="7"/>
  <c r="AA473" i="7"/>
  <c r="AN473" i="7"/>
  <c r="AC473" i="7"/>
  <c r="M473" i="7"/>
  <c r="V473" i="7"/>
  <c r="Q473" i="7"/>
  <c r="AE473" i="7"/>
  <c r="D473" i="7"/>
  <c r="J473" i="7"/>
  <c r="O473" i="7"/>
  <c r="AJ473" i="7"/>
  <c r="K473" i="7"/>
  <c r="U473" i="7"/>
  <c r="Z473" i="7"/>
  <c r="AM473" i="7"/>
  <c r="Y473" i="7"/>
  <c r="C473" i="7"/>
  <c r="W473" i="7"/>
  <c r="AD473" i="7"/>
  <c r="F473" i="7"/>
  <c r="AP473" i="7"/>
  <c r="AG472" i="7"/>
  <c r="AC472" i="7"/>
  <c r="AM472" i="7"/>
  <c r="Y472" i="7"/>
  <c r="AH472" i="7"/>
  <c r="AF472" i="7"/>
  <c r="O472" i="7"/>
  <c r="AI472" i="7"/>
  <c r="G472" i="7"/>
  <c r="U472" i="7"/>
  <c r="AA472" i="7"/>
  <c r="C472" i="7"/>
  <c r="AN472" i="7"/>
  <c r="Z472" i="7"/>
  <c r="AD472" i="7"/>
  <c r="M472" i="7"/>
  <c r="S472" i="7"/>
  <c r="W472" i="7"/>
  <c r="L472" i="7"/>
  <c r="N472" i="7"/>
  <c r="F472" i="7"/>
  <c r="X472" i="7"/>
  <c r="AL472" i="7"/>
  <c r="AK472" i="7"/>
  <c r="H472" i="7"/>
  <c r="Q472" i="7"/>
  <c r="AB472" i="7"/>
  <c r="V472" i="7"/>
  <c r="E472" i="7"/>
  <c r="AE472" i="7"/>
  <c r="AJ472" i="7"/>
  <c r="AP472" i="7"/>
  <c r="K472" i="7"/>
  <c r="R472" i="7"/>
  <c r="AO472" i="7"/>
  <c r="D472" i="7"/>
  <c r="T472" i="7"/>
  <c r="J472" i="7"/>
  <c r="I472" i="7"/>
  <c r="P472" i="7"/>
  <c r="E333" i="7"/>
  <c r="Z333" i="7"/>
  <c r="AM335" i="7"/>
  <c r="W335" i="7"/>
  <c r="G335" i="7"/>
  <c r="M335" i="7"/>
  <c r="T335" i="7"/>
  <c r="AL335" i="7"/>
  <c r="V335" i="7"/>
  <c r="F335" i="7"/>
  <c r="Y335" i="7"/>
  <c r="AF335" i="7"/>
  <c r="AI335" i="7"/>
  <c r="S335" i="7"/>
  <c r="C335" i="7"/>
  <c r="E335" i="7"/>
  <c r="P335" i="7"/>
  <c r="AH335" i="7"/>
  <c r="R335" i="7"/>
  <c r="AO335" i="7"/>
  <c r="Q335" i="7"/>
  <c r="X335" i="7"/>
  <c r="AE335" i="7"/>
  <c r="O335" i="7"/>
  <c r="AG335" i="7"/>
  <c r="AJ335" i="7"/>
  <c r="H335" i="7"/>
  <c r="AD335" i="7"/>
  <c r="N335" i="7"/>
  <c r="AK335" i="7"/>
  <c r="I335" i="7"/>
  <c r="L335" i="7"/>
  <c r="AA335" i="7"/>
  <c r="K335" i="7"/>
  <c r="U335" i="7"/>
  <c r="AB335" i="7"/>
  <c r="AP335" i="7"/>
  <c r="Z335" i="7"/>
  <c r="J335" i="7"/>
  <c r="AC335" i="7"/>
  <c r="AN335" i="7"/>
  <c r="D335" i="7"/>
  <c r="AL336" i="7"/>
  <c r="V336" i="7"/>
  <c r="F336" i="7"/>
  <c r="AK336" i="7"/>
  <c r="U336" i="7"/>
  <c r="E336" i="7"/>
  <c r="P336" i="7"/>
  <c r="AE336" i="7"/>
  <c r="AA336" i="7"/>
  <c r="K336" i="7"/>
  <c r="AH336" i="7"/>
  <c r="R336" i="7"/>
  <c r="AJ336" i="7"/>
  <c r="AG336" i="7"/>
  <c r="Q336" i="7"/>
  <c r="AN336" i="7"/>
  <c r="L336" i="7"/>
  <c r="S336" i="7"/>
  <c r="O336" i="7"/>
  <c r="AI336" i="7"/>
  <c r="AD336" i="7"/>
  <c r="N336" i="7"/>
  <c r="AB336" i="7"/>
  <c r="AC336" i="7"/>
  <c r="M336" i="7"/>
  <c r="AF336" i="7"/>
  <c r="H336" i="7"/>
  <c r="C336" i="7"/>
  <c r="AM336" i="7"/>
  <c r="G336" i="7"/>
  <c r="AP336" i="7"/>
  <c r="Z336" i="7"/>
  <c r="J336" i="7"/>
  <c r="AO336" i="7"/>
  <c r="Y336" i="7"/>
  <c r="I336" i="7"/>
  <c r="X336" i="7"/>
  <c r="D336" i="7"/>
  <c r="T336" i="7"/>
  <c r="W336" i="7"/>
  <c r="P428" i="7"/>
  <c r="Q428" i="7" s="1"/>
  <c r="F333" i="7"/>
  <c r="AI333" i="7"/>
  <c r="U333" i="7"/>
  <c r="AP333" i="7"/>
  <c r="N471" i="7"/>
  <c r="AI471" i="7"/>
  <c r="AO471" i="7"/>
  <c r="E471" i="7"/>
  <c r="O471" i="7"/>
  <c r="C471" i="7"/>
  <c r="K471" i="7"/>
  <c r="X471" i="7"/>
  <c r="G471" i="7"/>
  <c r="Y471" i="7"/>
  <c r="AN471" i="7"/>
  <c r="W471" i="7"/>
  <c r="P471" i="7"/>
  <c r="AK471" i="7"/>
  <c r="F471" i="7"/>
  <c r="L471" i="7"/>
  <c r="U471" i="7"/>
  <c r="D471" i="7"/>
  <c r="AA471" i="7"/>
  <c r="AC471" i="7"/>
  <c r="AH471" i="7"/>
  <c r="Q471" i="7"/>
  <c r="AG471" i="7"/>
  <c r="S471" i="7"/>
  <c r="Z471" i="7"/>
  <c r="R471" i="7"/>
  <c r="V471" i="7"/>
  <c r="T471" i="7"/>
  <c r="AE471" i="7"/>
  <c r="AM471" i="7"/>
  <c r="M471" i="7"/>
  <c r="AD471" i="7"/>
  <c r="H471" i="7"/>
  <c r="AJ471" i="7"/>
  <c r="AP471" i="7"/>
  <c r="AB471" i="7"/>
  <c r="I471" i="7"/>
  <c r="AL471" i="7"/>
  <c r="AF471" i="7"/>
  <c r="J471" i="7"/>
  <c r="D474" i="7"/>
  <c r="H474" i="7"/>
  <c r="L474" i="7"/>
  <c r="P474" i="7"/>
  <c r="T474" i="7"/>
  <c r="X474" i="7"/>
  <c r="E474" i="7"/>
  <c r="I474" i="7"/>
  <c r="M474" i="7"/>
  <c r="Q474" i="7"/>
  <c r="U474" i="7"/>
  <c r="Y474" i="7"/>
  <c r="F474" i="7"/>
  <c r="J474" i="7"/>
  <c r="N474" i="7"/>
  <c r="R474" i="7"/>
  <c r="V474" i="7"/>
  <c r="Z474" i="7"/>
  <c r="C474" i="7"/>
  <c r="G474" i="7"/>
  <c r="K474" i="7"/>
  <c r="O474" i="7"/>
  <c r="S474" i="7"/>
  <c r="W474" i="7"/>
  <c r="AA474" i="7"/>
  <c r="N298" i="7"/>
  <c r="O291" i="7"/>
  <c r="E470" i="7"/>
  <c r="L470" i="7"/>
  <c r="AF470" i="7"/>
  <c r="C470" i="7"/>
  <c r="Y470" i="7"/>
  <c r="V470" i="7"/>
  <c r="F470" i="7"/>
  <c r="AB470" i="7"/>
  <c r="AE470" i="7"/>
  <c r="W470" i="7"/>
  <c r="D470" i="7"/>
  <c r="N470" i="7"/>
  <c r="K470" i="7"/>
  <c r="AD470" i="7"/>
  <c r="AK470" i="7"/>
  <c r="AL470" i="7"/>
  <c r="Q470" i="7"/>
  <c r="AC470" i="7"/>
  <c r="I470" i="7"/>
  <c r="AA470" i="7"/>
  <c r="G470" i="7"/>
  <c r="P470" i="7"/>
  <c r="S470" i="7"/>
  <c r="T470" i="7"/>
  <c r="Z470" i="7"/>
  <c r="R470" i="7"/>
  <c r="U470" i="7"/>
  <c r="AO470" i="7"/>
  <c r="AP470" i="7"/>
  <c r="X470" i="7"/>
  <c r="AI470" i="7"/>
  <c r="O470" i="7"/>
  <c r="AJ470" i="7"/>
  <c r="AH470" i="7"/>
  <c r="AG470" i="7"/>
  <c r="AN470" i="7"/>
  <c r="H470" i="7"/>
  <c r="AM470" i="7"/>
  <c r="M470" i="7"/>
  <c r="J470" i="7"/>
  <c r="S333" i="7"/>
  <c r="AF333" i="7"/>
  <c r="N333" i="7"/>
  <c r="AE333" i="7"/>
  <c r="AC333" i="7"/>
  <c r="W333" i="7"/>
  <c r="AN333" i="7"/>
  <c r="V333" i="7"/>
  <c r="L333" i="7"/>
  <c r="AD337" i="7"/>
  <c r="N337" i="7"/>
  <c r="AK337" i="7"/>
  <c r="U337" i="7"/>
  <c r="E337" i="7"/>
  <c r="P337" i="7"/>
  <c r="K337" i="7"/>
  <c r="O337" i="7"/>
  <c r="T337" i="7"/>
  <c r="C337" i="7"/>
  <c r="AP337" i="7"/>
  <c r="Z337" i="7"/>
  <c r="J337" i="7"/>
  <c r="AG337" i="7"/>
  <c r="Q337" i="7"/>
  <c r="AN337" i="7"/>
  <c r="H337" i="7"/>
  <c r="AM337" i="7"/>
  <c r="G337" i="7"/>
  <c r="L337" i="7"/>
  <c r="AL337" i="7"/>
  <c r="V337" i="7"/>
  <c r="F337" i="7"/>
  <c r="AC337" i="7"/>
  <c r="M337" i="7"/>
  <c r="AF337" i="7"/>
  <c r="AI337" i="7"/>
  <c r="AE337" i="7"/>
  <c r="AJ337" i="7"/>
  <c r="D337" i="7"/>
  <c r="AH337" i="7"/>
  <c r="R337" i="7"/>
  <c r="AO337" i="7"/>
  <c r="Y337" i="7"/>
  <c r="I337" i="7"/>
  <c r="X337" i="7"/>
  <c r="AA337" i="7"/>
  <c r="W337" i="7"/>
  <c r="AB337" i="7"/>
  <c r="S337" i="7"/>
  <c r="O427" i="7"/>
  <c r="N434" i="7"/>
  <c r="AL334" i="7"/>
  <c r="V334" i="7"/>
  <c r="F334" i="7"/>
  <c r="AG334" i="7"/>
  <c r="Q334" i="7"/>
  <c r="AN334" i="7"/>
  <c r="X334" i="7"/>
  <c r="D334" i="7"/>
  <c r="AA334" i="7"/>
  <c r="AE334" i="7"/>
  <c r="AH334" i="7"/>
  <c r="R334" i="7"/>
  <c r="P334" i="7"/>
  <c r="AC334" i="7"/>
  <c r="M334" i="7"/>
  <c r="AJ334" i="7"/>
  <c r="T334" i="7"/>
  <c r="AM334" i="7"/>
  <c r="AI334" i="7"/>
  <c r="O334" i="7"/>
  <c r="AD334" i="7"/>
  <c r="N334" i="7"/>
  <c r="AO334" i="7"/>
  <c r="Y334" i="7"/>
  <c r="I334" i="7"/>
  <c r="AF334" i="7"/>
  <c r="L334" i="7"/>
  <c r="W334" i="7"/>
  <c r="S334" i="7"/>
  <c r="K334" i="7"/>
  <c r="AP334" i="7"/>
  <c r="Z334" i="7"/>
  <c r="J334" i="7"/>
  <c r="AK334" i="7"/>
  <c r="U334" i="7"/>
  <c r="E334" i="7"/>
  <c r="AB334" i="7"/>
  <c r="H334" i="7"/>
  <c r="G334" i="7"/>
  <c r="C334" i="7"/>
  <c r="E168" i="7"/>
  <c r="E193" i="7" s="1"/>
  <c r="F114" i="7"/>
  <c r="F115" i="7" s="1"/>
  <c r="F120" i="7" s="1"/>
  <c r="B333" i="7" l="1" a="1"/>
  <c r="B333" i="7" s="1"/>
  <c r="U469" i="7"/>
  <c r="D469" i="7"/>
  <c r="T469" i="7"/>
  <c r="O469" i="7"/>
  <c r="AD469" i="7"/>
  <c r="K469" i="7"/>
  <c r="M469" i="7"/>
  <c r="X469" i="7"/>
  <c r="J469" i="7"/>
  <c r="S469" i="7"/>
  <c r="P469" i="7"/>
  <c r="V469" i="7"/>
  <c r="AN469" i="7"/>
  <c r="Y469" i="7"/>
  <c r="N469" i="7"/>
  <c r="H469" i="7"/>
  <c r="AA469" i="7"/>
  <c r="I469" i="7"/>
  <c r="AE469" i="7"/>
  <c r="AI469" i="7"/>
  <c r="AF469" i="7"/>
  <c r="L469" i="7"/>
  <c r="F469" i="7"/>
  <c r="R469" i="7"/>
  <c r="Q469" i="7"/>
  <c r="C469" i="7"/>
  <c r="Z469" i="7"/>
  <c r="G469" i="7"/>
  <c r="AL469" i="7"/>
  <c r="AC469" i="7"/>
  <c r="E469" i="7"/>
  <c r="AP469" i="7"/>
  <c r="AG469" i="7"/>
  <c r="AB469" i="7"/>
  <c r="AO469" i="7"/>
  <c r="AM469" i="7"/>
  <c r="AJ469" i="7"/>
  <c r="AK469" i="7"/>
  <c r="W469" i="7"/>
  <c r="AH469" i="7"/>
  <c r="B472" i="7" a="1"/>
  <c r="B472" i="7" s="1"/>
  <c r="B470" i="7" a="1"/>
  <c r="B470" i="7" s="1"/>
  <c r="P291" i="7"/>
  <c r="P298" i="7" s="1"/>
  <c r="C339" i="7" s="1"/>
  <c r="B339" i="7" s="1"/>
  <c r="O298" i="7"/>
  <c r="B335" i="7" a="1"/>
  <c r="B335" i="7" s="1"/>
  <c r="B471" i="7" a="1"/>
  <c r="B471" i="7" s="1"/>
  <c r="B336" i="7" a="1"/>
  <c r="B336" i="7" s="1"/>
  <c r="B334" i="7" a="1"/>
  <c r="B334" i="7" s="1"/>
  <c r="O434" i="7"/>
  <c r="P427" i="7"/>
  <c r="E169" i="7"/>
  <c r="F166" i="7" s="1"/>
  <c r="F168" i="7" s="1"/>
  <c r="F193" i="7" s="1"/>
  <c r="F121" i="7"/>
  <c r="Q291" i="7" l="1"/>
  <c r="P434" i="7"/>
  <c r="C475" i="7" s="1"/>
  <c r="B475" i="7" s="1" a="1"/>
  <c r="B475" i="7" s="1"/>
  <c r="Q427" i="7"/>
  <c r="B469" i="7" a="1"/>
  <c r="B469" i="7" s="1"/>
  <c r="Q298" i="7"/>
  <c r="AP332" i="7"/>
  <c r="AP340" i="7" s="1"/>
  <c r="Z332" i="7"/>
  <c r="Z340" i="7" s="1"/>
  <c r="Z214" i="7" s="1"/>
  <c r="Z215" i="7" s="1"/>
  <c r="Z243" i="7" s="1"/>
  <c r="Z245" i="7" s="1"/>
  <c r="J332" i="7"/>
  <c r="J340" i="7" s="1"/>
  <c r="J214" i="7" s="1"/>
  <c r="AK332" i="7"/>
  <c r="AK340" i="7" s="1"/>
  <c r="U332" i="7"/>
  <c r="U340" i="7" s="1"/>
  <c r="U214" i="7" s="1"/>
  <c r="U215" i="7" s="1"/>
  <c r="U243" i="7" s="1"/>
  <c r="U245" i="7" s="1"/>
  <c r="E332" i="7"/>
  <c r="E340" i="7" s="1"/>
  <c r="E214" i="7" s="1"/>
  <c r="E215" i="7" s="1"/>
  <c r="E243" i="7" s="1"/>
  <c r="E245" i="7" s="1"/>
  <c r="X332" i="7"/>
  <c r="X340" i="7" s="1"/>
  <c r="X214" i="7" s="1"/>
  <c r="X215" i="7" s="1"/>
  <c r="X243" i="7" s="1"/>
  <c r="X245" i="7" s="1"/>
  <c r="H332" i="7"/>
  <c r="H340" i="7" s="1"/>
  <c r="H214" i="7" s="1"/>
  <c r="G332" i="7"/>
  <c r="G340" i="7" s="1"/>
  <c r="G214" i="7" s="1"/>
  <c r="C332" i="7"/>
  <c r="C340" i="7" s="1"/>
  <c r="AH332" i="7"/>
  <c r="AH340" i="7" s="1"/>
  <c r="R332" i="7"/>
  <c r="R340" i="7" s="1"/>
  <c r="R214" i="7" s="1"/>
  <c r="AJ332" i="7"/>
  <c r="AJ340" i="7" s="1"/>
  <c r="AC332" i="7"/>
  <c r="AC340" i="7" s="1"/>
  <c r="M332" i="7"/>
  <c r="M340" i="7" s="1"/>
  <c r="M214" i="7" s="1"/>
  <c r="AF332" i="7"/>
  <c r="AF340" i="7" s="1"/>
  <c r="P332" i="7"/>
  <c r="P340" i="7" s="1"/>
  <c r="P214" i="7" s="1"/>
  <c r="AM332" i="7"/>
  <c r="AM340" i="7" s="1"/>
  <c r="AI332" i="7"/>
  <c r="AI340" i="7" s="1"/>
  <c r="O332" i="7"/>
  <c r="O340" i="7" s="1"/>
  <c r="O214" i="7" s="1"/>
  <c r="AD332" i="7"/>
  <c r="AD340" i="7" s="1"/>
  <c r="N332" i="7"/>
  <c r="N340" i="7" s="1"/>
  <c r="N214" i="7" s="1"/>
  <c r="Y332" i="7"/>
  <c r="Y340" i="7" s="1"/>
  <c r="Y214" i="7" s="1"/>
  <c r="Y215" i="7" s="1"/>
  <c r="Y243" i="7" s="1"/>
  <c r="Y245" i="7" s="1"/>
  <c r="I332" i="7"/>
  <c r="I340" i="7" s="1"/>
  <c r="I214" i="7" s="1"/>
  <c r="L332" i="7"/>
  <c r="L340" i="7" s="1"/>
  <c r="L214" i="7" s="1"/>
  <c r="W332" i="7"/>
  <c r="W340" i="7" s="1"/>
  <c r="W214" i="7" s="1"/>
  <c r="W215" i="7" s="1"/>
  <c r="W243" i="7" s="1"/>
  <c r="W245" i="7" s="1"/>
  <c r="AA332" i="7"/>
  <c r="AA340" i="7" s="1"/>
  <c r="AA214" i="7" s="1"/>
  <c r="AA215" i="7" s="1"/>
  <c r="AA243" i="7" s="1"/>
  <c r="AA245" i="7" s="1"/>
  <c r="AL332" i="7"/>
  <c r="AL340" i="7" s="1"/>
  <c r="V332" i="7"/>
  <c r="V340" i="7" s="1"/>
  <c r="V214" i="7" s="1"/>
  <c r="V215" i="7" s="1"/>
  <c r="V243" i="7" s="1"/>
  <c r="V245" i="7" s="1"/>
  <c r="F332" i="7"/>
  <c r="F340" i="7" s="1"/>
  <c r="F214" i="7" s="1"/>
  <c r="F215" i="7" s="1"/>
  <c r="F243" i="7" s="1"/>
  <c r="F245" i="7" s="1"/>
  <c r="AG332" i="7"/>
  <c r="AG340" i="7" s="1"/>
  <c r="Q332" i="7"/>
  <c r="Q340" i="7" s="1"/>
  <c r="Q214" i="7" s="1"/>
  <c r="AN332" i="7"/>
  <c r="AN340" i="7" s="1"/>
  <c r="T332" i="7"/>
  <c r="T340" i="7" s="1"/>
  <c r="T214" i="7" s="1"/>
  <c r="D332" i="7"/>
  <c r="D340" i="7" s="1"/>
  <c r="D214" i="7" s="1"/>
  <c r="D215" i="7" s="1"/>
  <c r="D243" i="7" s="1"/>
  <c r="D245" i="7" s="1"/>
  <c r="D133" i="7" s="1"/>
  <c r="K332" i="7"/>
  <c r="K340" i="7" s="1"/>
  <c r="K214" i="7" s="1"/>
  <c r="AE332" i="7"/>
  <c r="AE340" i="7" s="1"/>
  <c r="AO332" i="7"/>
  <c r="AO340" i="7" s="1"/>
  <c r="AB332" i="7"/>
  <c r="AB340" i="7" s="1"/>
  <c r="S332" i="7"/>
  <c r="S340" i="7" s="1"/>
  <c r="S214" i="7" s="1"/>
  <c r="F169" i="7"/>
  <c r="G166" i="7" s="1"/>
  <c r="G213" i="7"/>
  <c r="G215" i="7" s="1"/>
  <c r="G243" i="7" s="1"/>
  <c r="G245" i="7" s="1"/>
  <c r="G77" i="7"/>
  <c r="G78" i="7" s="1"/>
  <c r="G250" i="7"/>
  <c r="Y133" i="7" l="1"/>
  <c r="Y252" i="7"/>
  <c r="X252" i="7"/>
  <c r="X133" i="7"/>
  <c r="AA252" i="7"/>
  <c r="AA133" i="7"/>
  <c r="D252" i="7"/>
  <c r="F252" i="7"/>
  <c r="F133" i="7"/>
  <c r="W252" i="7"/>
  <c r="W133" i="7"/>
  <c r="B340" i="7" a="1"/>
  <c r="B340" i="7" s="1"/>
  <c r="C214" i="7"/>
  <c r="C215" i="7" s="1"/>
  <c r="C243" i="7" s="1"/>
  <c r="C245" i="7" s="1"/>
  <c r="E252" i="7"/>
  <c r="E133" i="7"/>
  <c r="Z252" i="7"/>
  <c r="Z133" i="7"/>
  <c r="Q434" i="7"/>
  <c r="AP468" i="7"/>
  <c r="AP476" i="7" s="1"/>
  <c r="AG468" i="7"/>
  <c r="AG476" i="7" s="1"/>
  <c r="D468" i="7"/>
  <c r="D476" i="7" s="1"/>
  <c r="D251" i="7" s="1"/>
  <c r="G468" i="7"/>
  <c r="G476" i="7" s="1"/>
  <c r="G251" i="7" s="1"/>
  <c r="E468" i="7"/>
  <c r="E476" i="7" s="1"/>
  <c r="E251" i="7" s="1"/>
  <c r="E255" i="7" s="1"/>
  <c r="E283" i="7" s="1"/>
  <c r="E285" i="7" s="1"/>
  <c r="E144" i="7" s="1"/>
  <c r="AL468" i="7"/>
  <c r="AL476" i="7" s="1"/>
  <c r="M468" i="7"/>
  <c r="M476" i="7" s="1"/>
  <c r="M251" i="7" s="1"/>
  <c r="Z468" i="7"/>
  <c r="Z476" i="7" s="1"/>
  <c r="Z251" i="7" s="1"/>
  <c r="AA468" i="7"/>
  <c r="AA476" i="7" s="1"/>
  <c r="AA251" i="7" s="1"/>
  <c r="AA255" i="7" s="1"/>
  <c r="AA283" i="7" s="1"/>
  <c r="AA285" i="7" s="1"/>
  <c r="AA144" i="7" s="1"/>
  <c r="N468" i="7"/>
  <c r="N476" i="7" s="1"/>
  <c r="N251" i="7" s="1"/>
  <c r="I468" i="7"/>
  <c r="I476" i="7" s="1"/>
  <c r="I251" i="7" s="1"/>
  <c r="K468" i="7"/>
  <c r="K476" i="7" s="1"/>
  <c r="K251" i="7" s="1"/>
  <c r="P468" i="7"/>
  <c r="P476" i="7" s="1"/>
  <c r="P251" i="7" s="1"/>
  <c r="O468" i="7"/>
  <c r="O476" i="7" s="1"/>
  <c r="O251" i="7" s="1"/>
  <c r="C468" i="7"/>
  <c r="AJ468" i="7"/>
  <c r="AJ476" i="7" s="1"/>
  <c r="AK468" i="7"/>
  <c r="AK476" i="7" s="1"/>
  <c r="AO468" i="7"/>
  <c r="AO476" i="7" s="1"/>
  <c r="AN468" i="7"/>
  <c r="AN476" i="7" s="1"/>
  <c r="AD468" i="7"/>
  <c r="AD476" i="7" s="1"/>
  <c r="H468" i="7"/>
  <c r="H476" i="7" s="1"/>
  <c r="H251" i="7" s="1"/>
  <c r="W468" i="7"/>
  <c r="W476" i="7" s="1"/>
  <c r="W251" i="7" s="1"/>
  <c r="W255" i="7" s="1"/>
  <c r="W283" i="7" s="1"/>
  <c r="W285" i="7" s="1"/>
  <c r="W144" i="7" s="1"/>
  <c r="R468" i="7"/>
  <c r="R476" i="7" s="1"/>
  <c r="R251" i="7" s="1"/>
  <c r="X468" i="7"/>
  <c r="X476" i="7" s="1"/>
  <c r="X251" i="7" s="1"/>
  <c r="U468" i="7"/>
  <c r="U476" i="7" s="1"/>
  <c r="U251" i="7" s="1"/>
  <c r="Y468" i="7"/>
  <c r="Y476" i="7" s="1"/>
  <c r="Y251" i="7" s="1"/>
  <c r="Y255" i="7" s="1"/>
  <c r="Y283" i="7" s="1"/>
  <c r="Y285" i="7" s="1"/>
  <c r="Y144" i="7" s="1"/>
  <c r="AM468" i="7"/>
  <c r="AM476" i="7" s="1"/>
  <c r="AB468" i="7"/>
  <c r="AB476" i="7" s="1"/>
  <c r="AH468" i="7"/>
  <c r="AH476" i="7" s="1"/>
  <c r="V468" i="7"/>
  <c r="V476" i="7" s="1"/>
  <c r="V251" i="7" s="1"/>
  <c r="V255" i="7" s="1"/>
  <c r="V283" i="7" s="1"/>
  <c r="V285" i="7" s="1"/>
  <c r="V144" i="7" s="1"/>
  <c r="AI468" i="7"/>
  <c r="AI476" i="7" s="1"/>
  <c r="AC468" i="7"/>
  <c r="AC476" i="7" s="1"/>
  <c r="T468" i="7"/>
  <c r="T476" i="7" s="1"/>
  <c r="T251" i="7" s="1"/>
  <c r="L468" i="7"/>
  <c r="L476" i="7" s="1"/>
  <c r="L251" i="7" s="1"/>
  <c r="S468" i="7"/>
  <c r="S476" i="7" s="1"/>
  <c r="S251" i="7" s="1"/>
  <c r="AE468" i="7"/>
  <c r="AE476" i="7" s="1"/>
  <c r="AF468" i="7"/>
  <c r="AF476" i="7" s="1"/>
  <c r="Q468" i="7"/>
  <c r="Q476" i="7" s="1"/>
  <c r="Q251" i="7" s="1"/>
  <c r="J468" i="7"/>
  <c r="J476" i="7" s="1"/>
  <c r="J251" i="7" s="1"/>
  <c r="F468" i="7"/>
  <c r="F476" i="7" s="1"/>
  <c r="F251" i="7" s="1"/>
  <c r="V252" i="7"/>
  <c r="V133" i="7"/>
  <c r="U133" i="7"/>
  <c r="U252" i="7"/>
  <c r="G114" i="7"/>
  <c r="G115" i="7" s="1"/>
  <c r="G120" i="7" s="1"/>
  <c r="G133" i="7"/>
  <c r="G252" i="7"/>
  <c r="G255" i="7" s="1"/>
  <c r="G283" i="7" s="1"/>
  <c r="X255" i="7" l="1"/>
  <c r="X283" i="7" s="1"/>
  <c r="X285" i="7" s="1"/>
  <c r="X144" i="7" s="1"/>
  <c r="E134" i="7"/>
  <c r="E135" i="7" s="1"/>
  <c r="E200" i="7" s="1"/>
  <c r="F255" i="7"/>
  <c r="F283" i="7" s="1"/>
  <c r="F285" i="7" s="1"/>
  <c r="F144" i="7" s="1"/>
  <c r="D255" i="7"/>
  <c r="D283" i="7" s="1"/>
  <c r="D285" i="7" s="1"/>
  <c r="D144" i="7" s="1"/>
  <c r="U255" i="7"/>
  <c r="U283" i="7" s="1"/>
  <c r="U285" i="7" s="1"/>
  <c r="U144" i="7" s="1"/>
  <c r="Z255" i="7"/>
  <c r="Z283" i="7" s="1"/>
  <c r="Z285" i="7" s="1"/>
  <c r="Z144" i="7" s="1"/>
  <c r="C476" i="7"/>
  <c r="B468" i="7" a="1"/>
  <c r="B468" i="7" s="1"/>
  <c r="C252" i="7"/>
  <c r="C133" i="7"/>
  <c r="G168" i="7"/>
  <c r="G193" i="7" s="1"/>
  <c r="G121" i="7"/>
  <c r="V134" i="7"/>
  <c r="V135" i="7" s="1"/>
  <c r="V200" i="7" s="1"/>
  <c r="W134" i="7"/>
  <c r="W135" i="7" s="1"/>
  <c r="W200" i="7" s="1"/>
  <c r="X134" i="7"/>
  <c r="X135" i="7" s="1"/>
  <c r="X200" i="7" s="1"/>
  <c r="AA134" i="7"/>
  <c r="AA135" i="7" s="1"/>
  <c r="AA200" i="7" s="1"/>
  <c r="Y134" i="7"/>
  <c r="Y135" i="7" s="1"/>
  <c r="Y200" i="7" s="1"/>
  <c r="G285" i="7"/>
  <c r="G144" i="7" s="1"/>
  <c r="Z134" i="7" l="1"/>
  <c r="Z135" i="7" s="1"/>
  <c r="Z200" i="7" s="1"/>
  <c r="E136" i="7"/>
  <c r="F134" i="7"/>
  <c r="F135" i="7" s="1"/>
  <c r="U134" i="7"/>
  <c r="U135" i="7" s="1"/>
  <c r="U200" i="7" s="1"/>
  <c r="D134" i="7"/>
  <c r="D135" i="7" s="1"/>
  <c r="D200" i="7" s="1"/>
  <c r="B476" i="7" a="1"/>
  <c r="B476" i="7" s="1"/>
  <c r="C251" i="7"/>
  <c r="C255" i="7" s="1"/>
  <c r="C283" i="7" s="1"/>
  <c r="C285" i="7" s="1"/>
  <c r="C144" i="7" s="1"/>
  <c r="G169" i="7"/>
  <c r="H166" i="7" s="1"/>
  <c r="AA136" i="7"/>
  <c r="X136" i="7"/>
  <c r="Z136" i="7"/>
  <c r="W136" i="7"/>
  <c r="Y136" i="7"/>
  <c r="V136" i="7"/>
  <c r="G134" i="7"/>
  <c r="G135" i="7" s="1"/>
  <c r="G200" i="7" s="1"/>
  <c r="H250" i="7"/>
  <c r="H77" i="7"/>
  <c r="H78" i="7" s="1"/>
  <c r="H213" i="7"/>
  <c r="H215" i="7" s="1"/>
  <c r="H243" i="7" s="1"/>
  <c r="H245" i="7" s="1"/>
  <c r="U136" i="7" l="1"/>
  <c r="D136" i="7"/>
  <c r="F200" i="7"/>
  <c r="F136" i="7"/>
  <c r="C134" i="7"/>
  <c r="C135" i="7" s="1"/>
  <c r="C200" i="7" s="1"/>
  <c r="G136" i="7"/>
  <c r="H114" i="7"/>
  <c r="H115" i="7" s="1"/>
  <c r="H120" i="7" s="1"/>
  <c r="H252" i="7"/>
  <c r="H255" i="7" s="1"/>
  <c r="H283" i="7" s="1"/>
  <c r="H133" i="7"/>
  <c r="C136" i="7" l="1"/>
  <c r="D138" i="7" s="1"/>
  <c r="H168" i="7"/>
  <c r="H193" i="7" s="1"/>
  <c r="H121" i="7"/>
  <c r="H285" i="7"/>
  <c r="H144" i="7" s="1"/>
  <c r="E138" i="7" l="1"/>
  <c r="G138" i="7"/>
  <c r="F138" i="7"/>
  <c r="C138" i="7"/>
  <c r="C139" i="7" s="1"/>
  <c r="H169" i="7"/>
  <c r="I166" i="7" s="1"/>
  <c r="H134" i="7"/>
  <c r="H135" i="7" s="1"/>
  <c r="H200" i="7" s="1"/>
  <c r="I250" i="7"/>
  <c r="I77" i="7"/>
  <c r="I78" i="7" s="1"/>
  <c r="I213" i="7"/>
  <c r="I215" i="7" s="1"/>
  <c r="I243" i="7" s="1"/>
  <c r="I245" i="7" s="1"/>
  <c r="F139" i="7" l="1"/>
  <c r="G139" i="7"/>
  <c r="E139" i="7"/>
  <c r="D139" i="7"/>
  <c r="H136" i="7"/>
  <c r="I252" i="7"/>
  <c r="I255" i="7" s="1"/>
  <c r="I283" i="7" s="1"/>
  <c r="I133" i="7"/>
  <c r="I114" i="7"/>
  <c r="I115" i="7" s="1"/>
  <c r="I120" i="7" s="1"/>
  <c r="I168" i="7" l="1"/>
  <c r="I193" i="7" s="1"/>
  <c r="I121" i="7"/>
  <c r="H138" i="7"/>
  <c r="H139" i="7" s="1"/>
  <c r="I285" i="7"/>
  <c r="I144" i="7" s="1"/>
  <c r="I169" i="7" l="1"/>
  <c r="J166" i="7" s="1"/>
  <c r="I134" i="7"/>
  <c r="I135" i="7" s="1"/>
  <c r="I200" i="7" s="1"/>
  <c r="J77" i="7"/>
  <c r="J78" i="7" s="1"/>
  <c r="J250" i="7"/>
  <c r="J213" i="7"/>
  <c r="J215" i="7" s="1"/>
  <c r="J243" i="7" s="1"/>
  <c r="J245" i="7" s="1"/>
  <c r="I136" i="7" l="1"/>
  <c r="J114" i="7"/>
  <c r="J115" i="7" s="1"/>
  <c r="J120" i="7" s="1"/>
  <c r="J252" i="7"/>
  <c r="J255" i="7" s="1"/>
  <c r="J283" i="7" s="1"/>
  <c r="J133" i="7"/>
  <c r="J168" i="7" l="1"/>
  <c r="J193" i="7" s="1"/>
  <c r="J121" i="7"/>
  <c r="I138" i="7"/>
  <c r="I139" i="7" s="1"/>
  <c r="J285" i="7"/>
  <c r="J144" i="7" s="1"/>
  <c r="J169" i="7" l="1"/>
  <c r="K166" i="7" s="1"/>
  <c r="J134" i="7"/>
  <c r="J135" i="7" s="1"/>
  <c r="J200" i="7" s="1"/>
  <c r="K213" i="7"/>
  <c r="K215" i="7" s="1"/>
  <c r="K243" i="7" s="1"/>
  <c r="K245" i="7" s="1"/>
  <c r="K250" i="7"/>
  <c r="K77" i="7"/>
  <c r="K78" i="7" s="1"/>
  <c r="J136" i="7" l="1"/>
  <c r="J138" i="7" s="1"/>
  <c r="J139" i="7" s="1"/>
  <c r="K252" i="7"/>
  <c r="K255" i="7" s="1"/>
  <c r="K283" i="7" s="1"/>
  <c r="K133" i="7"/>
  <c r="K114" i="7"/>
  <c r="K115" i="7" s="1"/>
  <c r="K120" i="7" s="1"/>
  <c r="K168" i="7" l="1"/>
  <c r="K193" i="7" s="1"/>
  <c r="K121" i="7"/>
  <c r="K285" i="7"/>
  <c r="K144" i="7" s="1"/>
  <c r="K169" i="7" l="1"/>
  <c r="L166" i="7" s="1"/>
  <c r="K134" i="7"/>
  <c r="K135" i="7" s="1"/>
  <c r="K200" i="7" s="1"/>
  <c r="L250" i="7"/>
  <c r="L213" i="7"/>
  <c r="L215" i="7" s="1"/>
  <c r="L243" i="7" s="1"/>
  <c r="L245" i="7" s="1"/>
  <c r="L77" i="7"/>
  <c r="L78" i="7" s="1"/>
  <c r="K136" i="7" l="1"/>
  <c r="L133" i="7"/>
  <c r="L252" i="7"/>
  <c r="L255" i="7" s="1"/>
  <c r="L283" i="7" s="1"/>
  <c r="L114" i="7"/>
  <c r="L115" i="7" s="1"/>
  <c r="L120" i="7" s="1"/>
  <c r="L168" i="7" l="1"/>
  <c r="L193" i="7" s="1"/>
  <c r="L121" i="7"/>
  <c r="K138" i="7"/>
  <c r="K139" i="7" s="1"/>
  <c r="L285" i="7"/>
  <c r="L144" i="7" s="1"/>
  <c r="L169" i="7" l="1"/>
  <c r="M166" i="7" s="1"/>
  <c r="L134" i="7"/>
  <c r="L135" i="7" s="1"/>
  <c r="L200" i="7" s="1"/>
  <c r="M77" i="7"/>
  <c r="M78" i="7" s="1"/>
  <c r="M213" i="7"/>
  <c r="M215" i="7" s="1"/>
  <c r="M243" i="7" s="1"/>
  <c r="M245" i="7" s="1"/>
  <c r="M250" i="7"/>
  <c r="L136" i="7" l="1"/>
  <c r="M252" i="7"/>
  <c r="M255" i="7" s="1"/>
  <c r="M283" i="7" s="1"/>
  <c r="M133" i="7"/>
  <c r="M114" i="7"/>
  <c r="M115" i="7" s="1"/>
  <c r="M120" i="7" s="1"/>
  <c r="M168" i="7" l="1"/>
  <c r="M193" i="7" s="1"/>
  <c r="M121" i="7"/>
  <c r="L138" i="7"/>
  <c r="L139" i="7" s="1"/>
  <c r="M285" i="7"/>
  <c r="M144" i="7" s="1"/>
  <c r="M169" i="7" l="1"/>
  <c r="N166" i="7" s="1"/>
  <c r="M134" i="7"/>
  <c r="M135" i="7" s="1"/>
  <c r="M200" i="7" s="1"/>
  <c r="N213" i="7"/>
  <c r="N215" i="7" s="1"/>
  <c r="N243" i="7" s="1"/>
  <c r="N245" i="7" s="1"/>
  <c r="N77" i="7"/>
  <c r="N78" i="7" s="1"/>
  <c r="N250" i="7"/>
  <c r="M136" i="7" l="1"/>
  <c r="N252" i="7"/>
  <c r="N255" i="7" s="1"/>
  <c r="N283" i="7" s="1"/>
  <c r="N133" i="7"/>
  <c r="N114" i="7"/>
  <c r="N115" i="7" s="1"/>
  <c r="N120" i="7" s="1"/>
  <c r="N168" i="7" l="1"/>
  <c r="N193" i="7" s="1"/>
  <c r="N121" i="7"/>
  <c r="M138" i="7"/>
  <c r="M139" i="7" s="1"/>
  <c r="N285" i="7"/>
  <c r="N144" i="7" s="1"/>
  <c r="N169" i="7" l="1"/>
  <c r="O166" i="7" s="1"/>
  <c r="N134" i="7"/>
  <c r="N135" i="7" s="1"/>
  <c r="N200" i="7" s="1"/>
  <c r="O77" i="7"/>
  <c r="O78" i="7" s="1"/>
  <c r="O250" i="7"/>
  <c r="O213" i="7"/>
  <c r="O215" i="7" s="1"/>
  <c r="O243" i="7" s="1"/>
  <c r="O245" i="7" s="1"/>
  <c r="N136" i="7" l="1"/>
  <c r="N138" i="7" s="1"/>
  <c r="N139" i="7" s="1"/>
  <c r="O114" i="7"/>
  <c r="O115" i="7" s="1"/>
  <c r="O120" i="7" s="1"/>
  <c r="O252" i="7"/>
  <c r="O255" i="7" s="1"/>
  <c r="O283" i="7" s="1"/>
  <c r="O133" i="7"/>
  <c r="O168" i="7" l="1"/>
  <c r="O193" i="7" s="1"/>
  <c r="O121" i="7"/>
  <c r="O285" i="7"/>
  <c r="O144" i="7" s="1"/>
  <c r="O169" i="7" l="1"/>
  <c r="P166" i="7" s="1"/>
  <c r="O134" i="7"/>
  <c r="O135" i="7" s="1"/>
  <c r="O200" i="7" s="1"/>
  <c r="P77" i="7"/>
  <c r="P78" i="7" s="1"/>
  <c r="P250" i="7"/>
  <c r="P213" i="7"/>
  <c r="P215" i="7" s="1"/>
  <c r="P243" i="7" s="1"/>
  <c r="P245" i="7" s="1"/>
  <c r="O136" i="7" l="1"/>
  <c r="O138" i="7" s="1"/>
  <c r="O139" i="7" s="1"/>
  <c r="P114" i="7"/>
  <c r="P115" i="7" s="1"/>
  <c r="P120" i="7" s="1"/>
  <c r="P252" i="7"/>
  <c r="P255" i="7" s="1"/>
  <c r="P283" i="7" s="1"/>
  <c r="P133" i="7"/>
  <c r="P168" i="7" l="1"/>
  <c r="P193" i="7" s="1"/>
  <c r="P121" i="7"/>
  <c r="P285" i="7"/>
  <c r="P144" i="7" s="1"/>
  <c r="P169" i="7" l="1"/>
  <c r="Q166" i="7" s="1"/>
  <c r="P134" i="7"/>
  <c r="P135" i="7" s="1"/>
  <c r="P200" i="7" s="1"/>
  <c r="Q77" i="7"/>
  <c r="Q78" i="7" s="1"/>
  <c r="Q250" i="7"/>
  <c r="Q213" i="7"/>
  <c r="Q215" i="7" s="1"/>
  <c r="Q243" i="7" s="1"/>
  <c r="Q245" i="7" s="1"/>
  <c r="P136" i="7" l="1"/>
  <c r="P138" i="7" s="1"/>
  <c r="P139" i="7" s="1"/>
  <c r="Q114" i="7"/>
  <c r="Q115" i="7" s="1"/>
  <c r="Q120" i="7" s="1"/>
  <c r="Q252" i="7"/>
  <c r="Q255" i="7" s="1"/>
  <c r="Q283" i="7" s="1"/>
  <c r="Q133" i="7"/>
  <c r="Q168" i="7" l="1"/>
  <c r="Q193" i="7" s="1"/>
  <c r="Q121" i="7"/>
  <c r="Q285" i="7"/>
  <c r="Q144" i="7" s="1"/>
  <c r="Q169" i="7" l="1"/>
  <c r="R166" i="7" s="1"/>
  <c r="Q134" i="7"/>
  <c r="Q135" i="7" s="1"/>
  <c r="Q200" i="7" s="1"/>
  <c r="R213" i="7"/>
  <c r="R215" i="7" s="1"/>
  <c r="R243" i="7" s="1"/>
  <c r="R245" i="7" s="1"/>
  <c r="R250" i="7"/>
  <c r="R77" i="7"/>
  <c r="R78" i="7" s="1"/>
  <c r="Q136" i="7" l="1"/>
  <c r="Q138" i="7" s="1"/>
  <c r="Q139" i="7" s="1"/>
  <c r="R133" i="7"/>
  <c r="R252" i="7"/>
  <c r="R255" i="7" s="1"/>
  <c r="R283" i="7" s="1"/>
  <c r="R114" i="7"/>
  <c r="R115" i="7" s="1"/>
  <c r="R120" i="7" s="1"/>
  <c r="R168" i="7" l="1"/>
  <c r="R193" i="7" s="1"/>
  <c r="R121" i="7"/>
  <c r="R285" i="7"/>
  <c r="R144" i="7" s="1"/>
  <c r="R169" i="7" l="1"/>
  <c r="S166" i="7" s="1"/>
  <c r="R134" i="7"/>
  <c r="R135" i="7" s="1"/>
  <c r="R200" i="7" s="1"/>
  <c r="S77" i="7"/>
  <c r="S78" i="7" s="1"/>
  <c r="S250" i="7"/>
  <c r="S213" i="7"/>
  <c r="S215" i="7" s="1"/>
  <c r="S243" i="7" s="1"/>
  <c r="S245" i="7" s="1"/>
  <c r="R136" i="7" l="1"/>
  <c r="S114" i="7"/>
  <c r="S115" i="7" s="1"/>
  <c r="S120" i="7" s="1"/>
  <c r="S252" i="7"/>
  <c r="S255" i="7" s="1"/>
  <c r="S283" i="7" s="1"/>
  <c r="S133" i="7"/>
  <c r="S168" i="7" l="1"/>
  <c r="S193" i="7" s="1"/>
  <c r="S121" i="7"/>
  <c r="R138" i="7"/>
  <c r="R139" i="7" s="1"/>
  <c r="S285" i="7"/>
  <c r="S144" i="7" s="1"/>
  <c r="S169" i="7" l="1"/>
  <c r="T166" i="7" s="1"/>
  <c r="S134" i="7"/>
  <c r="S135" i="7" s="1"/>
  <c r="S200" i="7" s="1"/>
  <c r="T77" i="7"/>
  <c r="T78" i="7" s="1"/>
  <c r="T213" i="7"/>
  <c r="T215" i="7" s="1"/>
  <c r="T243" i="7" s="1"/>
  <c r="T245" i="7" s="1"/>
  <c r="T250" i="7"/>
  <c r="S136" i="7" l="1"/>
  <c r="S138" i="7" s="1"/>
  <c r="S139" i="7" s="1"/>
  <c r="T114" i="7"/>
  <c r="T115" i="7" s="1"/>
  <c r="T120" i="7" s="1"/>
  <c r="T252" i="7"/>
  <c r="T255" i="7" s="1"/>
  <c r="T283" i="7" s="1"/>
  <c r="T133" i="7"/>
  <c r="T168" i="7" l="1"/>
  <c r="T193" i="7" s="1"/>
  <c r="T121" i="7"/>
  <c r="T285" i="7"/>
  <c r="T144" i="7" s="1"/>
  <c r="T169" i="7" l="1"/>
  <c r="U166" i="7" s="1"/>
  <c r="U168" i="7" s="1"/>
  <c r="U193" i="7" s="1"/>
  <c r="T134" i="7"/>
  <c r="T135" i="7" s="1"/>
  <c r="T200" i="7" s="1"/>
  <c r="B148" i="7"/>
  <c r="B150" i="7" s="1"/>
  <c r="F12" i="1" s="1"/>
  <c r="U169" i="7" l="1"/>
  <c r="V166" i="7" s="1"/>
  <c r="V168" i="7" s="1"/>
  <c r="V193" i="7" s="1"/>
  <c r="T136" i="7"/>
  <c r="AP138" i="7" s="1"/>
  <c r="B141" i="7" l="1"/>
  <c r="V138" i="7"/>
  <c r="AN138" i="7"/>
  <c r="AK138" i="7"/>
  <c r="T138" i="7"/>
  <c r="T139" i="7" s="1"/>
  <c r="AL138" i="7"/>
  <c r="AD138" i="7"/>
  <c r="AI138" i="7"/>
  <c r="AE138" i="7"/>
  <c r="AF138" i="7"/>
  <c r="AH138" i="7"/>
  <c r="U138" i="7"/>
  <c r="AG138" i="7"/>
  <c r="W138" i="7"/>
  <c r="X138" i="7"/>
  <c r="Z138" i="7"/>
  <c r="Y138" i="7"/>
  <c r="AA138" i="7"/>
  <c r="AJ138" i="7"/>
  <c r="AB138" i="7"/>
  <c r="AO138" i="7"/>
  <c r="AC138" i="7"/>
  <c r="AM138" i="7"/>
  <c r="V169" i="7" l="1"/>
  <c r="W166" i="7" s="1"/>
  <c r="W168" i="7" s="1"/>
  <c r="W193" i="7" s="1"/>
  <c r="V139" i="7"/>
  <c r="W139" i="7"/>
  <c r="X139" i="7"/>
  <c r="U139" i="7"/>
  <c r="AN139" i="7"/>
  <c r="AD139" i="7"/>
  <c r="AH139" i="7"/>
  <c r="AE139" i="7"/>
  <c r="AK139" i="7"/>
  <c r="Y139" i="7"/>
  <c r="AI139" i="7"/>
  <c r="Z139" i="7"/>
  <c r="AF139" i="7"/>
  <c r="AC139" i="7"/>
  <c r="AL139" i="7"/>
  <c r="AA139" i="7"/>
  <c r="AB139" i="7"/>
  <c r="AO139" i="7"/>
  <c r="AP139" i="7"/>
  <c r="AJ139" i="7"/>
  <c r="AG139" i="7"/>
  <c r="AM139" i="7"/>
  <c r="W169" i="7" l="1"/>
  <c r="X166" i="7" s="1"/>
  <c r="X168" i="7" s="1"/>
  <c r="X193" i="7" s="1"/>
  <c r="X169" i="7" l="1"/>
  <c r="Y166" i="7" s="1"/>
  <c r="Y168" i="7" s="1"/>
  <c r="Y193" i="7" s="1"/>
  <c r="Y169" i="7" l="1"/>
  <c r="Z166" i="7" s="1"/>
  <c r="Z168" i="7" s="1"/>
  <c r="Z193" i="7" s="1"/>
  <c r="Z169" i="7" l="1"/>
  <c r="AA166" i="7" s="1"/>
  <c r="AA168" i="7" s="1"/>
  <c r="AA193" i="7" s="1"/>
  <c r="AA169" i="7" l="1"/>
  <c r="AB166" i="7" s="1"/>
  <c r="AB168" i="7" s="1"/>
  <c r="AB193" i="7" s="1"/>
  <c r="AB169" i="7" l="1"/>
  <c r="AC166" i="7" s="1"/>
  <c r="AC168" i="7" s="1"/>
  <c r="AC193" i="7" s="1"/>
  <c r="AC169" i="7" l="1"/>
  <c r="AD166" i="7" s="1"/>
  <c r="AD168" i="7" s="1"/>
  <c r="AD193" i="7" s="1"/>
  <c r="AD169" i="7" l="1"/>
  <c r="AE166" i="7" s="1"/>
  <c r="AE168" i="7" s="1"/>
  <c r="AE193" i="7" s="1"/>
  <c r="AE169" i="7" l="1"/>
  <c r="AF166" i="7" s="1"/>
  <c r="AF168" i="7" s="1"/>
  <c r="AF193" i="7" s="1"/>
  <c r="AF169" i="7" l="1"/>
  <c r="AG166" i="7" s="1"/>
  <c r="AG168" i="7" s="1"/>
  <c r="AG193" i="7" s="1"/>
  <c r="AG169" i="7" l="1"/>
  <c r="AH166" i="7" s="1"/>
  <c r="AH168" i="7" s="1"/>
  <c r="AH193" i="7" s="1"/>
  <c r="AH169" i="7" l="1"/>
  <c r="AI166" i="7" s="1"/>
  <c r="AI168" i="7" s="1"/>
  <c r="AI193" i="7" s="1"/>
  <c r="AI169" i="7" l="1"/>
  <c r="AJ166" i="7" s="1"/>
  <c r="AJ168" i="7" s="1"/>
  <c r="AJ193" i="7" s="1"/>
  <c r="AJ169" i="7" l="1"/>
  <c r="AK166" i="7" s="1"/>
  <c r="AK168" i="7" s="1"/>
  <c r="AK193" i="7" s="1"/>
  <c r="AK169" i="7" l="1"/>
  <c r="AL166" i="7" s="1"/>
  <c r="AL168" i="7" s="1"/>
  <c r="AL193" i="7" s="1"/>
  <c r="AL169" i="7" l="1"/>
  <c r="AM166" i="7" s="1"/>
  <c r="AM168" i="7" s="1"/>
  <c r="AM193" i="7" s="1"/>
  <c r="AM169" i="7" l="1"/>
  <c r="AN166" i="7" s="1"/>
  <c r="AN168" i="7" s="1"/>
  <c r="AN193" i="7" s="1"/>
  <c r="AN169" i="7" l="1"/>
  <c r="AO166" i="7" s="1"/>
  <c r="AO168" i="7" s="1"/>
  <c r="AO193" i="7" s="1"/>
  <c r="AO169" i="7" l="1"/>
  <c r="AP166" i="7" s="1"/>
  <c r="AP168" i="7" s="1"/>
  <c r="AP193" i="7" s="1"/>
  <c r="AP169" i="7" l="1"/>
  <c r="D174" i="7" l="1"/>
  <c r="E174" i="7"/>
  <c r="F174" i="7"/>
  <c r="G174" i="7"/>
  <c r="H174" i="7"/>
  <c r="I174" i="7"/>
  <c r="J174" i="7"/>
  <c r="J175" i="7" s="1"/>
  <c r="J178" i="7" s="1"/>
  <c r="K174" i="7"/>
  <c r="K175" i="7" s="1"/>
  <c r="K178" i="7" s="1"/>
  <c r="L174" i="7"/>
  <c r="L175" i="7" s="1"/>
  <c r="L178" i="7" s="1"/>
  <c r="M174" i="7"/>
  <c r="M175" i="7" s="1"/>
  <c r="M178" i="7" s="1"/>
  <c r="N174" i="7"/>
  <c r="N175" i="7" s="1"/>
  <c r="N178" i="7" s="1"/>
  <c r="O174" i="7"/>
  <c r="O175" i="7" s="1"/>
  <c r="O178" i="7" s="1"/>
  <c r="P174" i="7"/>
  <c r="P175" i="7" s="1"/>
  <c r="P178" i="7" s="1"/>
  <c r="Q174" i="7"/>
  <c r="Q175" i="7" s="1"/>
  <c r="Q178" i="7" s="1"/>
  <c r="R174" i="7"/>
  <c r="R175" i="7" s="1"/>
  <c r="R178" i="7" s="1"/>
  <c r="S174" i="7"/>
  <c r="S175" i="7" s="1"/>
  <c r="S178" i="7" s="1"/>
  <c r="T174" i="7"/>
  <c r="T175" i="7" s="1"/>
  <c r="T178" i="7" s="1"/>
  <c r="U174" i="7"/>
  <c r="U175" i="7" s="1"/>
  <c r="U178" i="7" s="1"/>
  <c r="V174" i="7"/>
  <c r="V175" i="7" s="1"/>
  <c r="V178" i="7" s="1"/>
  <c r="W174" i="7"/>
  <c r="W175" i="7" s="1"/>
  <c r="W178" i="7" s="1"/>
  <c r="X174" i="7"/>
  <c r="X175" i="7" s="1"/>
  <c r="X178" i="7" s="1"/>
  <c r="Y174" i="7"/>
  <c r="Y175" i="7" s="1"/>
  <c r="Y178" i="7" s="1"/>
  <c r="Z174" i="7"/>
  <c r="Z175" i="7" s="1"/>
  <c r="Z178" i="7" s="1"/>
  <c r="AA174" i="7"/>
  <c r="AA175" i="7" s="1"/>
  <c r="AA178" i="7" s="1"/>
  <c r="AB174" i="7"/>
  <c r="AB175" i="7" s="1"/>
  <c r="AB178" i="7" s="1"/>
  <c r="AC174" i="7"/>
  <c r="AC175" i="7" s="1"/>
  <c r="AC178" i="7" s="1"/>
  <c r="AD174" i="7"/>
  <c r="AD175" i="7" s="1"/>
  <c r="AD178" i="7" s="1"/>
  <c r="AE174" i="7"/>
  <c r="AE175" i="7" s="1"/>
  <c r="AE178" i="7" s="1"/>
  <c r="AF174" i="7"/>
  <c r="AF175" i="7" s="1"/>
  <c r="AF178" i="7" s="1"/>
  <c r="AG174" i="7"/>
  <c r="AG175" i="7" s="1"/>
  <c r="AG178" i="7" s="1"/>
  <c r="AH174" i="7"/>
  <c r="AH175" i="7" s="1"/>
  <c r="AH178" i="7" s="1"/>
  <c r="AI174" i="7"/>
  <c r="AI175" i="7" s="1"/>
  <c r="AI178" i="7" s="1"/>
  <c r="AJ174" i="7"/>
  <c r="AJ175" i="7" s="1"/>
  <c r="AJ178" i="7" s="1"/>
  <c r="AK174" i="7"/>
  <c r="AK175" i="7" s="1"/>
  <c r="AK178" i="7" s="1"/>
  <c r="AL174" i="7"/>
  <c r="AL175" i="7" s="1"/>
  <c r="AL178" i="7" s="1"/>
  <c r="AM174" i="7"/>
  <c r="AM175" i="7" s="1"/>
  <c r="AM178" i="7" s="1"/>
  <c r="AN174" i="7"/>
  <c r="AN175" i="7" s="1"/>
  <c r="AN178" i="7" s="1"/>
  <c r="AO174" i="7"/>
  <c r="AO175" i="7" s="1"/>
  <c r="AO178" i="7" s="1"/>
  <c r="AP174" i="7"/>
  <c r="AP175" i="7" s="1"/>
  <c r="AP178" i="7" s="1"/>
  <c r="C175" i="7"/>
  <c r="C178" i="7" s="1"/>
  <c r="D175" i="7"/>
  <c r="D178" i="7" s="1"/>
  <c r="E175" i="7"/>
  <c r="E178" i="7" s="1"/>
  <c r="F175" i="7"/>
  <c r="F178" i="7" s="1"/>
  <c r="G175" i="7"/>
  <c r="G178" i="7" s="1"/>
  <c r="H175" i="7"/>
  <c r="H178" i="7" s="1"/>
  <c r="I175" i="7"/>
  <c r="I178" i="7" s="1"/>
  <c r="C179" i="7"/>
  <c r="C180" i="7"/>
  <c r="D180" i="7"/>
  <c r="E180" i="7"/>
  <c r="F180" i="7"/>
  <c r="G180"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AH180" i="7"/>
  <c r="AI180" i="7"/>
  <c r="AJ180" i="7"/>
  <c r="AK180" i="7"/>
  <c r="AL180" i="7"/>
  <c r="AM180" i="7"/>
  <c r="AN180" i="7"/>
  <c r="AO180" i="7"/>
  <c r="AP180" i="7"/>
  <c r="C181" i="7"/>
  <c r="D181" i="7"/>
  <c r="E181" i="7"/>
  <c r="F181" i="7"/>
  <c r="G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AH181" i="7"/>
  <c r="AI181" i="7"/>
  <c r="AJ181" i="7"/>
  <c r="AK181" i="7"/>
  <c r="AL181" i="7"/>
  <c r="AM181" i="7"/>
  <c r="AN181" i="7"/>
  <c r="AO181" i="7"/>
  <c r="AP181" i="7"/>
  <c r="C194" i="7"/>
  <c r="C197" i="7" s="1"/>
  <c r="C201" i="7" s="1"/>
  <c r="C203" i="7" s="1"/>
  <c r="C204" i="7" s="1"/>
  <c r="C205" i="7" s="1"/>
  <c r="D194" i="7"/>
  <c r="E194" i="7"/>
  <c r="E197" i="7" s="1"/>
  <c r="E201" i="7" s="1"/>
  <c r="F194" i="7"/>
  <c r="F197" i="7" s="1"/>
  <c r="F201" i="7" s="1"/>
  <c r="G194" i="7"/>
  <c r="G197" i="7" s="1"/>
  <c r="G201" i="7" s="1"/>
  <c r="H194" i="7"/>
  <c r="I194" i="7"/>
  <c r="J194" i="7"/>
  <c r="J197" i="7" s="1"/>
  <c r="J201" i="7" s="1"/>
  <c r="K194" i="7"/>
  <c r="K197" i="7" s="1"/>
  <c r="K201" i="7" s="1"/>
  <c r="L194" i="7"/>
  <c r="M194" i="7"/>
  <c r="M197" i="7" s="1"/>
  <c r="M201" i="7" s="1"/>
  <c r="N194" i="7"/>
  <c r="N197" i="7" s="1"/>
  <c r="N201" i="7" s="1"/>
  <c r="O194" i="7"/>
  <c r="O197" i="7" s="1"/>
  <c r="O201" i="7" s="1"/>
  <c r="P194" i="7"/>
  <c r="P197" i="7" s="1"/>
  <c r="P201" i="7" s="1"/>
  <c r="Q194" i="7"/>
  <c r="Q197" i="7" s="1"/>
  <c r="Q201" i="7" s="1"/>
  <c r="R194" i="7"/>
  <c r="R197" i="7" s="1"/>
  <c r="R201" i="7" s="1"/>
  <c r="S194" i="7"/>
  <c r="S197" i="7" s="1"/>
  <c r="S201" i="7" s="1"/>
  <c r="T194" i="7"/>
  <c r="T197" i="7" s="1"/>
  <c r="T201" i="7" s="1"/>
  <c r="U194" i="7"/>
  <c r="U197" i="7" s="1"/>
  <c r="U201" i="7" s="1"/>
  <c r="V194" i="7"/>
  <c r="V197" i="7" s="1"/>
  <c r="V201" i="7" s="1"/>
  <c r="W194" i="7"/>
  <c r="W197" i="7" s="1"/>
  <c r="W201" i="7" s="1"/>
  <c r="X194" i="7"/>
  <c r="X197" i="7" s="1"/>
  <c r="X201" i="7" s="1"/>
  <c r="Y194" i="7"/>
  <c r="Y197" i="7" s="1"/>
  <c r="Y201" i="7" s="1"/>
  <c r="Z194" i="7"/>
  <c r="Z197" i="7" s="1"/>
  <c r="Z201" i="7" s="1"/>
  <c r="AA194" i="7"/>
  <c r="AA197" i="7" s="1"/>
  <c r="AA201" i="7" s="1"/>
  <c r="AB194" i="7"/>
  <c r="AB197" i="7" s="1"/>
  <c r="AB201" i="7" s="1"/>
  <c r="AC194" i="7"/>
  <c r="AC197" i="7" s="1"/>
  <c r="AC201" i="7" s="1"/>
  <c r="AD194" i="7"/>
  <c r="AD197" i="7" s="1"/>
  <c r="AD201" i="7" s="1"/>
  <c r="AE194" i="7"/>
  <c r="AE197" i="7" s="1"/>
  <c r="AE201" i="7" s="1"/>
  <c r="AF194" i="7"/>
  <c r="AF197" i="7" s="1"/>
  <c r="AF201" i="7" s="1"/>
  <c r="AG194" i="7"/>
  <c r="AG197" i="7" s="1"/>
  <c r="AG201" i="7" s="1"/>
  <c r="AH194" i="7"/>
  <c r="AH197" i="7" s="1"/>
  <c r="AH201" i="7" s="1"/>
  <c r="AI194" i="7"/>
  <c r="AI197" i="7" s="1"/>
  <c r="AI201" i="7" s="1"/>
  <c r="AJ194" i="7"/>
  <c r="AJ197" i="7" s="1"/>
  <c r="AJ201" i="7" s="1"/>
  <c r="AK194" i="7"/>
  <c r="AK197" i="7" s="1"/>
  <c r="AK201" i="7" s="1"/>
  <c r="AL194" i="7"/>
  <c r="AL197" i="7" s="1"/>
  <c r="AL201" i="7" s="1"/>
  <c r="AM194" i="7"/>
  <c r="AM197" i="7" s="1"/>
  <c r="AM201" i="7" s="1"/>
  <c r="AN194" i="7"/>
  <c r="AN197" i="7" s="1"/>
  <c r="AN201" i="7" s="1"/>
  <c r="AO194" i="7"/>
  <c r="AO197" i="7" s="1"/>
  <c r="AO201" i="7" s="1"/>
  <c r="AP194" i="7"/>
  <c r="AP197" i="7" s="1"/>
  <c r="AP201" i="7" s="1"/>
  <c r="D197" i="7"/>
  <c r="D201" i="7" s="1"/>
  <c r="H197" i="7"/>
  <c r="H201" i="7" s="1"/>
  <c r="I197" i="7"/>
  <c r="I201" i="7" s="1"/>
  <c r="L197" i="7"/>
  <c r="L201" i="7" s="1"/>
  <c r="AG183" i="7" l="1"/>
  <c r="Y183" i="7"/>
  <c r="M183" i="7"/>
  <c r="F183" i="7"/>
  <c r="AJ183" i="7"/>
  <c r="AF183" i="7"/>
  <c r="H183" i="7"/>
  <c r="D183" i="7"/>
  <c r="D203" i="7"/>
  <c r="D204" i="7" s="1"/>
  <c r="D205" i="7" s="1"/>
  <c r="AH183" i="7"/>
  <c r="V183" i="7"/>
  <c r="R183" i="7"/>
  <c r="AL183" i="7"/>
  <c r="E203" i="7"/>
  <c r="T183" i="7"/>
  <c r="AC183" i="7"/>
  <c r="U183" i="7"/>
  <c r="Q183" i="7"/>
  <c r="E183" i="7"/>
  <c r="AK183" i="7"/>
  <c r="AB183" i="7"/>
  <c r="X183" i="7"/>
  <c r="P183" i="7"/>
  <c r="L183" i="7"/>
  <c r="AN183" i="7"/>
  <c r="I183" i="7"/>
  <c r="AJ203" i="7"/>
  <c r="AO183" i="7"/>
  <c r="AD203" i="7"/>
  <c r="T203" i="7"/>
  <c r="AP203" i="7"/>
  <c r="N203" i="7"/>
  <c r="Z183" i="7"/>
  <c r="J183" i="7"/>
  <c r="AP183" i="7"/>
  <c r="AD183" i="7"/>
  <c r="N183" i="7"/>
  <c r="AM183" i="7"/>
  <c r="AI183" i="7"/>
  <c r="AE183" i="7"/>
  <c r="AA183" i="7"/>
  <c r="W183" i="7"/>
  <c r="S183" i="7"/>
  <c r="O183" i="7"/>
  <c r="K183" i="7"/>
  <c r="G183" i="7"/>
  <c r="F203" i="7"/>
  <c r="B207" i="7"/>
  <c r="F16" i="1" s="1"/>
  <c r="AO203" i="7"/>
  <c r="AB203" i="7"/>
  <c r="L203" i="7"/>
  <c r="AK203" i="7"/>
  <c r="V203" i="7"/>
  <c r="J203" i="7"/>
  <c r="R203" i="7"/>
  <c r="Z203" i="7"/>
  <c r="AH203" i="7"/>
  <c r="AN203" i="7"/>
  <c r="C183" i="7"/>
  <c r="AL203" i="7"/>
  <c r="AF203" i="7"/>
  <c r="X203" i="7"/>
  <c r="P203" i="7"/>
  <c r="AG203" i="7"/>
  <c r="AC203" i="7"/>
  <c r="Y203" i="7"/>
  <c r="U203" i="7"/>
  <c r="AE203" i="7"/>
  <c r="Q203" i="7"/>
  <c r="I203" i="7"/>
  <c r="H203" i="7"/>
  <c r="AM203" i="7"/>
  <c r="AI203" i="7"/>
  <c r="AA203" i="7"/>
  <c r="W203" i="7"/>
  <c r="S203" i="7"/>
  <c r="O203" i="7"/>
  <c r="K203" i="7"/>
  <c r="G203" i="7"/>
  <c r="M203" i="7"/>
  <c r="F15" i="1" l="1"/>
  <c r="F13" i="1"/>
  <c r="F204" i="7"/>
  <c r="E204" i="7"/>
  <c r="E205" i="7" s="1"/>
  <c r="AA204" i="7"/>
  <c r="C185" i="7"/>
  <c r="G185" i="7"/>
  <c r="K185" i="7"/>
  <c r="O185" i="7"/>
  <c r="S185" i="7"/>
  <c r="W185" i="7"/>
  <c r="AA185" i="7"/>
  <c r="AE185" i="7"/>
  <c r="AI185" i="7"/>
  <c r="AM185" i="7"/>
  <c r="B188" i="7"/>
  <c r="F18" i="1" s="1"/>
  <c r="D185" i="7"/>
  <c r="H185" i="7"/>
  <c r="L185" i="7"/>
  <c r="P185" i="7"/>
  <c r="T185" i="7"/>
  <c r="X185" i="7"/>
  <c r="AB185" i="7"/>
  <c r="AF185" i="7"/>
  <c r="AJ185" i="7"/>
  <c r="AN185" i="7"/>
  <c r="E185" i="7"/>
  <c r="I185" i="7"/>
  <c r="M185" i="7"/>
  <c r="Q185" i="7"/>
  <c r="U185" i="7"/>
  <c r="Y185" i="7"/>
  <c r="AC185" i="7"/>
  <c r="AG185" i="7"/>
  <c r="AK185" i="7"/>
  <c r="AO185" i="7"/>
  <c r="J185" i="7"/>
  <c r="Z185" i="7"/>
  <c r="AP185" i="7"/>
  <c r="N185" i="7"/>
  <c r="AD185" i="7"/>
  <c r="R185" i="7"/>
  <c r="AH185" i="7"/>
  <c r="F185" i="7"/>
  <c r="V185" i="7"/>
  <c r="AL185" i="7"/>
  <c r="I204" i="7"/>
  <c r="M204" i="7"/>
  <c r="Q204" i="7"/>
  <c r="U204" i="7"/>
  <c r="Y204" i="7"/>
  <c r="AC204" i="7"/>
  <c r="AG204" i="7"/>
  <c r="AK204" i="7"/>
  <c r="AO204" i="7"/>
  <c r="J204" i="7"/>
  <c r="R204" i="7"/>
  <c r="Z204" i="7"/>
  <c r="AH204" i="7"/>
  <c r="AL204" i="7"/>
  <c r="H204" i="7"/>
  <c r="L204" i="7"/>
  <c r="P204" i="7"/>
  <c r="T204" i="7"/>
  <c r="X204" i="7"/>
  <c r="AB204" i="7"/>
  <c r="AF204" i="7"/>
  <c r="AJ204" i="7"/>
  <c r="AN204" i="7"/>
  <c r="N204" i="7"/>
  <c r="V204" i="7"/>
  <c r="AD204" i="7"/>
  <c r="AP204" i="7"/>
  <c r="K204" i="7"/>
  <c r="O204" i="7"/>
  <c r="P205" i="7" s="1"/>
  <c r="AE204" i="7"/>
  <c r="S204" i="7"/>
  <c r="AI204" i="7"/>
  <c r="G204" i="7"/>
  <c r="W204" i="7"/>
  <c r="AM204" i="7"/>
  <c r="AN205" i="7" s="1"/>
  <c r="F17" i="1" l="1"/>
  <c r="F205" i="7"/>
  <c r="L205" i="7"/>
  <c r="AA205" i="7"/>
  <c r="AF205" i="7"/>
  <c r="X205" i="7"/>
  <c r="AK205" i="7"/>
  <c r="U205" i="7"/>
  <c r="AG205" i="7"/>
  <c r="Q205" i="7"/>
  <c r="Z205" i="7"/>
  <c r="AJ205" i="7"/>
  <c r="AC205" i="7"/>
  <c r="M205" i="7"/>
  <c r="C186" i="7"/>
  <c r="G186" i="7"/>
  <c r="K186" i="7"/>
  <c r="O186" i="7"/>
  <c r="S186" i="7"/>
  <c r="W186" i="7"/>
  <c r="AA186" i="7"/>
  <c r="AE186" i="7"/>
  <c r="AI186" i="7"/>
  <c r="AM186" i="7"/>
  <c r="D186" i="7"/>
  <c r="H186" i="7"/>
  <c r="L186" i="7"/>
  <c r="P186" i="7"/>
  <c r="T186" i="7"/>
  <c r="X186" i="7"/>
  <c r="AB186" i="7"/>
  <c r="AF186" i="7"/>
  <c r="AJ186" i="7"/>
  <c r="AN186" i="7"/>
  <c r="E186" i="7"/>
  <c r="I186" i="7"/>
  <c r="N186" i="7"/>
  <c r="V186" i="7"/>
  <c r="AD186" i="7"/>
  <c r="AL186" i="7"/>
  <c r="F186" i="7"/>
  <c r="Q186" i="7"/>
  <c r="Y186" i="7"/>
  <c r="AG186" i="7"/>
  <c r="AO186" i="7"/>
  <c r="J186" i="7"/>
  <c r="R186" i="7"/>
  <c r="Z186" i="7"/>
  <c r="AH186" i="7"/>
  <c r="AP186" i="7"/>
  <c r="M186" i="7"/>
  <c r="U186" i="7"/>
  <c r="AC186" i="7"/>
  <c r="AK186" i="7"/>
  <c r="T205" i="7"/>
  <c r="AO205" i="7"/>
  <c r="Y205" i="7"/>
  <c r="I205" i="7"/>
  <c r="AH205" i="7"/>
  <c r="S205" i="7"/>
  <c r="R205" i="7"/>
  <c r="AE205" i="7"/>
  <c r="AM205" i="7"/>
  <c r="K205" i="7"/>
  <c r="AD205" i="7"/>
  <c r="N205" i="7"/>
  <c r="W205" i="7"/>
  <c r="AI205" i="7"/>
  <c r="AP205" i="7"/>
  <c r="J205" i="7"/>
  <c r="H205" i="7"/>
  <c r="G205" i="7"/>
  <c r="O205" i="7"/>
  <c r="AL205" i="7"/>
  <c r="V205" i="7"/>
  <c r="AB205" i="7"/>
  <c r="B205" i="7" l="1"/>
</calcChain>
</file>

<file path=xl/sharedStrings.xml><?xml version="1.0" encoding="utf-8"?>
<sst xmlns="http://schemas.openxmlformats.org/spreadsheetml/2006/main" count="854" uniqueCount="470">
  <si>
    <t>Property Tax</t>
  </si>
  <si>
    <t>Operating Year</t>
  </si>
  <si>
    <t>Investment Tax Credit</t>
  </si>
  <si>
    <t>Amount</t>
  </si>
  <si>
    <t>Federal</t>
  </si>
  <si>
    <t>State</t>
  </si>
  <si>
    <t>Production Tax Credit</t>
  </si>
  <si>
    <t>%</t>
  </si>
  <si>
    <t>Maximum</t>
  </si>
  <si>
    <t>Amount ($/kWh)</t>
  </si>
  <si>
    <t>Price  (¢/kWh)</t>
  </si>
  <si>
    <t>Capacity (DC kW)</t>
  </si>
  <si>
    <t>Fixed Cost ($/DC kW-yr)</t>
  </si>
  <si>
    <t>Total</t>
  </si>
  <si>
    <t>Generation (AC-MWh)</t>
  </si>
  <si>
    <t>Variable Cost ($/AC-MWh)</t>
  </si>
  <si>
    <t>Investment Based Incentive (IBI)</t>
  </si>
  <si>
    <t>Yes</t>
  </si>
  <si>
    <t>No</t>
  </si>
  <si>
    <t>Total Expenses</t>
  </si>
  <si>
    <t>Revenues</t>
  </si>
  <si>
    <t>PPA</t>
  </si>
  <si>
    <t>Production Based Incentive (included if available for debt service)</t>
  </si>
  <si>
    <t>Total PBI</t>
  </si>
  <si>
    <t>Summary</t>
  </si>
  <si>
    <t>Debt</t>
  </si>
  <si>
    <t>Funding</t>
  </si>
  <si>
    <t>Repayment</t>
  </si>
  <si>
    <t>Principal</t>
  </si>
  <si>
    <t>Interest</t>
  </si>
  <si>
    <t>Total P&amp;I</t>
  </si>
  <si>
    <t>Taxes</t>
  </si>
  <si>
    <t>EBITDA</t>
  </si>
  <si>
    <t>Less: Interest Payment</t>
  </si>
  <si>
    <t>Taxable Income Prior to Incentives</t>
  </si>
  <si>
    <t>Federal Income Taxes</t>
  </si>
  <si>
    <t>Less: Tax Depreciation</t>
  </si>
  <si>
    <t>Production Based Incentive (PBI)</t>
  </si>
  <si>
    <t>Incentive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</si>
  <si>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</si>
  <si>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</si>
  <si>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</si>
  <si>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</si>
  <si>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</si>
  <si>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</si>
  <si>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</si>
  <si>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</si>
  <si>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</si>
  <si>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</si>
  <si>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</si>
  <si>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</si>
  <si>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</si>
  <si>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</si>
  <si>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</si>
  <si>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</si>
  <si>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</si>
  <si>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</si>
  <si>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</si>
  <si>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</si>
  <si>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</si>
  <si>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</si>
  <si>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</si>
  <si>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</si>
  <si>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</si>
  <si>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</si>
  <si>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</si>
  <si>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</si>
  <si>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</si>
  <si>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</si>
  <si>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</si>
  <si>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</si>
  <si>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</si>
  <si>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</si>
  <si>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</si>
  <si>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</si>
  <si>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</si>
  <si>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</si>
  <si>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</si>
  <si>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</si>
  <si>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</si>
  <si>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</si>
  <si>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</si>
  <si>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</si>
  <si>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</si>
  <si>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</si>
  <si>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</si>
  <si>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</si>
  <si>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Partial Income Statement: Project</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</si>
  <si>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</si>
  <si>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</si>
  <si>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</si>
  <si>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</si>
  <si>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</si>
  <si>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</si>
  <si>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</si>
  <si>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</si>
  <si>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</si>
  <si>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</si>
  <si>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</si>
  <si>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</si>
  <si>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</si>
  <si>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</si>
  <si>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</si>
  <si>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</si>
  <si>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Solution Mode</t>
  </si>
  <si>
    <t>Target year</t>
  </si>
  <si>
    <t>Analysis Parameters</t>
  </si>
  <si>
    <t>Tax and Insurance Rates</t>
  </si>
  <si>
    <t>Federal income tax rate (%/year)</t>
  </si>
  <si>
    <t>State income tax rate (%/year)</t>
  </si>
  <si>
    <t>Insurance rate (annual, % of installed cost)</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</si>
  <si>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</si>
  <si>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</si>
  <si>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</si>
  <si>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</si>
  <si>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</si>
  <si>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</si>
  <si>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</si>
  <si>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</si>
  <si>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</si>
  <si>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</si>
  <si>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</si>
  <si>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</si>
  <si>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</si>
  <si>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</si>
  <si>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</si>
  <si>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</si>
  <si>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</si>
  <si>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</si>
  <si>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</si>
  <si>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</si>
  <si>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</si>
  <si>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</si>
  <si>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</si>
  <si>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</si>
  <si>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</si>
  <si>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</si>
  <si>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</si>
  <si>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</si>
  <si>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</si>
  <si>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</si>
  <si>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</si>
  <si>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</si>
  <si>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</si>
  <si>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</si>
  <si>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</si>
  <si>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</si>
  <si>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</si>
  <si>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</si>
  <si>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</si>
  <si>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</si>
  <si>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</si>
  <si>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</si>
  <si>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</si>
  <si>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</si>
  <si>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</si>
  <si>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</si>
  <si>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</si>
  <si>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</si>
  <si>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</si>
  <si>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</si>
  <si>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</si>
  <si>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</si>
  <si>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</si>
  <si>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</si>
  <si>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</si>
  <si>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</si>
  <si>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</si>
  <si>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</si>
  <si>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</si>
  <si>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</si>
  <si>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</si>
  <si>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</si>
  <si>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</si>
  <si>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</si>
  <si>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</si>
  <si>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</si>
  <si>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</si>
  <si>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</si>
  <si>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</si>
  <si>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</si>
  <si>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</si>
  <si>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</si>
  <si>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</si>
  <si>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</si>
  <si>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</si>
  <si>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</si>
  <si>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</si>
  <si>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</si>
  <si>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</si>
  <si>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</si>
  <si>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</si>
  <si>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</si>
  <si>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</si>
  <si>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</si>
  <si>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</si>
  <si>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</si>
  <si>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</si>
  <si>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</si>
  <si>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</si>
  <si>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</si>
  <si>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</si>
  <si>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METRICS</t>
  </si>
  <si>
    <t>PPA price escalation (%/yr)</t>
  </si>
  <si>
    <r>
      <t>PPA price, year 1 (</t>
    </r>
    <r>
      <rPr>
        <sz val="10"/>
        <color theme="1"/>
        <rFont val="Calibri"/>
        <family val="2"/>
      </rPr>
      <t>¢</t>
    </r>
    <r>
      <rPr>
        <sz val="9"/>
        <color theme="1"/>
        <rFont val="Calibri"/>
        <family val="2"/>
      </rPr>
      <t>/kWh)</t>
    </r>
  </si>
  <si>
    <t>Equity ($)</t>
  </si>
  <si>
    <t>NPV of annual generation (kWh)</t>
  </si>
  <si>
    <t>NPV of annual costs ($)</t>
  </si>
  <si>
    <t>Annual costs ($)</t>
  </si>
  <si>
    <t>Total purchase of property</t>
  </si>
  <si>
    <t>Cumulative after-tax IRR (%)</t>
  </si>
  <si>
    <t>Incentive Amounts</t>
  </si>
  <si>
    <t>NPV of after-tax returns</t>
  </si>
  <si>
    <t>Annual PPA revenues ($)</t>
  </si>
  <si>
    <t>NPV of annual PPA revenues ($)</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</si>
  <si>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</si>
  <si>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</si>
  <si>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</si>
  <si>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</si>
  <si>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</si>
  <si>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</si>
  <si>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</si>
  <si>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</si>
  <si>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</si>
  <si>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FUEL COSTS (CSP, GENERIC, AND BIOPOWER SYSTEMS ONLY)</t>
  </si>
  <si>
    <t>Annual usage (kWh)</t>
  </si>
  <si>
    <t>Cost ($/MMBtu)</t>
  </si>
  <si>
    <t>Escalation (%/year above inflation)</t>
  </si>
  <si>
    <t>Fuel (CSP and generic system only)</t>
  </si>
  <si>
    <t>Depreciation Schedules (Half Year)</t>
  </si>
  <si>
    <t>Operation and maintenance (O&amp;M)</t>
  </si>
  <si>
    <t>Fixed</t>
  </si>
  <si>
    <t>Capacity</t>
  </si>
  <si>
    <t>Variable</t>
  </si>
  <si>
    <t>Fuel (CSP and generic only)</t>
  </si>
  <si>
    <t>Biomass feedstock (Biopower only)</t>
  </si>
  <si>
    <t>Coal feedstock (Biopower only)</t>
  </si>
  <si>
    <t>Summary table</t>
  </si>
  <si>
    <t>PPA price ($/kWh)</t>
  </si>
  <si>
    <t>Avail. for debt svc.</t>
  </si>
  <si>
    <t>Federal taxable</t>
  </si>
  <si>
    <t>State taxable</t>
  </si>
  <si>
    <t>Red. fed. depr. &amp; ITC</t>
  </si>
  <si>
    <t>Red. st. depr. &amp; ITC</t>
  </si>
  <si>
    <t>Qual. for fed. ITC</t>
  </si>
  <si>
    <t>Qual. for state ITC</t>
  </si>
  <si>
    <t>Federal bonus</t>
  </si>
  <si>
    <t>State bonus</t>
  </si>
  <si>
    <t>Reduces depreciation basis</t>
  </si>
  <si>
    <t>Heat rate (MMBtu/MWh)</t>
  </si>
  <si>
    <t>Operating Expenses</t>
  </si>
  <si>
    <t>Cash Flows from Operating Activities</t>
  </si>
  <si>
    <t>Reserve Capital Spending</t>
  </si>
  <si>
    <r>
      <t>Levelized PPA price (</t>
    </r>
    <r>
      <rPr>
        <sz val="10"/>
        <color theme="1"/>
        <rFont val="Calibri"/>
        <family val="2"/>
      </rPr>
      <t>¢</t>
    </r>
    <r>
      <rPr>
        <sz val="10"/>
        <color theme="1"/>
        <rFont val="Calibri"/>
        <family val="2"/>
        <scheme val="minor"/>
      </rPr>
      <t>/kWh)</t>
    </r>
  </si>
  <si>
    <t>Levelized PPA price nominal  (¢/kWh)</t>
  </si>
  <si>
    <t>Debt Parameters</t>
  </si>
  <si>
    <t>Value depends on option in SAM</t>
  </si>
  <si>
    <t>Debt service coverage ratio</t>
  </si>
  <si>
    <t>Ending balance</t>
  </si>
  <si>
    <t>Size of debt calculation</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</si>
  <si>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</si>
  <si>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</si>
  <si>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</si>
  <si>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</si>
  <si>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</si>
  <si>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</si>
  <si>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</si>
  <si>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</si>
  <si>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</si>
  <si>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</si>
  <si>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</si>
  <si>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</si>
  <si>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Operating cash distributions/(contributions)</t>
  </si>
  <si>
    <t>Project Returns</t>
  </si>
  <si>
    <t>Project Returns: Pre-Tax</t>
  </si>
  <si>
    <t>Project Returns: After-Tax</t>
  </si>
  <si>
    <t>Total capital cost ($)</t>
  </si>
  <si>
    <t>Size of debt ($)</t>
  </si>
  <si>
    <t>ANNUAL VALUES</t>
  </si>
  <si>
    <t>Operation and maintenance costs specified as annual values</t>
  </si>
  <si>
    <t>N/A</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</si>
  <si>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</si>
  <si>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</si>
  <si>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</si>
  <si>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</si>
  <si>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</si>
  <si>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</si>
  <si>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</si>
  <si>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</si>
  <si>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</si>
  <si>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</si>
  <si>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</si>
  <si>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</si>
  <si>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</si>
  <si>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</si>
  <si>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</si>
  <si>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</si>
  <si>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</si>
  <si>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</si>
  <si>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</si>
  <si>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</si>
  <si>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</si>
  <si>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</si>
  <si>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</si>
  <si>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</si>
  <si>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</si>
  <si>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</si>
  <si>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</si>
  <si>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</si>
  <si>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</si>
  <si>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</si>
  <si>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</si>
  <si>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</si>
  <si>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</si>
  <si>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Battery replacement</t>
  </si>
  <si>
    <t>Funding ($)</t>
  </si>
  <si>
    <t>Disbursement ($)</t>
  </si>
  <si>
    <t>Balance ($)</t>
  </si>
  <si>
    <t>Annual values from SAM</t>
  </si>
  <si>
    <t>Electricity purchase (Systems with battery only)</t>
  </si>
  <si>
    <t>Purchase of electricity for battery charging and inverter nighttime consumption</t>
  </si>
  <si>
    <t>Electricity purchase</t>
  </si>
  <si>
    <t>Custom</t>
  </si>
  <si>
    <t>Depreciation</t>
  </si>
  <si>
    <t>Custom allocation (%/year)</t>
  </si>
  <si>
    <t>* Note custom schedule is defined on Inputs sheet around Row 180</t>
  </si>
  <si>
    <t>Partnership Flip Inputs</t>
  </si>
  <si>
    <t>Tax investor IRR target</t>
  </si>
  <si>
    <t>Equity Flip Structure</t>
  </si>
  <si>
    <t>Developer share</t>
  </si>
  <si>
    <t>Tax investor share of equity (%)</t>
  </si>
  <si>
    <t>Tax investor share of project cash pre-flip (%)</t>
  </si>
  <si>
    <t>Tax investor share of project cash post-flip (%)</t>
  </si>
  <si>
    <t>Tax investor share of tax benefits pre-flip (%)</t>
  </si>
  <si>
    <t>Tax investor share of tax benefits post-flip (%)</t>
  </si>
  <si>
    <t>Equity closing cost ($)</t>
  </si>
  <si>
    <t>Other financing cost ($)</t>
  </si>
  <si>
    <t>Development fee (%)</t>
  </si>
  <si>
    <t>Development fee ($)</t>
  </si>
  <si>
    <t>Tax on development fee in Year 1 ($)</t>
  </si>
  <si>
    <t>Developer Capital Recovery (All Equity Only)</t>
  </si>
  <si>
    <t>Method</t>
  </si>
  <si>
    <t>Duration (years, 40 max)</t>
  </si>
  <si>
    <t>PPA priced escalation (%/year)</t>
  </si>
  <si>
    <t>PPA price is modified by TOD multipliers</t>
  </si>
  <si>
    <t>Federal income tax rate in Year 1 (%/year)</t>
  </si>
  <si>
    <t>State income tax rate in Year 1 (%/year)</t>
  </si>
  <si>
    <t>Partnership Flip Cash Flow</t>
  </si>
  <si>
    <t>Investor IRR (%)</t>
  </si>
  <si>
    <t>Investor IRR at end of project (%)</t>
  </si>
  <si>
    <t>Investor NPV</t>
  </si>
  <si>
    <t>Investor IRR year</t>
  </si>
  <si>
    <t>Developer IRR at end of project (%)</t>
  </si>
  <si>
    <t>Developer NPV</t>
  </si>
  <si>
    <t>Partner Returns: Developer</t>
  </si>
  <si>
    <t>Partner Returns: Tax Investor</t>
  </si>
  <si>
    <t>Pre-tax Returns, Developer</t>
  </si>
  <si>
    <t>After-tax Returns, Developer</t>
  </si>
  <si>
    <t>Pre-tax Returns, Tax Investor</t>
  </si>
  <si>
    <t>After-tax Returns, Tax Investor</t>
  </si>
  <si>
    <t>Equity investment</t>
  </si>
  <si>
    <t>Development fee</t>
  </si>
  <si>
    <t xml:space="preserve">Developer share of ITC </t>
  </si>
  <si>
    <t>Developer share of PTC</t>
  </si>
  <si>
    <t>Cumulative developer after-tax IRR (%)</t>
  </si>
  <si>
    <t>NPV of developer after-tax returns</t>
  </si>
  <si>
    <t>Investor share of ITC</t>
  </si>
  <si>
    <t>Investor share of PTC</t>
  </si>
  <si>
    <t>Investor share of tax benefit (liability)</t>
  </si>
  <si>
    <t>Developer share of tax benefit (liability)</t>
  </si>
  <si>
    <t>Cumulative investor after-tax IRR (%)</t>
  </si>
  <si>
    <t>NPV of investor after-tax returns</t>
  </si>
  <si>
    <t>Equity closing cost</t>
  </si>
  <si>
    <t>Tax on development fee (Year 1)</t>
  </si>
  <si>
    <t>Operating cash distributions (contributions)</t>
  </si>
  <si>
    <t>Investor pre-tax returns</t>
  </si>
  <si>
    <t>Year investor target IRR reached</t>
  </si>
  <si>
    <t>Developer pretax returns</t>
  </si>
  <si>
    <t>Developer capital investment</t>
  </si>
  <si>
    <t>Operating cash to developer during recovery period</t>
  </si>
  <si>
    <t>Actual flip year</t>
  </si>
  <si>
    <t>LCOE, nominal  (¢/kWh)</t>
  </si>
  <si>
    <t>Adjusted for size of debt limit</t>
  </si>
  <si>
    <t>Debt percent (%) ("Calculated" for sculpted payments)</t>
  </si>
  <si>
    <t>Size of debt ($) ("N/A" for sculpted payments)</t>
  </si>
  <si>
    <t>Debt service coverage ratio ("Calculated" for mortgage style)</t>
  </si>
  <si>
    <t>Limit debt fraction (for sculpted payments only)</t>
  </si>
  <si>
    <t>Maximum debt percent (%) (for sculpted payments only)</t>
  </si>
  <si>
    <t>Annual payment schedule (for mortgage style debt only)</t>
  </si>
  <si>
    <t>Debt fraction (%)</t>
  </si>
  <si>
    <t xml:space="preserve"> </t>
  </si>
  <si>
    <t>Energy</t>
  </si>
  <si>
    <t>Electricity to grid (kWh/year)</t>
  </si>
  <si>
    <t>Electricity from grid (kWh/year)</t>
  </si>
  <si>
    <t>Electricity to grid net (kWh/year)</t>
  </si>
  <si>
    <t>Electricity generated without storage (kWh/year)</t>
  </si>
  <si>
    <t>Battery annual energy discharged (kWh/year)</t>
  </si>
  <si>
    <t>Fuel cell annual energy discharged (kWh/year)</t>
  </si>
  <si>
    <t>Revenue</t>
  </si>
  <si>
    <t>PPA price by year ($/kWh)</t>
  </si>
  <si>
    <t>Gross PPA revenue</t>
  </si>
  <si>
    <t>Capacity payments</t>
  </si>
  <si>
    <t>Curtailment payments</t>
  </si>
  <si>
    <t>Electricity to grid (AC kWh)</t>
  </si>
  <si>
    <t>Electricity from grid (AC kWh)</t>
  </si>
  <si>
    <t>Electricity to grid net (AC kWh)</t>
  </si>
  <si>
    <t>Electricity generated without storage (AC kWh)</t>
  </si>
  <si>
    <t>Battery annual energy discharged (AC kWh)</t>
  </si>
  <si>
    <t>Fuel cell annual energy discharged (AC kWh)</t>
  </si>
  <si>
    <t>Net production (AC kWh)</t>
  </si>
  <si>
    <t>Other revenue</t>
  </si>
  <si>
    <t>Expenses Specific to Battery Systems</t>
  </si>
  <si>
    <t>Battery fixed</t>
  </si>
  <si>
    <t>Battery capacity-based</t>
  </si>
  <si>
    <t>Battery variable</t>
  </si>
  <si>
    <t>Operating expenses specific to battery systems</t>
  </si>
  <si>
    <t>Operating expenses specific to fuel cell systems</t>
  </si>
  <si>
    <t>Fuel cell fixed</t>
  </si>
  <si>
    <t>Fuel cell capacity-based</t>
  </si>
  <si>
    <t>Fuel cell variable</t>
  </si>
  <si>
    <t>Fuel cell replacement</t>
  </si>
  <si>
    <t>Fuel cell fuel</t>
  </si>
  <si>
    <t>Fuel costs</t>
  </si>
  <si>
    <t>Fuel</t>
  </si>
  <si>
    <t>Biomass feedstock</t>
  </si>
  <si>
    <t>Biomass coal feedstock</t>
  </si>
  <si>
    <t>Estimates for levelized cost of storage (LCOS) calculations</t>
  </si>
  <si>
    <t>Storage costs ($)</t>
  </si>
  <si>
    <t>Storage discharge (kWh/year)</t>
  </si>
  <si>
    <t>Land lease</t>
  </si>
  <si>
    <t>Land lease payments ($)</t>
  </si>
  <si>
    <t>Expenses Specific to Fuel Cell Systems</t>
  </si>
  <si>
    <t>LAND LEASE</t>
  </si>
  <si>
    <t>Land area estimate (acres)</t>
  </si>
  <si>
    <t>Annual land lease cost ($/acre)</t>
  </si>
  <si>
    <t>Land lease escalation rate (% above inflation)</t>
  </si>
  <si>
    <t>Geothermal recapitalization</t>
  </si>
  <si>
    <t>Recapitalization</t>
  </si>
  <si>
    <t>Electricity to grid (kWh)</t>
  </si>
  <si>
    <t>Electricity to grid (MWh)</t>
  </si>
  <si>
    <r>
      <t>LCOE (</t>
    </r>
    <r>
      <rPr>
        <sz val="10"/>
        <color theme="1"/>
        <rFont val="Calibri"/>
        <family val="2"/>
      </rPr>
      <t>¢</t>
    </r>
    <r>
      <rPr>
        <sz val="10"/>
        <color theme="1"/>
        <rFont val="Calibri"/>
        <family val="2"/>
        <scheme val="minor"/>
      </rPr>
      <t>/kWh)</t>
    </r>
  </si>
  <si>
    <t>Project Levelized COE and PPA Price (Nominal)</t>
  </si>
  <si>
    <t>Annual electricity to grid (kWh)</t>
  </si>
  <si>
    <t>Levelized Cost of Storage (Nominal)</t>
  </si>
  <si>
    <t>Annual storage costs ($)</t>
  </si>
  <si>
    <t>Annual storage energy discharge (kWh)</t>
  </si>
  <si>
    <t>NPV of annual storage costs ($)</t>
  </si>
  <si>
    <t>NPV of annual storage energy discharge (kWh)</t>
  </si>
  <si>
    <t>LCOS (¢/kWh)</t>
  </si>
  <si>
    <t>Land Lease</t>
  </si>
  <si>
    <t>PPA revenue (TOD multipliers may apply)</t>
  </si>
  <si>
    <t>Thermal revenue (fuel cell only)</t>
  </si>
  <si>
    <t>Less: Replacement reserve funding</t>
  </si>
  <si>
    <t>Minimum debt service coverage ratio</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</si>
  <si>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</si>
  <si>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</si>
  <si>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</si>
  <si>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</si>
  <si>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</si>
  <si>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</si>
  <si>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</si>
  <si>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</si>
  <si>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</si>
  <si>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</si>
  <si>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</si>
  <si>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</si>
  <si>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</si>
  <si>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</si>
  <si>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Depreciation and ITC Basis Calculations</t>
  </si>
  <si>
    <t>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</si>
</sst>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0.000"/>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9"/>
      <color theme="1"/>
      <name val="Calibri"/>
      <family val="2"/>
    </font>
    <font>
      <sz val="10"/>
      <name val="Arial"/>
      <family val="2"/>
    </font>
    <font>
      <b/>
      <sz val="14"/>
      <color theme="0"/>
      <name val="Segoe UI"/>
      <family val="2"/>
    </font>
    <font>
      <b/>
      <sz val="11"/>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
      <patternFill patternType="solid">
        <fgColor theme="3" tint="0.79998168889431442"/>
        <bgColor indexed="64"/>
      </patternFill>
    </fill>
  </fills>
  <borders count="3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top/>
      <bottom style="double">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cellStyleXfs>
  <cellXfs count="341">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14"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70" fontId="4" fillId="0" borderId="21" xfId="1" applyNumberFormat="1" applyFont="1" applyFill="1" applyBorder="1"/>
    <xf numFmtId="170" fontId="4" fillId="0" borderId="0" xfId="1" applyNumberFormat="1" applyFont="1" applyFill="1" applyBorder="1"/>
    <xf numFmtId="3" fontId="4" fillId="0" borderId="8" xfId="0" applyNumberFormat="1" applyFont="1" applyBorder="1"/>
    <xf numFmtId="3" fontId="4" fillId="0" borderId="17" xfId="0" applyNumberFormat="1" applyFont="1" applyBorder="1"/>
    <xf numFmtId="170"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6" xfId="0" applyNumberFormat="1" applyFont="1" applyBorder="1"/>
    <xf numFmtId="3" fontId="4" fillId="0" borderId="10" xfId="3" applyNumberFormat="1" applyFont="1" applyBorder="1"/>
    <xf numFmtId="3" fontId="4" fillId="0" borderId="13" xfId="3" applyNumberFormat="1" applyFont="1" applyBorder="1"/>
    <xf numFmtId="3" fontId="4" fillId="0" borderId="21" xfId="3"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170" fontId="3" fillId="0" borderId="0" xfId="0" applyNumberFormat="1" applyFont="1"/>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2" fontId="4" fillId="0" borderId="0" xfId="0" applyNumberFormat="1" applyFont="1"/>
    <xf numFmtId="3" fontId="4" fillId="5" borderId="16" xfId="0" applyNumberFormat="1" applyFont="1" applyFill="1" applyBorder="1"/>
    <xf numFmtId="4" fontId="3" fillId="5" borderId="16" xfId="0" applyNumberFormat="1" applyFont="1" applyFill="1" applyBorder="1"/>
    <xf numFmtId="0" fontId="4" fillId="0" borderId="19"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3"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3" fillId="4" borderId="23" xfId="0" applyFont="1" applyFill="1" applyBorder="1"/>
    <xf numFmtId="0" fontId="13"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5" fillId="0" borderId="28" xfId="0" applyFont="1" applyBorder="1"/>
    <xf numFmtId="4" fontId="4" fillId="0" borderId="29"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2"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30" xfId="0" applyFont="1" applyFill="1" applyBorder="1" applyAlignment="1">
      <alignment horizontal="left" indent="1"/>
    </xf>
    <xf numFmtId="4" fontId="3" fillId="7" borderId="31" xfId="0" applyNumberFormat="1" applyFont="1" applyFill="1" applyBorder="1"/>
    <xf numFmtId="0" fontId="4" fillId="7" borderId="25" xfId="0" applyFont="1" applyFill="1" applyBorder="1" applyAlignment="1">
      <alignment horizontal="left" indent="1"/>
    </xf>
    <xf numFmtId="4" fontId="3" fillId="7" borderId="26" xfId="0" applyNumberFormat="1" applyFont="1" applyFill="1" applyBorder="1"/>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3" fillId="0" borderId="0" xfId="4" applyFont="1" applyAlignment="1">
      <alignment horizontal="center"/>
    </xf>
    <xf numFmtId="0" fontId="13" fillId="6" borderId="33" xfId="4" applyFont="1" applyFill="1" applyBorder="1" applyAlignment="1">
      <alignment horizontal="center"/>
    </xf>
    <xf numFmtId="0" fontId="4" fillId="4" borderId="16" xfId="0" applyFont="1" applyFill="1" applyBorder="1"/>
    <xf numFmtId="0" fontId="4" fillId="5" borderId="16" xfId="0" applyFont="1" applyFill="1" applyBorder="1"/>
    <xf numFmtId="3" fontId="5" fillId="0" borderId="17" xfId="0" applyNumberFormat="1" applyFont="1" applyBorder="1"/>
    <xf numFmtId="3" fontId="4" fillId="5" borderId="23" xfId="0" applyNumberFormat="1" applyFont="1" applyFill="1" applyBorder="1"/>
    <xf numFmtId="0" fontId="4" fillId="4" borderId="14" xfId="0" applyFont="1" applyFill="1" applyBorder="1"/>
    <xf numFmtId="0" fontId="4" fillId="5" borderId="14" xfId="0" applyFont="1" applyFill="1" applyBorder="1"/>
    <xf numFmtId="0" fontId="4" fillId="4" borderId="19" xfId="0" applyFont="1" applyFill="1" applyBorder="1"/>
    <xf numFmtId="0" fontId="4" fillId="4" borderId="18" xfId="0" applyFont="1" applyFill="1" applyBorder="1"/>
    <xf numFmtId="0" fontId="4" fillId="0" borderId="23" xfId="0" applyFont="1" applyBorder="1" applyAlignment="1">
      <alignment horizontal="left" indent="2"/>
    </xf>
    <xf numFmtId="0" fontId="4" fillId="4" borderId="23" xfId="0" applyFont="1" applyFill="1" applyBorder="1"/>
    <xf numFmtId="0" fontId="4" fillId="5" borderId="23" xfId="0"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4" xfId="0" applyFont="1" applyBorder="1"/>
    <xf numFmtId="4" fontId="3" fillId="0" borderId="35"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4" fontId="3" fillId="0" borderId="22" xfId="0" applyNumberFormat="1" applyFont="1" applyBorder="1"/>
    <xf numFmtId="0" fontId="3" fillId="0" borderId="17" xfId="0" applyFont="1" applyBorder="1" applyAlignment="1">
      <alignment horizontal="left" indent="1"/>
    </xf>
    <xf numFmtId="0" fontId="3" fillId="4" borderId="16" xfId="4" applyFont="1" applyFill="1" applyBorder="1" applyAlignment="1">
      <alignment horizontal="right"/>
    </xf>
    <xf numFmtId="2" fontId="4" fillId="0" borderId="0" xfId="1" applyNumberFormat="1" applyFont="1" applyFill="1" applyBorder="1"/>
    <xf numFmtId="3" fontId="4" fillId="0" borderId="7" xfId="0" applyNumberFormat="1" applyFont="1" applyBorder="1"/>
    <xf numFmtId="3" fontId="4" fillId="0" borderId="16" xfId="3" applyNumberFormat="1" applyFont="1" applyBorder="1"/>
    <xf numFmtId="0" fontId="14" fillId="0" borderId="0" xfId="0" applyFont="1"/>
    <xf numFmtId="0" fontId="5" fillId="0" borderId="16" xfId="0" applyFont="1" applyBorder="1"/>
    <xf numFmtId="4" fontId="3" fillId="8" borderId="16" xfId="3" applyNumberFormat="1" applyFont="1" applyFill="1" applyBorder="1"/>
    <xf numFmtId="0" fontId="5" fillId="0" borderId="7" xfId="0" applyFont="1" applyBorder="1"/>
    <xf numFmtId="0" fontId="4" fillId="0" borderId="8" xfId="0" applyFont="1" applyBorder="1" applyAlignment="1">
      <alignment horizontal="left" indent="1"/>
    </xf>
    <xf numFmtId="4" fontId="3" fillId="0" borderId="7" xfId="1" applyNumberFormat="1" applyFont="1" applyBorder="1"/>
    <xf numFmtId="4" fontId="3" fillId="0" borderId="0" xfId="1" applyNumberFormat="1" applyFont="1" applyFill="1" applyBorder="1"/>
    <xf numFmtId="0" fontId="4" fillId="0" borderId="6" xfId="0" applyFont="1" applyBorder="1"/>
    <xf numFmtId="4" fontId="3" fillId="5" borderId="16" xfId="1" applyNumberFormat="1" applyFont="1" applyFill="1" applyBorder="1"/>
    <xf numFmtId="0" fontId="4" fillId="0" borderId="30" xfId="0" applyFont="1" applyBorder="1" applyAlignment="1">
      <alignment horizontal="left" indent="1"/>
    </xf>
    <xf numFmtId="3" fontId="3" fillId="0" borderId="31" xfId="1" applyNumberFormat="1" applyFont="1" applyFill="1" applyBorder="1"/>
    <xf numFmtId="0" fontId="4" fillId="0" borderId="36" xfId="0" applyFont="1" applyBorder="1" applyAlignment="1">
      <alignment horizontal="left" indent="1"/>
    </xf>
    <xf numFmtId="4" fontId="3" fillId="0" borderId="37" xfId="0" applyNumberFormat="1" applyFont="1" applyBorder="1"/>
    <xf numFmtId="0" fontId="4" fillId="0" borderId="38" xfId="0" applyFont="1" applyBorder="1"/>
    <xf numFmtId="173" fontId="4" fillId="0" borderId="0" xfId="0" applyNumberFormat="1" applyFont="1"/>
    <xf numFmtId="1" fontId="3" fillId="7" borderId="31" xfId="0" applyNumberFormat="1" applyFont="1" applyFill="1" applyBorder="1"/>
    <xf numFmtId="0" fontId="4" fillId="7" borderId="36" xfId="0" applyFont="1" applyFill="1" applyBorder="1" applyAlignment="1">
      <alignment horizontal="left" indent="1"/>
    </xf>
    <xf numFmtId="172" fontId="3" fillId="7" borderId="31" xfId="0" applyNumberFormat="1" applyFont="1" applyFill="1" applyBorder="1"/>
    <xf numFmtId="172" fontId="3" fillId="0" borderId="16" xfId="0" applyNumberFormat="1" applyFont="1" applyBorder="1"/>
    <xf numFmtId="3" fontId="4" fillId="0" borderId="23" xfId="0" applyNumberFormat="1" applyFont="1" applyBorder="1" applyAlignment="1">
      <alignment horizontal="left" indent="1"/>
    </xf>
    <xf numFmtId="3" fontId="4" fillId="0" borderId="20" xfId="0" applyNumberFormat="1" applyFont="1" applyBorder="1" applyAlignment="1">
      <alignment horizontal="left" indent="1"/>
    </xf>
    <xf numFmtId="0" fontId="2" fillId="4" borderId="17" xfId="0" applyFont="1" applyFill="1" applyBorder="1" applyAlignment="1">
      <alignment horizontal="left"/>
    </xf>
    <xf numFmtId="0" fontId="3" fillId="0" borderId="8" xfId="0" applyFont="1" applyBorder="1" applyAlignment="1">
      <alignment horizontal="left" indent="1"/>
    </xf>
    <xf numFmtId="0" fontId="3" fillId="0" borderId="20" xfId="0" applyFont="1" applyBorder="1" applyAlignment="1">
      <alignment horizontal="left" indent="1"/>
    </xf>
    <xf numFmtId="0" fontId="3" fillId="4" borderId="19" xfId="4" applyFont="1" applyFill="1" applyBorder="1" applyAlignment="1">
      <alignment horizontal="right"/>
    </xf>
    <xf numFmtId="3" fontId="3" fillId="5" borderId="16" xfId="4" applyNumberFormat="1" applyFont="1" applyFill="1" applyBorder="1" applyAlignment="1">
      <alignment horizontal="right"/>
    </xf>
    <xf numFmtId="3" fontId="3" fillId="5" borderId="23" xfId="4" applyNumberFormat="1" applyFont="1" applyFill="1" applyBorder="1" applyAlignment="1">
      <alignment horizontal="right"/>
    </xf>
    <xf numFmtId="3" fontId="3" fillId="4" borderId="19" xfId="4" applyNumberFormat="1" applyFont="1" applyFill="1" applyBorder="1" applyAlignment="1">
      <alignment horizontal="right"/>
    </xf>
    <xf numFmtId="3" fontId="4" fillId="4" borderId="19" xfId="0" applyNumberFormat="1" applyFont="1" applyFill="1" applyBorder="1"/>
    <xf numFmtId="3" fontId="4" fillId="4" borderId="18" xfId="0" applyNumberFormat="1" applyFont="1" applyFill="1" applyBorder="1"/>
    <xf numFmtId="0" fontId="4" fillId="0" borderId="20" xfId="0" applyFont="1" applyBorder="1" applyAlignment="1">
      <alignment horizontal="left" indent="1"/>
    </xf>
    <xf numFmtId="3" fontId="3" fillId="4" borderId="16" xfId="4" applyNumberFormat="1" applyFont="1" applyFill="1" applyBorder="1" applyAlignment="1">
      <alignment horizontal="right"/>
    </xf>
    <xf numFmtId="3" fontId="4" fillId="4" borderId="16" xfId="0" applyNumberFormat="1" applyFont="1" applyFill="1" applyBorder="1"/>
    <xf numFmtId="0" fontId="3" fillId="0" borderId="23" xfId="0" applyFont="1" applyBorder="1" applyAlignment="1">
      <alignment horizontal="left" indent="1"/>
    </xf>
    <xf numFmtId="0" fontId="3" fillId="0" borderId="14" xfId="0" applyFont="1" applyBorder="1" applyAlignment="1">
      <alignment horizontal="left" indent="1"/>
    </xf>
    <xf numFmtId="3" fontId="4" fillId="5" borderId="14" xfId="0" applyNumberFormat="1" applyFont="1" applyFill="1" applyBorder="1"/>
    <xf numFmtId="0" fontId="5" fillId="4" borderId="17" xfId="0" applyFont="1" applyFill="1" applyBorder="1"/>
    <xf numFmtId="0" fontId="4" fillId="0" borderId="16" xfId="0" applyFont="1" applyBorder="1" applyAlignment="1">
      <alignment horizontal="left"/>
    </xf>
    <xf numFmtId="0" fontId="4" fillId="0" borderId="14" xfId="0" applyFont="1" applyBorder="1" applyAlignment="1">
      <alignment horizontal="left"/>
    </xf>
    <xf numFmtId="4" fontId="3" fillId="2" borderId="18" xfId="1" applyNumberFormat="1" applyFont="1" applyFill="1" applyBorder="1"/>
    <xf numFmtId="0" fontId="3" fillId="0" borderId="0" xfId="4" applyFont="1" applyAlignment="1">
      <alignment horizontal="left" indent="1"/>
    </xf>
    <xf numFmtId="0" fontId="3" fillId="0" borderId="0" xfId="5" applyNumberFormat="1" applyFont="1" applyFill="1" applyBorder="1" applyAlignment="1">
      <alignment horizontal="right"/>
    </xf>
    <xf numFmtId="0" fontId="5" fillId="2" borderId="19" xfId="0" applyFont="1" applyFill="1" applyBorder="1"/>
    <xf numFmtId="4" fontId="4" fillId="2" borderId="19" xfId="0" applyNumberFormat="1" applyFont="1" applyFill="1" applyBorder="1"/>
    <xf numFmtId="173" fontId="4" fillId="0" borderId="16" xfId="0" applyNumberFormat="1" applyFont="1" applyBorder="1"/>
    <xf numFmtId="3" fontId="4" fillId="0" borderId="13" xfId="0" applyNumberFormat="1" applyFont="1" applyBorder="1" applyAlignment="1">
      <alignment horizontal="left" indent="1"/>
    </xf>
    <xf numFmtId="173" fontId="4" fillId="5" borderId="14" xfId="0" applyNumberFormat="1" applyFont="1" applyFill="1" applyBorder="1"/>
    <xf numFmtId="3" fontId="5" fillId="4" borderId="17" xfId="0" applyNumberFormat="1" applyFont="1" applyFill="1" applyBorder="1"/>
    <xf numFmtId="0" fontId="5" fillId="2" borderId="21" xfId="0" applyFont="1" applyFill="1" applyBorder="1" applyAlignment="1">
      <alignment horizontal="center" vertical="center"/>
    </xf>
    <xf numFmtId="0" fontId="5" fillId="2" borderId="22" xfId="0" applyFont="1" applyFill="1" applyBorder="1" applyAlignment="1">
      <alignment horizontal="center" vertical="center"/>
    </xf>
    <xf numFmtId="3" fontId="4" fillId="0" borderId="0" xfId="0" applyNumberFormat="1" applyFont="1" applyAlignment="1">
      <alignment horizontal="left" indent="1"/>
    </xf>
    <xf numFmtId="11" fontId="4" fillId="5" borderId="14" xfId="0" applyNumberFormat="1" applyFont="1" applyFill="1" applyBorder="1"/>
    <xf numFmtId="11" fontId="4" fillId="0" borderId="0" xfId="0" applyNumberFormat="1" applyFont="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cellXfs>
  <cellStyles count="6">
    <cellStyle name="Comma" xfId="3" builtinId="3"/>
    <cellStyle name="Currency" xfId="2" builtinId="4"/>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63501</xdr:colOff>
      <xdr:row>65</xdr:row>
      <xdr:rowOff>158749</xdr:rowOff>
    </xdr:from>
    <xdr:to>
      <xdr:col>5</xdr:col>
      <xdr:colOff>21168</xdr:colOff>
      <xdr:row>83</xdr:row>
      <xdr:rowOff>10582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99668" y="10615082"/>
          <a:ext cx="3429000" cy="2719917"/>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solidFill>
                <a:schemeClr val="dk1"/>
              </a:solidFill>
              <a:effectLst/>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endParaRPr lang="en-US">
            <a:effectLst/>
          </a:endParaRPr>
        </a:p>
        <a:p>
          <a:r>
            <a:rPr lang="en-US" sz="1100">
              <a:solidFill>
                <a:schemeClr val="dk1"/>
              </a:solidFill>
              <a:effectLst/>
              <a:latin typeface="+mn-lt"/>
              <a:ea typeface="+mn-ea"/>
              <a:cs typeface="+mn-cs"/>
            </a:rPr>
            <a:t>Sculpted debt sizes</a:t>
          </a:r>
          <a:r>
            <a:rPr lang="en-US" sz="1100" baseline="0">
              <a:solidFill>
                <a:schemeClr val="dk1"/>
              </a:solidFill>
              <a:effectLst/>
              <a:latin typeface="+mn-lt"/>
              <a:ea typeface="+mn-ea"/>
              <a:cs typeface="+mn-cs"/>
            </a:rPr>
            <a:t> debt based on EBITDA to maintain a constant DSCR from year to year.</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"Equal payments" for the annual payment schedule indicates a standard amortization with constant total annual P&amp;I payments. "Fixed principal" indicates fixed principal with declining interest annual payments.</a:t>
          </a:r>
          <a:endParaRPr lang="en-US">
            <a:effectLst/>
          </a:endParaRPr>
        </a:p>
      </xdr:txBody>
    </xdr:sp>
    <xdr:clientData/>
  </xdr:twoCellAnchor>
  <xdr:twoCellAnchor>
    <xdr:from>
      <xdr:col>1</xdr:col>
      <xdr:colOff>2582331</xdr:colOff>
      <xdr:row>8</xdr:row>
      <xdr:rowOff>63498</xdr:rowOff>
    </xdr:from>
    <xdr:to>
      <xdr:col>1</xdr:col>
      <xdr:colOff>4049181</xdr:colOff>
      <xdr:row>13</xdr:row>
      <xdr:rowOff>10583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15164" y="1439331"/>
          <a:ext cx="1466850" cy="74083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indicates O&amp;M costs entered as annual values. </a:t>
          </a:r>
          <a:r>
            <a:rPr lang="en-US" sz="1100" baseline="0"/>
            <a:t>See "ANNUAL VALUES" below.</a:t>
          </a:r>
          <a:endParaRPr lang="en-US" sz="1100"/>
        </a:p>
      </xdr:txBody>
    </xdr:sp>
    <xdr:clientData/>
  </xdr:twoCellAnchor>
  <xdr:oneCellAnchor>
    <xdr:from>
      <xdr:col>3</xdr:col>
      <xdr:colOff>582083</xdr:colOff>
      <xdr:row>20</xdr:row>
      <xdr:rowOff>10584</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3132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120</xdr:row>
      <xdr:rowOff>42334</xdr:rowOff>
    </xdr:from>
    <xdr:to>
      <xdr:col>7</xdr:col>
      <xdr:colOff>444497</xdr:colOff>
      <xdr:row>123</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9420417"/>
          <a:ext cx="3429000" cy="47752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51</xdr:row>
      <xdr:rowOff>4232</xdr:rowOff>
    </xdr:from>
    <xdr:to>
      <xdr:col>5</xdr:col>
      <xdr:colOff>10583</xdr:colOff>
      <xdr:row>61</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8227482"/>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Year 1 </a:t>
          </a:r>
          <a:r>
            <a:rPr lang="en-US" sz="1100" baseline="0">
              <a:solidFill>
                <a:schemeClr val="dk1"/>
              </a:solidFill>
              <a:effectLst/>
              <a:latin typeface="+mn-lt"/>
              <a:ea typeface="+mn-ea"/>
              <a:cs typeface="+mn-cs"/>
            </a:rPr>
            <a:t>rates 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1</xdr:col>
      <xdr:colOff>1227665</xdr:colOff>
      <xdr:row>214</xdr:row>
      <xdr:rowOff>10585</xdr:rowOff>
    </xdr:from>
    <xdr:to>
      <xdr:col>3</xdr:col>
      <xdr:colOff>105833</xdr:colOff>
      <xdr:row>218</xdr:row>
      <xdr:rowOff>105835</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460498" y="33189335"/>
          <a:ext cx="4381502" cy="730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3</xdr:col>
      <xdr:colOff>148165</xdr:colOff>
      <xdr:row>23</xdr:row>
      <xdr:rowOff>74083</xdr:rowOff>
    </xdr:from>
    <xdr:to>
      <xdr:col>6</xdr:col>
      <xdr:colOff>116415</xdr:colOff>
      <xdr:row>35</xdr:row>
      <xdr:rowOff>105833</xdr:rowOff>
    </xdr:to>
    <xdr:sp macro="" textlink="">
      <xdr:nvSpPr>
        <xdr:cNvPr id="8" name="TextBox 7">
          <a:extLst>
            <a:ext uri="{FF2B5EF4-FFF2-40B4-BE49-F238E27FC236}">
              <a16:creationId xmlns:a16="http://schemas.microsoft.com/office/drawing/2014/main" id="{D7DCB3E5-9611-4D23-8B3D-13F6F94F7DAF}"/>
            </a:ext>
          </a:extLst>
        </xdr:cNvPr>
        <xdr:cNvSpPr txBox="1"/>
      </xdr:nvSpPr>
      <xdr:spPr>
        <a:xfrm>
          <a:off x="5884332" y="3831166"/>
          <a:ext cx="5207000" cy="1947334"/>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An IRR target value of "N/A" indicates the solution mode in SAM is "Specify PPA price." The</a:t>
          </a:r>
          <a:r>
            <a:rPr lang="en-US" sz="1100" baseline="0">
              <a:solidFill>
                <a:schemeClr val="dk1"/>
              </a:solidFill>
              <a:effectLst/>
              <a:latin typeface="+mn-lt"/>
              <a:ea typeface="+mn-ea"/>
              <a:cs typeface="+mn-cs"/>
            </a:rPr>
            <a:t> formulas in this workbook use the "actual flip year" value from SAM's results because </a:t>
          </a:r>
          <a:r>
            <a:rPr lang="en-US" sz="1100">
              <a:solidFill>
                <a:schemeClr val="dk1"/>
              </a:solidFill>
              <a:effectLst/>
              <a:latin typeface="+mn-lt"/>
              <a:ea typeface="+mn-ea"/>
              <a:cs typeface="+mn-cs"/>
            </a:rPr>
            <a:t>SAM uses an iterative</a:t>
          </a:r>
          <a:r>
            <a:rPr lang="en-US" sz="1100" baseline="0">
              <a:solidFill>
                <a:schemeClr val="dk1"/>
              </a:solidFill>
              <a:effectLst/>
              <a:latin typeface="+mn-lt"/>
              <a:ea typeface="+mn-ea"/>
              <a:cs typeface="+mn-cs"/>
            </a:rPr>
            <a:t> process to determine the IRR and flip year that is not replicated in this workbook. </a:t>
          </a:r>
          <a:endParaRPr lang="en-US">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chemeClr val="dk1"/>
              </a:solidFill>
              <a:effectLst/>
              <a:latin typeface="+mn-lt"/>
              <a:ea typeface="+mn-ea"/>
              <a:cs typeface="+mn-cs"/>
            </a:rPr>
            <a:t>If the PPA Price is modified by Time</a:t>
          </a:r>
          <a:r>
            <a:rPr lang="en-US" sz="1100" baseline="0">
              <a:solidFill>
                <a:schemeClr val="dk1"/>
              </a:solidFill>
              <a:effectLst/>
              <a:latin typeface="+mn-lt"/>
              <a:ea typeface="+mn-ea"/>
              <a:cs typeface="+mn-cs"/>
            </a:rPr>
            <a:t> of Delivery (TOD) multipliers, then the total PPA revenue in the cash flow is the sum of the products of PPA price ($/kWh), hourly (or subhourly) production (kWh) and TOD multiplier. The TOD multipliers do not appear in this workbook, but their effect is reflected in the annual PPA revenue row imported from SAM under"Annual Values" below.</a:t>
          </a:r>
          <a:endParaRPr lang="en-US">
            <a:effectLst/>
          </a:endParaRPr>
        </a:p>
        <a:p>
          <a:endParaRPr lang="en-US" sz="1100"/>
        </a:p>
      </xdr:txBody>
    </xdr:sp>
    <xdr:clientData/>
  </xdr:twoCellAnchor>
  <xdr:twoCellAnchor>
    <xdr:from>
      <xdr:col>6</xdr:col>
      <xdr:colOff>35980</xdr:colOff>
      <xdr:row>113</xdr:row>
      <xdr:rowOff>46567</xdr:rowOff>
    </xdr:from>
    <xdr:to>
      <xdr:col>8</xdr:col>
      <xdr:colOff>967314</xdr:colOff>
      <xdr:row>116</xdr:row>
      <xdr:rowOff>137583</xdr:rowOff>
    </xdr:to>
    <xdr:sp macro="" textlink="">
      <xdr:nvSpPr>
        <xdr:cNvPr id="9" name="TextBox 8">
          <a:extLst>
            <a:ext uri="{FF2B5EF4-FFF2-40B4-BE49-F238E27FC236}">
              <a16:creationId xmlns:a16="http://schemas.microsoft.com/office/drawing/2014/main" id="{D20A3945-E5DD-4013-B167-D2CB2021D6CA}"/>
            </a:ext>
          </a:extLst>
        </xdr:cNvPr>
        <xdr:cNvSpPr txBox="1"/>
      </xdr:nvSpPr>
      <xdr:spPr>
        <a:xfrm>
          <a:off x="11010897" y="18302817"/>
          <a:ext cx="3429000" cy="567266"/>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25"/>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4"/>
      <c r="B1" s="255" t="s">
        <v>326</v>
      </c>
      <c r="C1" s="254"/>
      <c r="D1" s="254"/>
      <c r="E1" s="254"/>
      <c r="F1" s="254"/>
      <c r="G1" s="254"/>
      <c r="H1" s="254"/>
      <c r="I1" s="254"/>
      <c r="J1" s="83"/>
      <c r="K1" s="83"/>
      <c r="L1" s="83"/>
      <c r="M1" s="83"/>
      <c r="N1" s="83"/>
    </row>
    <row r="2" spans="1:48" ht="12.75" customHeight="1" x14ac:dyDescent="0.2">
      <c r="B2" s="5" t="s">
        <v>102</v>
      </c>
      <c r="C2" s="104"/>
      <c r="D2" s="83"/>
      <c r="E2" s="84" t="s">
        <v>89</v>
      </c>
      <c r="G2" s="83"/>
      <c r="H2" s="199"/>
      <c r="J2" s="83"/>
      <c r="K2" s="83"/>
      <c r="L2" s="83"/>
      <c r="M2" s="83"/>
      <c r="N2" s="83"/>
    </row>
    <row r="3" spans="1:48" ht="12.75" customHeight="1" x14ac:dyDescent="0.2">
      <c r="B3" s="64" t="s">
        <v>196</v>
      </c>
      <c r="C3" s="105">
        <v>100000</v>
      </c>
      <c r="D3" s="83"/>
      <c r="E3" s="36" t="s">
        <v>180</v>
      </c>
      <c r="G3" s="83"/>
      <c r="H3" s="199"/>
      <c r="I3" s="119"/>
      <c r="J3" s="83"/>
      <c r="K3" s="83"/>
      <c r="L3" s="83"/>
      <c r="M3" s="83"/>
      <c r="N3" s="83"/>
    </row>
    <row r="4" spans="1:48" ht="12.75" customHeight="1" x14ac:dyDescent="0.2">
      <c r="B4" s="1"/>
      <c r="C4" s="108"/>
      <c r="D4" s="83"/>
      <c r="E4" s="223" t="s">
        <v>181</v>
      </c>
      <c r="G4" s="83"/>
      <c r="H4" s="27"/>
      <c r="I4" s="117"/>
      <c r="J4" s="83"/>
      <c r="K4" s="83"/>
      <c r="L4" s="83"/>
      <c r="M4" s="83"/>
      <c r="N4" s="83"/>
    </row>
    <row r="5" spans="1:48" ht="12.75" customHeight="1" x14ac:dyDescent="0.2">
      <c r="B5" s="5" t="s">
        <v>101</v>
      </c>
      <c r="C5" s="107"/>
      <c r="D5" s="83"/>
      <c r="E5" s="205" t="s">
        <v>318</v>
      </c>
      <c r="I5" s="119"/>
      <c r="K5" s="83"/>
      <c r="L5" s="83"/>
      <c r="M5" s="83"/>
      <c r="N5" s="83"/>
    </row>
    <row r="6" spans="1:48" x14ac:dyDescent="0.2">
      <c r="B6" s="37" t="s">
        <v>160</v>
      </c>
      <c r="C6" s="182">
        <v>106498000</v>
      </c>
      <c r="E6" s="245" t="s">
        <v>256</v>
      </c>
      <c r="G6" s="83"/>
      <c r="H6" s="83"/>
      <c r="I6" s="83"/>
      <c r="J6" s="83"/>
      <c r="K6" s="1"/>
      <c r="M6" s="20"/>
    </row>
    <row r="7" spans="1:48" x14ac:dyDescent="0.2">
      <c r="C7" s="108"/>
      <c r="G7" s="35"/>
      <c r="H7" s="35"/>
      <c r="I7" s="35"/>
      <c r="J7" s="35"/>
      <c r="M7" s="19"/>
    </row>
    <row r="8" spans="1:48" x14ac:dyDescent="0.2">
      <c r="B8" s="5" t="s">
        <v>161</v>
      </c>
      <c r="C8" s="107"/>
      <c r="E8" s="200" t="s">
        <v>202</v>
      </c>
      <c r="F8" s="201"/>
      <c r="G8" s="156"/>
      <c r="H8" s="119"/>
      <c r="I8" s="119"/>
      <c r="J8" s="119"/>
      <c r="M8" s="91"/>
      <c r="N8" s="27"/>
    </row>
    <row r="9" spans="1:48" x14ac:dyDescent="0.2">
      <c r="B9" s="318" t="s">
        <v>162</v>
      </c>
      <c r="C9" s="105">
        <v>0</v>
      </c>
      <c r="E9" s="202" t="s">
        <v>204</v>
      </c>
      <c r="F9" s="105">
        <f>'Cash Flow'!C16</f>
        <v>4</v>
      </c>
      <c r="G9" s="156"/>
      <c r="H9" s="156"/>
      <c r="I9" s="185"/>
      <c r="J9" s="156"/>
      <c r="K9" s="86"/>
      <c r="M9" s="92"/>
      <c r="O9" s="87"/>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row>
    <row r="10" spans="1:48" x14ac:dyDescent="0.2">
      <c r="B10" s="38" t="s">
        <v>185</v>
      </c>
      <c r="C10" s="110">
        <v>0</v>
      </c>
      <c r="E10" s="202" t="s">
        <v>203</v>
      </c>
      <c r="F10" s="106">
        <f>ppa_escalation</f>
        <v>1</v>
      </c>
      <c r="G10" s="119"/>
      <c r="H10" s="119"/>
      <c r="I10" s="153"/>
      <c r="J10" s="119"/>
      <c r="M10" s="91"/>
      <c r="N10" s="27"/>
    </row>
    <row r="11" spans="1:48" x14ac:dyDescent="0.2">
      <c r="B11" s="318" t="s">
        <v>454</v>
      </c>
      <c r="C11" s="105">
        <v>15</v>
      </c>
      <c r="E11" s="202" t="s">
        <v>254</v>
      </c>
      <c r="F11" s="106">
        <f>'Cash Flow'!B154</f>
        <v>4.3231549428436642</v>
      </c>
      <c r="G11" s="119"/>
      <c r="H11" s="119"/>
      <c r="I11" s="153"/>
      <c r="J11" s="119"/>
      <c r="M11" s="91"/>
      <c r="N11" s="27"/>
    </row>
    <row r="12" spans="1:48" x14ac:dyDescent="0.2">
      <c r="B12" s="38" t="s">
        <v>185</v>
      </c>
      <c r="C12" s="110">
        <v>0</v>
      </c>
      <c r="E12" s="202" t="s">
        <v>381</v>
      </c>
      <c r="F12" s="106">
        <f>'Cash Flow'!B150</f>
        <v>5.4243266333040463</v>
      </c>
      <c r="G12" s="119"/>
      <c r="H12" s="119"/>
      <c r="I12" s="153"/>
      <c r="J12" s="119"/>
      <c r="M12" s="91"/>
      <c r="N12" s="27"/>
    </row>
    <row r="13" spans="1:48" x14ac:dyDescent="0.2">
      <c r="B13" s="318" t="s">
        <v>163</v>
      </c>
      <c r="C13" s="105">
        <v>0</v>
      </c>
      <c r="E13" s="37" t="s">
        <v>348</v>
      </c>
      <c r="F13" s="191">
        <f>HLOOKUP(IF(PPAPriceInput="Calculated",flip_actual_year,F14),'Cash Flow'!B2:AP203,202)</f>
        <v>9.3277000000000001</v>
      </c>
      <c r="G13" s="119"/>
      <c r="H13" s="119"/>
      <c r="I13" s="153"/>
      <c r="J13" s="119"/>
      <c r="M13" s="91"/>
      <c r="N13" s="27"/>
    </row>
    <row r="14" spans="1:48" x14ac:dyDescent="0.2">
      <c r="B14" s="38" t="s">
        <v>185</v>
      </c>
      <c r="C14" s="110">
        <v>0</v>
      </c>
      <c r="E14" s="37" t="s">
        <v>351</v>
      </c>
      <c r="F14" s="155">
        <f>flip_actual_year</f>
        <v>17</v>
      </c>
      <c r="G14" s="119"/>
      <c r="H14" s="119"/>
      <c r="I14" s="153"/>
      <c r="J14" s="119"/>
      <c r="M14" s="91"/>
      <c r="N14" s="27"/>
    </row>
    <row r="15" spans="1:48" x14ac:dyDescent="0.2">
      <c r="B15" s="321"/>
      <c r="C15" s="322"/>
      <c r="D15" s="1"/>
      <c r="E15" s="37" t="s">
        <v>349</v>
      </c>
      <c r="F15" s="191">
        <f>HLOOKUP(analysis_period,'Cash Flow'!B2:AP203,202)</f>
        <v>9.5442</v>
      </c>
      <c r="G15" s="119"/>
      <c r="H15" s="119"/>
      <c r="I15" s="153"/>
      <c r="J15" s="119"/>
      <c r="M15" s="91"/>
      <c r="N15" s="27"/>
    </row>
    <row r="16" spans="1:48" x14ac:dyDescent="0.2">
      <c r="E16" s="37" t="s">
        <v>350</v>
      </c>
      <c r="F16" s="180">
        <f>'Cash Flow'!B207</f>
        <v>1459443.7802432626</v>
      </c>
      <c r="G16" s="119"/>
      <c r="H16" s="119"/>
      <c r="I16" s="153"/>
      <c r="J16" s="119"/>
      <c r="M16" s="91"/>
      <c r="N16" s="27"/>
    </row>
    <row r="17" spans="2:14" x14ac:dyDescent="0.2">
      <c r="B17" s="220" t="s">
        <v>224</v>
      </c>
      <c r="C17" s="221"/>
      <c r="E17" s="37" t="s">
        <v>352</v>
      </c>
      <c r="F17" s="191">
        <f>HLOOKUP(analysis_period,'Cash Flow'!B2:AP185,184)</f>
        <v>2.0426000000000002</v>
      </c>
      <c r="G17" s="119"/>
      <c r="H17" s="119"/>
      <c r="I17" s="153"/>
      <c r="J17" s="119"/>
      <c r="M17" s="91"/>
      <c r="N17" s="27"/>
    </row>
    <row r="18" spans="2:14" x14ac:dyDescent="0.2">
      <c r="B18" s="318" t="s">
        <v>228</v>
      </c>
      <c r="C18" s="105"/>
      <c r="E18" s="37" t="s">
        <v>353</v>
      </c>
      <c r="F18" s="180">
        <f>'Cash Flow'!B188</f>
        <v>-20987228.176624868</v>
      </c>
      <c r="G18" s="119"/>
      <c r="H18" s="119"/>
      <c r="I18" s="153"/>
      <c r="J18" s="119"/>
      <c r="M18" s="91"/>
      <c r="N18" s="27"/>
    </row>
    <row r="19" spans="2:14" x14ac:dyDescent="0.2">
      <c r="B19" s="38" t="s">
        <v>225</v>
      </c>
      <c r="C19" s="105">
        <v>0</v>
      </c>
      <c r="E19" s="202" t="s">
        <v>276</v>
      </c>
      <c r="F19" s="180">
        <f>-'Cash Flow'!B105</f>
        <v>112739777.5</v>
      </c>
      <c r="G19" s="119"/>
      <c r="H19" s="119"/>
      <c r="I19" s="153"/>
      <c r="J19" s="119"/>
      <c r="M19" s="91"/>
      <c r="N19" s="27"/>
    </row>
    <row r="20" spans="2:14" x14ac:dyDescent="0.2">
      <c r="B20" s="38" t="s">
        <v>249</v>
      </c>
      <c r="C20" s="106">
        <v>0</v>
      </c>
      <c r="E20" s="202" t="s">
        <v>205</v>
      </c>
      <c r="F20" s="180">
        <f>F19-F21</f>
        <v>112739777.5</v>
      </c>
      <c r="G20" s="119"/>
      <c r="H20" s="119"/>
      <c r="I20" s="153"/>
      <c r="J20" s="119"/>
      <c r="M20" s="91"/>
      <c r="N20" s="27"/>
    </row>
    <row r="21" spans="2:14" x14ac:dyDescent="0.2">
      <c r="B21" s="38" t="s">
        <v>226</v>
      </c>
      <c r="C21" s="105">
        <v>0</v>
      </c>
      <c r="E21" s="202" t="s">
        <v>277</v>
      </c>
      <c r="F21" s="180">
        <f>'Cash Flow'!B635</f>
        <v>0</v>
      </c>
      <c r="G21" s="186"/>
      <c r="H21" s="186"/>
      <c r="I21" s="187"/>
      <c r="J21" s="186"/>
      <c r="M21" s="91"/>
      <c r="N21" s="27"/>
    </row>
    <row r="22" spans="2:14" x14ac:dyDescent="0.2">
      <c r="B22" s="38" t="s">
        <v>227</v>
      </c>
      <c r="C22" s="115">
        <v>0</v>
      </c>
      <c r="E22" s="37" t="s">
        <v>453</v>
      </c>
      <c r="F22" s="106">
        <f>'Cash Flow'!B655</f>
        <v>0</v>
      </c>
      <c r="G22" s="119"/>
      <c r="H22" s="119"/>
      <c r="I22" s="153"/>
      <c r="J22" s="119"/>
      <c r="M22" s="91"/>
      <c r="N22" s="27"/>
    </row>
    <row r="23" spans="2:14" x14ac:dyDescent="0.2">
      <c r="B23" s="18"/>
      <c r="C23" s="287"/>
      <c r="E23" s="37" t="s">
        <v>389</v>
      </c>
      <c r="F23" s="325">
        <f>F21/F19*100</f>
        <v>0</v>
      </c>
      <c r="G23" s="119"/>
      <c r="H23" s="119"/>
      <c r="I23" s="153"/>
      <c r="J23" s="119"/>
      <c r="M23" s="91"/>
      <c r="N23" s="27"/>
    </row>
    <row r="24" spans="2:14" x14ac:dyDescent="0.2">
      <c r="B24" s="5" t="s">
        <v>432</v>
      </c>
      <c r="C24" s="320"/>
      <c r="G24" s="119"/>
      <c r="H24" s="119"/>
      <c r="I24" s="153"/>
      <c r="J24" s="119"/>
      <c r="M24" s="91"/>
      <c r="N24" s="27"/>
    </row>
    <row r="25" spans="2:14" x14ac:dyDescent="0.2">
      <c r="B25" s="319" t="s">
        <v>433</v>
      </c>
      <c r="C25" s="115">
        <v>650.27800000000002</v>
      </c>
      <c r="G25" s="119"/>
      <c r="H25" s="119"/>
      <c r="I25" s="153"/>
      <c r="J25" s="119"/>
      <c r="M25" s="91"/>
      <c r="N25" s="27"/>
    </row>
    <row r="26" spans="2:14" x14ac:dyDescent="0.2">
      <c r="B26" s="318" t="s">
        <v>434</v>
      </c>
      <c r="C26" s="115">
        <v>0</v>
      </c>
      <c r="G26" s="119"/>
      <c r="H26" s="119"/>
      <c r="I26" s="153"/>
      <c r="J26" s="119"/>
      <c r="M26" s="91"/>
      <c r="N26" s="27"/>
    </row>
    <row r="27" spans="2:14" x14ac:dyDescent="0.2">
      <c r="B27" s="318" t="s">
        <v>435</v>
      </c>
      <c r="C27" s="115">
        <v>0</v>
      </c>
      <c r="G27" s="119"/>
      <c r="H27" s="119"/>
      <c r="I27" s="153"/>
      <c r="J27" s="119"/>
      <c r="M27" s="91"/>
      <c r="N27" s="27"/>
    </row>
    <row r="28" spans="2:14" x14ac:dyDescent="0.2">
      <c r="B28" s="88"/>
      <c r="C28" s="109"/>
      <c r="G28" s="119"/>
      <c r="H28" s="119"/>
      <c r="I28" s="153"/>
      <c r="J28" s="119"/>
      <c r="M28" s="91"/>
    </row>
    <row r="29" spans="2:14" ht="13.5" thickBot="1" x14ac:dyDescent="0.25">
      <c r="B29" s="220" t="s">
        <v>103</v>
      </c>
      <c r="C29" s="221"/>
      <c r="G29" s="119"/>
      <c r="H29" s="119"/>
      <c r="I29" s="153"/>
      <c r="J29" s="119"/>
      <c r="M29" s="91"/>
      <c r="N29" s="90"/>
    </row>
    <row r="30" spans="2:14" x14ac:dyDescent="0.2">
      <c r="B30" s="229" t="s">
        <v>104</v>
      </c>
      <c r="C30" s="230"/>
      <c r="G30" s="119"/>
      <c r="H30" s="119"/>
      <c r="I30" s="153"/>
      <c r="J30" s="119"/>
      <c r="M30" s="91"/>
      <c r="N30" s="1"/>
    </row>
    <row r="31" spans="2:14" x14ac:dyDescent="0.2">
      <c r="B31" s="246" t="s">
        <v>327</v>
      </c>
      <c r="C31" s="247" t="s">
        <v>280</v>
      </c>
      <c r="G31" s="119"/>
      <c r="H31" s="119"/>
      <c r="I31" s="153"/>
      <c r="J31" s="119"/>
      <c r="M31" s="91"/>
      <c r="N31" s="1"/>
    </row>
    <row r="32" spans="2:14" x14ac:dyDescent="0.2">
      <c r="B32" s="246" t="s">
        <v>380</v>
      </c>
      <c r="C32" s="296">
        <v>17</v>
      </c>
      <c r="G32" s="119"/>
      <c r="H32" s="119"/>
      <c r="I32" s="153"/>
      <c r="J32" s="119"/>
      <c r="M32" s="91"/>
      <c r="N32" s="1"/>
    </row>
    <row r="33" spans="2:14" x14ac:dyDescent="0.2">
      <c r="B33" s="290" t="s">
        <v>105</v>
      </c>
      <c r="C33" s="291">
        <v>9</v>
      </c>
      <c r="G33" s="119"/>
      <c r="H33" s="119"/>
      <c r="I33" s="153"/>
      <c r="J33" s="119"/>
      <c r="M33" s="91"/>
      <c r="N33" s="1"/>
    </row>
    <row r="34" spans="2:14" x14ac:dyDescent="0.2">
      <c r="B34" s="246" t="s">
        <v>238</v>
      </c>
      <c r="C34" s="298">
        <v>0.04</v>
      </c>
      <c r="G34" s="119"/>
      <c r="H34" s="119"/>
      <c r="I34" s="153"/>
      <c r="J34" s="119"/>
      <c r="M34" s="91"/>
      <c r="N34" s="1"/>
    </row>
    <row r="35" spans="2:14" x14ac:dyDescent="0.2">
      <c r="B35" s="292" t="s">
        <v>343</v>
      </c>
      <c r="C35" s="293">
        <v>1</v>
      </c>
      <c r="G35" s="119"/>
      <c r="H35" s="119"/>
      <c r="I35" s="153"/>
      <c r="J35" s="119"/>
      <c r="M35" s="91"/>
      <c r="N35" s="1"/>
    </row>
    <row r="36" spans="2:14" ht="13.5" thickBot="1" x14ac:dyDescent="0.25">
      <c r="B36" s="248" t="s">
        <v>344</v>
      </c>
      <c r="C36" s="249" t="s">
        <v>18</v>
      </c>
      <c r="G36" s="119"/>
      <c r="H36" s="119"/>
      <c r="I36" s="153"/>
      <c r="J36" s="119"/>
      <c r="M36" s="91"/>
      <c r="N36" s="1"/>
    </row>
    <row r="37" spans="2:14" x14ac:dyDescent="0.2">
      <c r="B37" s="227" t="s">
        <v>328</v>
      </c>
      <c r="C37" s="284"/>
      <c r="D37" s="282" t="s">
        <v>329</v>
      </c>
      <c r="G37" s="119"/>
      <c r="H37" s="119"/>
      <c r="I37" s="153"/>
      <c r="J37" s="119"/>
      <c r="M37" s="91"/>
      <c r="N37" s="1"/>
    </row>
    <row r="38" spans="2:14" x14ac:dyDescent="0.2">
      <c r="B38" s="38" t="s">
        <v>330</v>
      </c>
      <c r="C38" s="110">
        <v>60</v>
      </c>
      <c r="D38" s="114">
        <f>100-C38</f>
        <v>40</v>
      </c>
      <c r="G38" s="119"/>
      <c r="H38" s="119"/>
      <c r="I38" s="153"/>
      <c r="J38" s="119"/>
      <c r="M38" s="91"/>
      <c r="N38" s="1"/>
    </row>
    <row r="39" spans="2:14" x14ac:dyDescent="0.2">
      <c r="B39" s="38" t="s">
        <v>331</v>
      </c>
      <c r="C39" s="110">
        <v>100</v>
      </c>
      <c r="D39" s="114">
        <f t="shared" ref="D39:D42" si="0">100-C39</f>
        <v>0</v>
      </c>
      <c r="G39" s="119"/>
      <c r="H39" s="119"/>
      <c r="I39" s="153"/>
      <c r="J39" s="119"/>
      <c r="M39" s="91"/>
      <c r="N39" s="1"/>
    </row>
    <row r="40" spans="2:14" x14ac:dyDescent="0.2">
      <c r="B40" s="38" t="s">
        <v>332</v>
      </c>
      <c r="C40" s="110">
        <v>10</v>
      </c>
      <c r="D40" s="114">
        <f t="shared" si="0"/>
        <v>90</v>
      </c>
      <c r="G40" s="119"/>
      <c r="H40" s="119"/>
      <c r="I40" s="153"/>
      <c r="J40" s="119"/>
      <c r="M40" s="91"/>
      <c r="N40" s="1"/>
    </row>
    <row r="41" spans="2:14" x14ac:dyDescent="0.2">
      <c r="B41" s="38" t="s">
        <v>333</v>
      </c>
      <c r="C41" s="110">
        <v>99</v>
      </c>
      <c r="D41" s="114">
        <f t="shared" si="0"/>
        <v>1</v>
      </c>
      <c r="G41" s="119"/>
      <c r="H41" s="119"/>
      <c r="I41" s="153"/>
      <c r="J41" s="119"/>
      <c r="M41" s="91"/>
      <c r="N41" s="1"/>
    </row>
    <row r="42" spans="2:14" x14ac:dyDescent="0.2">
      <c r="B42" s="38" t="s">
        <v>334</v>
      </c>
      <c r="C42" s="110">
        <v>10</v>
      </c>
      <c r="D42" s="114">
        <f t="shared" si="0"/>
        <v>90</v>
      </c>
      <c r="G42" s="119"/>
      <c r="H42" s="119"/>
      <c r="I42" s="153"/>
      <c r="J42" s="119"/>
      <c r="M42" s="91"/>
      <c r="N42" s="1"/>
    </row>
    <row r="43" spans="2:14" x14ac:dyDescent="0.2">
      <c r="B43" s="227" t="s">
        <v>340</v>
      </c>
      <c r="C43" s="286"/>
      <c r="D43" s="287"/>
      <c r="G43" s="119"/>
      <c r="H43" s="119"/>
      <c r="I43" s="153"/>
      <c r="J43" s="119"/>
      <c r="M43" s="91"/>
      <c r="N43" s="1"/>
    </row>
    <row r="44" spans="2:14" x14ac:dyDescent="0.2">
      <c r="B44" s="285" t="s">
        <v>341</v>
      </c>
      <c r="C44" s="110" t="s">
        <v>469</v>
      </c>
      <c r="D44" s="287"/>
      <c r="G44" s="119"/>
      <c r="H44" s="119"/>
      <c r="I44" s="153"/>
      <c r="J44" s="119"/>
      <c r="M44" s="91"/>
      <c r="N44" s="1"/>
    </row>
    <row r="45" spans="2:14" x14ac:dyDescent="0.2">
      <c r="B45" s="285" t="s">
        <v>342</v>
      </c>
      <c r="C45" s="182">
        <v>3</v>
      </c>
      <c r="D45" s="287"/>
      <c r="G45" s="119"/>
      <c r="H45" s="119"/>
      <c r="I45" s="153"/>
      <c r="J45" s="119"/>
      <c r="M45" s="91"/>
      <c r="N45" s="1"/>
    </row>
    <row r="46" spans="2:14" x14ac:dyDescent="0.2">
      <c r="B46" s="227" t="s">
        <v>106</v>
      </c>
      <c r="C46" s="228"/>
      <c r="G46" s="119"/>
      <c r="H46" s="119"/>
      <c r="I46" s="153"/>
      <c r="J46" s="119"/>
      <c r="M46" s="91"/>
      <c r="N46" s="1"/>
    </row>
    <row r="47" spans="2:14" x14ac:dyDescent="0.2">
      <c r="B47" s="38" t="s">
        <v>111</v>
      </c>
      <c r="C47" s="182">
        <v>25</v>
      </c>
      <c r="G47" s="119"/>
      <c r="H47" s="119"/>
      <c r="I47" s="153"/>
      <c r="J47" s="119"/>
      <c r="M47" s="91"/>
      <c r="N47" s="1"/>
    </row>
    <row r="48" spans="2:14" x14ac:dyDescent="0.2">
      <c r="B48" s="38" t="s">
        <v>112</v>
      </c>
      <c r="C48" s="110">
        <v>2.5</v>
      </c>
      <c r="G48" s="119"/>
      <c r="H48" s="119"/>
      <c r="I48" s="153"/>
      <c r="J48" s="119"/>
      <c r="K48" s="12"/>
      <c r="M48" s="91"/>
      <c r="N48" s="1"/>
    </row>
    <row r="49" spans="2:14" x14ac:dyDescent="0.2">
      <c r="B49" s="38" t="s">
        <v>114</v>
      </c>
      <c r="C49" s="113">
        <v>6.4</v>
      </c>
      <c r="G49" s="188"/>
      <c r="H49" s="119"/>
      <c r="I49" s="153"/>
      <c r="J49" s="119"/>
      <c r="K49" s="32"/>
      <c r="M49" s="91"/>
      <c r="N49" s="1"/>
    </row>
    <row r="50" spans="2:14" x14ac:dyDescent="0.2">
      <c r="B50" s="38" t="s">
        <v>113</v>
      </c>
      <c r="C50" s="114">
        <f>((inflation_rate/100+1)*(real_discount_rate/100+1)-1)*100</f>
        <v>9.0600000000000023</v>
      </c>
      <c r="G50" s="119"/>
      <c r="H50" s="119"/>
      <c r="I50" s="153"/>
      <c r="J50" s="119"/>
      <c r="K50" s="32"/>
      <c r="M50" s="91"/>
      <c r="N50" s="1"/>
    </row>
    <row r="51" spans="2:14" x14ac:dyDescent="0.2">
      <c r="B51" s="29" t="s">
        <v>107</v>
      </c>
      <c r="C51" s="112"/>
      <c r="G51" s="119"/>
      <c r="H51" s="119"/>
      <c r="I51" s="153"/>
      <c r="J51" s="119"/>
      <c r="M51" s="91"/>
      <c r="N51" s="1"/>
    </row>
    <row r="52" spans="2:14" x14ac:dyDescent="0.2">
      <c r="B52" s="38" t="s">
        <v>345</v>
      </c>
      <c r="C52" s="289">
        <v>21</v>
      </c>
      <c r="E52" s="198"/>
      <c r="F52" s="153"/>
      <c r="G52" s="119"/>
      <c r="H52" s="119"/>
      <c r="I52" s="153"/>
      <c r="J52" s="119"/>
      <c r="K52" s="12"/>
      <c r="M52" s="91"/>
      <c r="N52" s="1"/>
    </row>
    <row r="53" spans="2:14" x14ac:dyDescent="0.2">
      <c r="B53" s="38" t="s">
        <v>346</v>
      </c>
      <c r="C53" s="289">
        <v>7</v>
      </c>
      <c r="E53" s="198"/>
      <c r="F53" s="153"/>
      <c r="G53" s="119"/>
      <c r="H53" s="119"/>
      <c r="I53" s="153"/>
      <c r="J53" s="119"/>
      <c r="K53" s="32"/>
      <c r="M53" s="91"/>
      <c r="N53" s="1"/>
    </row>
    <row r="54" spans="2:14" x14ac:dyDescent="0.2">
      <c r="B54" s="38" t="s">
        <v>159</v>
      </c>
      <c r="C54" s="115">
        <v>5</v>
      </c>
      <c r="E54" s="198"/>
      <c r="F54" s="153"/>
      <c r="G54" s="119"/>
      <c r="H54" s="119"/>
      <c r="I54" s="153"/>
      <c r="J54" s="119"/>
      <c r="K54" s="32"/>
      <c r="M54" s="91"/>
      <c r="N54" s="1"/>
    </row>
    <row r="55" spans="2:14" x14ac:dyDescent="0.2">
      <c r="B55" s="38" t="s">
        <v>110</v>
      </c>
      <c r="C55" s="115">
        <v>0</v>
      </c>
      <c r="E55" s="184"/>
      <c r="F55" s="153"/>
      <c r="G55" s="119"/>
      <c r="H55" s="119"/>
      <c r="I55" s="153"/>
      <c r="J55" s="119"/>
      <c r="M55" s="91"/>
      <c r="N55" s="1"/>
    </row>
    <row r="56" spans="2:14" x14ac:dyDescent="0.2">
      <c r="B56" s="40" t="s">
        <v>0</v>
      </c>
      <c r="C56" s="111"/>
      <c r="E56" s="184"/>
      <c r="F56" s="153"/>
      <c r="G56" s="119"/>
      <c r="H56" s="119"/>
      <c r="I56" s="153"/>
      <c r="J56" s="119"/>
      <c r="K56" s="12"/>
      <c r="M56" s="91"/>
      <c r="N56" s="1"/>
    </row>
    <row r="57" spans="2:14" x14ac:dyDescent="0.2">
      <c r="B57" s="39" t="s">
        <v>115</v>
      </c>
      <c r="C57" s="116">
        <v>100</v>
      </c>
      <c r="E57" s="184"/>
      <c r="F57" s="153"/>
      <c r="G57" s="119"/>
      <c r="H57" s="119"/>
      <c r="I57" s="153"/>
      <c r="J57" s="119"/>
      <c r="K57" s="32"/>
      <c r="M57" s="91"/>
      <c r="N57" s="1"/>
    </row>
    <row r="58" spans="2:14" x14ac:dyDescent="0.2">
      <c r="B58" s="39" t="s">
        <v>117</v>
      </c>
      <c r="C58" s="250">
        <f>total_installed_cost*prop_tax_cost_assessed_percent/100</f>
        <v>106498000</v>
      </c>
      <c r="E58" s="184"/>
      <c r="F58" s="153"/>
      <c r="G58" s="119"/>
      <c r="H58" s="119"/>
      <c r="I58" s="153"/>
      <c r="J58" s="119"/>
      <c r="M58" s="91"/>
      <c r="N58" s="1"/>
    </row>
    <row r="59" spans="2:14" x14ac:dyDescent="0.2">
      <c r="B59" s="39" t="s">
        <v>116</v>
      </c>
      <c r="C59" s="115">
        <v>0</v>
      </c>
      <c r="E59" s="184"/>
      <c r="F59" s="153"/>
      <c r="G59" s="119"/>
      <c r="H59" s="119"/>
      <c r="I59" s="153"/>
      <c r="J59" s="119"/>
      <c r="K59" s="1"/>
      <c r="M59" s="91"/>
      <c r="N59" s="1"/>
    </row>
    <row r="60" spans="2:14" x14ac:dyDescent="0.2">
      <c r="B60" s="39" t="s">
        <v>118</v>
      </c>
      <c r="C60" s="115">
        <v>0</v>
      </c>
      <c r="E60" s="184"/>
      <c r="F60" s="153"/>
      <c r="G60" s="119"/>
      <c r="H60" s="119"/>
      <c r="I60" s="153"/>
      <c r="J60" s="119"/>
      <c r="M60" s="91"/>
      <c r="N60" s="1"/>
    </row>
    <row r="61" spans="2:14" x14ac:dyDescent="0.2">
      <c r="B61" s="29" t="s">
        <v>52</v>
      </c>
      <c r="C61" s="111"/>
      <c r="E61" s="184"/>
      <c r="F61" s="153"/>
      <c r="G61" s="119"/>
      <c r="H61" s="119"/>
      <c r="I61" s="153"/>
      <c r="J61" s="119"/>
      <c r="M61" s="91"/>
      <c r="N61" s="1"/>
    </row>
    <row r="62" spans="2:14" x14ac:dyDescent="0.2">
      <c r="B62" s="37" t="s">
        <v>183</v>
      </c>
      <c r="C62" s="110">
        <v>0</v>
      </c>
      <c r="E62" s="184"/>
      <c r="F62" s="153"/>
      <c r="G62" s="119"/>
      <c r="H62" s="119"/>
      <c r="I62" s="153"/>
      <c r="J62" s="119"/>
      <c r="M62" s="91"/>
      <c r="N62" s="1"/>
    </row>
    <row r="63" spans="2:14" x14ac:dyDescent="0.2">
      <c r="B63" s="37" t="s">
        <v>182</v>
      </c>
      <c r="C63" s="250">
        <f>total_installed_cost*salvage_percentage/100</f>
        <v>0</v>
      </c>
      <c r="G63" s="119"/>
      <c r="H63" s="119"/>
      <c r="I63" s="153"/>
      <c r="J63" s="119"/>
      <c r="M63" s="91"/>
      <c r="N63" s="1"/>
    </row>
    <row r="64" spans="2:14" x14ac:dyDescent="0.2">
      <c r="C64" s="117"/>
      <c r="I64" s="20"/>
      <c r="M64" s="91"/>
      <c r="N64" s="1"/>
    </row>
    <row r="65" spans="2:14" ht="13.5" thickBot="1" x14ac:dyDescent="0.25">
      <c r="B65" s="220" t="s">
        <v>122</v>
      </c>
      <c r="C65" s="221"/>
      <c r="I65" s="20"/>
      <c r="M65" s="91"/>
      <c r="N65" s="1"/>
    </row>
    <row r="66" spans="2:14" x14ac:dyDescent="0.2">
      <c r="B66" s="271" t="s">
        <v>288</v>
      </c>
      <c r="C66" s="272"/>
      <c r="I66" s="20"/>
      <c r="M66" s="91"/>
      <c r="N66" s="1"/>
    </row>
    <row r="67" spans="2:14" x14ac:dyDescent="0.2">
      <c r="B67" s="246" t="s">
        <v>383</v>
      </c>
      <c r="C67" s="247" t="s">
        <v>280</v>
      </c>
      <c r="I67" s="20"/>
      <c r="M67" s="91"/>
      <c r="N67" s="1"/>
    </row>
    <row r="68" spans="2:14" x14ac:dyDescent="0.2">
      <c r="B68" s="246" t="s">
        <v>384</v>
      </c>
      <c r="C68" s="247">
        <v>0</v>
      </c>
      <c r="I68" s="20"/>
      <c r="M68" s="91"/>
      <c r="N68" s="1"/>
    </row>
    <row r="69" spans="2:14" x14ac:dyDescent="0.2">
      <c r="B69" s="246" t="s">
        <v>385</v>
      </c>
      <c r="C69" s="247" t="s">
        <v>280</v>
      </c>
      <c r="I69" s="20"/>
      <c r="M69" s="91"/>
      <c r="N69" s="1"/>
    </row>
    <row r="70" spans="2:14" x14ac:dyDescent="0.2">
      <c r="B70" s="297" t="s">
        <v>386</v>
      </c>
      <c r="C70" s="247" t="s">
        <v>280</v>
      </c>
      <c r="I70" s="20"/>
      <c r="M70" s="91"/>
      <c r="N70" s="1"/>
    </row>
    <row r="71" spans="2:14" x14ac:dyDescent="0.2">
      <c r="B71" s="297" t="s">
        <v>387</v>
      </c>
      <c r="C71" s="247" t="s">
        <v>280</v>
      </c>
      <c r="I71" s="20"/>
      <c r="M71" s="91"/>
      <c r="N71" s="1"/>
    </row>
    <row r="72" spans="2:14" ht="13.5" thickBot="1" x14ac:dyDescent="0.25">
      <c r="B72" s="248" t="s">
        <v>388</v>
      </c>
      <c r="C72" s="249" t="s">
        <v>280</v>
      </c>
      <c r="I72" s="20"/>
      <c r="M72" s="91"/>
      <c r="N72" s="1"/>
    </row>
    <row r="73" spans="2:14" x14ac:dyDescent="0.2">
      <c r="B73" s="227" t="s">
        <v>255</v>
      </c>
      <c r="C73" s="222"/>
      <c r="E73" s="117"/>
      <c r="I73" s="20"/>
      <c r="M73" s="91"/>
      <c r="N73" s="1"/>
    </row>
    <row r="74" spans="2:14" x14ac:dyDescent="0.2">
      <c r="B74" s="38" t="s">
        <v>123</v>
      </c>
      <c r="C74" s="182" t="s">
        <v>280</v>
      </c>
      <c r="D74" s="85"/>
      <c r="E74" s="117"/>
      <c r="I74" s="20"/>
      <c r="M74" s="91"/>
      <c r="N74" s="1"/>
    </row>
    <row r="75" spans="2:14" x14ac:dyDescent="0.2">
      <c r="B75" s="38" t="s">
        <v>289</v>
      </c>
      <c r="C75" s="182" t="s">
        <v>280</v>
      </c>
      <c r="D75" s="85"/>
      <c r="E75" s="117"/>
      <c r="I75" s="20"/>
      <c r="M75" s="91"/>
      <c r="N75" s="1"/>
    </row>
    <row r="76" spans="2:14" x14ac:dyDescent="0.2">
      <c r="B76" s="38" t="s">
        <v>124</v>
      </c>
      <c r="C76" s="115" t="s">
        <v>280</v>
      </c>
      <c r="D76" s="85"/>
      <c r="E76" s="117"/>
      <c r="I76" s="20"/>
      <c r="M76" s="91"/>
      <c r="N76" s="1"/>
    </row>
    <row r="77" spans="2:14" x14ac:dyDescent="0.2">
      <c r="B77" s="38" t="s">
        <v>125</v>
      </c>
      <c r="C77" s="105" t="s">
        <v>280</v>
      </c>
      <c r="D77" s="85"/>
      <c r="E77" s="156"/>
      <c r="I77" s="20"/>
      <c r="M77" s="91"/>
      <c r="N77" s="1"/>
    </row>
    <row r="78" spans="2:14" x14ac:dyDescent="0.2">
      <c r="B78" s="38" t="s">
        <v>126</v>
      </c>
      <c r="C78" s="115" t="s">
        <v>280</v>
      </c>
      <c r="D78" s="85"/>
      <c r="E78" s="156"/>
      <c r="I78" s="20"/>
      <c r="M78" s="91"/>
      <c r="N78" s="1"/>
    </row>
    <row r="79" spans="2:14" x14ac:dyDescent="0.2">
      <c r="B79" s="38" t="s">
        <v>260</v>
      </c>
      <c r="C79" s="205" t="s">
        <v>280</v>
      </c>
      <c r="D79" s="27"/>
      <c r="I79" s="20"/>
      <c r="M79" s="91"/>
      <c r="N79" s="1"/>
    </row>
    <row r="80" spans="2:14" x14ac:dyDescent="0.2">
      <c r="C80" s="100"/>
      <c r="I80" s="20"/>
      <c r="M80" s="91"/>
      <c r="N80" s="1"/>
    </row>
    <row r="81" spans="2:14" x14ac:dyDescent="0.2">
      <c r="B81" s="5" t="s">
        <v>127</v>
      </c>
      <c r="C81" s="101"/>
      <c r="I81" s="20"/>
      <c r="M81" s="91"/>
      <c r="N81" s="1"/>
    </row>
    <row r="82" spans="2:14" x14ac:dyDescent="0.2">
      <c r="B82" s="37" t="s">
        <v>335</v>
      </c>
      <c r="C82" s="102">
        <v>300000</v>
      </c>
      <c r="I82" s="20"/>
      <c r="M82" s="91"/>
      <c r="N82" s="1"/>
    </row>
    <row r="83" spans="2:14" x14ac:dyDescent="0.2">
      <c r="B83" s="37" t="s">
        <v>336</v>
      </c>
      <c r="C83" s="102">
        <v>0</v>
      </c>
      <c r="I83" s="20"/>
      <c r="M83" s="91"/>
      <c r="N83" s="1"/>
    </row>
    <row r="84" spans="2:14" x14ac:dyDescent="0.2">
      <c r="B84" s="37" t="s">
        <v>337</v>
      </c>
      <c r="C84" s="102">
        <v>3</v>
      </c>
      <c r="I84" s="20"/>
      <c r="M84" s="91"/>
      <c r="N84" s="1"/>
    </row>
    <row r="85" spans="2:14" x14ac:dyDescent="0.2">
      <c r="B85" s="37" t="s">
        <v>338</v>
      </c>
      <c r="C85" s="283">
        <f>cost_dev_fee_percent/100*total_installed_cost</f>
        <v>3194940</v>
      </c>
      <c r="I85" s="20"/>
      <c r="M85" s="91"/>
      <c r="N85" s="1"/>
    </row>
    <row r="86" spans="2:14" x14ac:dyDescent="0.2">
      <c r="B86" s="37" t="s">
        <v>339</v>
      </c>
      <c r="C86" s="283">
        <f>C85*(federal_tax_rate/100*(1-state_tax_rate/100)+state_tax_rate/100)</f>
        <v>847617.58199999994</v>
      </c>
      <c r="I86" s="20"/>
      <c r="M86" s="91"/>
      <c r="N86" s="1"/>
    </row>
    <row r="87" spans="2:14" x14ac:dyDescent="0.2">
      <c r="C87" s="100"/>
      <c r="I87" s="20"/>
      <c r="M87" s="91"/>
      <c r="N87" s="1"/>
    </row>
    <row r="88" spans="2:14" x14ac:dyDescent="0.2">
      <c r="B88" s="5" t="s">
        <v>139</v>
      </c>
      <c r="C88" s="101"/>
      <c r="M88" s="91"/>
      <c r="N88" s="1"/>
    </row>
    <row r="89" spans="2:14" x14ac:dyDescent="0.2">
      <c r="B89" s="37" t="s">
        <v>184</v>
      </c>
      <c r="C89" s="102">
        <v>1996840</v>
      </c>
      <c r="M89" s="91"/>
      <c r="N89" s="1"/>
    </row>
    <row r="90" spans="2:14" x14ac:dyDescent="0.2">
      <c r="C90" s="103"/>
      <c r="M90" s="91"/>
      <c r="N90" s="1"/>
    </row>
    <row r="91" spans="2:14" x14ac:dyDescent="0.2">
      <c r="B91" s="5" t="s">
        <v>219</v>
      </c>
      <c r="C91" s="7"/>
      <c r="D91" s="7"/>
      <c r="E91" s="7"/>
      <c r="F91" s="7"/>
      <c r="G91" s="7"/>
      <c r="H91" s="7"/>
      <c r="I91" s="6"/>
      <c r="M91" s="91"/>
      <c r="N91" s="1"/>
    </row>
    <row r="92" spans="2:14" ht="25.5" x14ac:dyDescent="0.2">
      <c r="B92" s="37"/>
      <c r="C92" s="218" t="s">
        <v>133</v>
      </c>
      <c r="D92" s="217" t="s">
        <v>134</v>
      </c>
      <c r="E92" s="217" t="s">
        <v>135</v>
      </c>
      <c r="F92" s="217" t="s">
        <v>136</v>
      </c>
      <c r="G92" s="217" t="s">
        <v>28</v>
      </c>
      <c r="H92" s="217" t="s">
        <v>29</v>
      </c>
      <c r="I92" s="217" t="s">
        <v>137</v>
      </c>
      <c r="M92" s="91"/>
      <c r="N92" s="1"/>
    </row>
    <row r="93" spans="2:14" x14ac:dyDescent="0.2">
      <c r="B93" s="37" t="s">
        <v>128</v>
      </c>
      <c r="C93" s="189">
        <v>100</v>
      </c>
      <c r="D93" s="191">
        <v>1</v>
      </c>
      <c r="E93" s="155">
        <v>6</v>
      </c>
      <c r="F93" s="194">
        <v>3.5</v>
      </c>
      <c r="G93" s="189">
        <f>C93/100*total_installed_cost</f>
        <v>106498000</v>
      </c>
      <c r="H93" s="189">
        <f>G93*F93/100*E93/12*0.5</f>
        <v>931857.5</v>
      </c>
      <c r="I93" s="189">
        <f>H93+D93/100*G93</f>
        <v>1996837.5</v>
      </c>
      <c r="M93" s="91"/>
      <c r="N93" s="1"/>
    </row>
    <row r="94" spans="2:14" x14ac:dyDescent="0.2">
      <c r="B94" s="37" t="s">
        <v>129</v>
      </c>
      <c r="C94" s="189">
        <v>0</v>
      </c>
      <c r="D94" s="191">
        <v>0</v>
      </c>
      <c r="E94" s="155">
        <v>0</v>
      </c>
      <c r="F94" s="194">
        <v>0</v>
      </c>
      <c r="G94" s="189">
        <f>C94/100*total_installed_cost</f>
        <v>0</v>
      </c>
      <c r="H94" s="189">
        <f>G94*F94/100*E94/12*0.5</f>
        <v>0</v>
      </c>
      <c r="I94" s="189">
        <f t="shared" ref="I94:I97" si="1">H94+D94/100*G94</f>
        <v>0</v>
      </c>
      <c r="M94" s="91"/>
      <c r="N94" s="1"/>
    </row>
    <row r="95" spans="2:14" x14ac:dyDescent="0.2">
      <c r="B95" s="37" t="s">
        <v>130</v>
      </c>
      <c r="C95" s="189">
        <v>0</v>
      </c>
      <c r="D95" s="191">
        <v>0</v>
      </c>
      <c r="E95" s="155">
        <v>0</v>
      </c>
      <c r="F95" s="194">
        <v>0</v>
      </c>
      <c r="G95" s="189">
        <f>C95/100*total_installed_cost</f>
        <v>0</v>
      </c>
      <c r="H95" s="189">
        <f>G95*F95/100*E95/12*0.5</f>
        <v>0</v>
      </c>
      <c r="I95" s="189">
        <f t="shared" si="1"/>
        <v>0</v>
      </c>
      <c r="M95" s="91"/>
      <c r="N95" s="1"/>
    </row>
    <row r="96" spans="2:14" x14ac:dyDescent="0.2">
      <c r="B96" s="37" t="s">
        <v>131</v>
      </c>
      <c r="C96" s="189">
        <v>0</v>
      </c>
      <c r="D96" s="191">
        <v>0</v>
      </c>
      <c r="E96" s="155">
        <v>0</v>
      </c>
      <c r="F96" s="194">
        <v>0</v>
      </c>
      <c r="G96" s="189">
        <f>C96/100*total_installed_cost</f>
        <v>0</v>
      </c>
      <c r="H96" s="189">
        <f>G96*F96/100*E96/12*0.5</f>
        <v>0</v>
      </c>
      <c r="I96" s="189">
        <f t="shared" si="1"/>
        <v>0</v>
      </c>
      <c r="M96" s="91"/>
      <c r="N96" s="1"/>
    </row>
    <row r="97" spans="2:14" x14ac:dyDescent="0.2">
      <c r="B97" s="37" t="s">
        <v>132</v>
      </c>
      <c r="C97" s="190">
        <v>0</v>
      </c>
      <c r="D97" s="192">
        <v>0</v>
      </c>
      <c r="E97" s="193">
        <v>0</v>
      </c>
      <c r="F97" s="195">
        <v>0</v>
      </c>
      <c r="G97" s="189">
        <f>C97/100*total_installed_cost</f>
        <v>0</v>
      </c>
      <c r="H97" s="189">
        <f>G97*F97/100*E97/12*0.5</f>
        <v>0</v>
      </c>
      <c r="I97" s="189">
        <f t="shared" si="1"/>
        <v>0</v>
      </c>
      <c r="M97" s="91"/>
      <c r="N97" s="1"/>
    </row>
    <row r="98" spans="2:14" x14ac:dyDescent="0.2">
      <c r="B98" s="41" t="s">
        <v>138</v>
      </c>
      <c r="C98" s="42"/>
      <c r="D98" s="30"/>
      <c r="E98" s="30"/>
      <c r="F98" s="43"/>
      <c r="G98" s="44">
        <f>SUM(G93:G97)</f>
        <v>106498000</v>
      </c>
      <c r="H98" s="45">
        <f>SUM(H93:H97)</f>
        <v>931857.5</v>
      </c>
      <c r="I98" s="46">
        <f>SUM(I93:I97)</f>
        <v>1996837.5</v>
      </c>
      <c r="M98" s="91"/>
      <c r="N98" s="1"/>
    </row>
    <row r="99" spans="2:14" x14ac:dyDescent="0.2">
      <c r="C99" s="103"/>
      <c r="M99" s="91"/>
      <c r="N99" s="1"/>
    </row>
    <row r="100" spans="2:14" x14ac:dyDescent="0.2">
      <c r="B100" s="5" t="s">
        <v>140</v>
      </c>
      <c r="C100" s="7"/>
      <c r="D100" s="7"/>
      <c r="E100" s="7"/>
      <c r="F100" s="157"/>
      <c r="M100" s="91"/>
      <c r="N100" s="1"/>
    </row>
    <row r="101" spans="2:14" x14ac:dyDescent="0.2">
      <c r="B101" s="37" t="s">
        <v>141</v>
      </c>
      <c r="C101" s="118">
        <v>1.25</v>
      </c>
      <c r="F101" s="157"/>
      <c r="M101" s="91"/>
      <c r="N101" s="1"/>
    </row>
    <row r="102" spans="2:14" x14ac:dyDescent="0.2">
      <c r="B102" s="37" t="s">
        <v>150</v>
      </c>
      <c r="C102" s="118">
        <v>6</v>
      </c>
      <c r="F102" s="157"/>
      <c r="M102" s="91"/>
      <c r="N102" s="1"/>
    </row>
    <row r="103" spans="2:14" x14ac:dyDescent="0.2">
      <c r="B103" s="9" t="s">
        <v>142</v>
      </c>
      <c r="C103" s="118" t="s">
        <v>280</v>
      </c>
      <c r="E103" s="288"/>
      <c r="M103" s="91"/>
      <c r="N103" s="1"/>
    </row>
    <row r="104" spans="2:14" x14ac:dyDescent="0.2">
      <c r="B104" s="9" t="s">
        <v>307</v>
      </c>
      <c r="C104" s="118">
        <v>0</v>
      </c>
      <c r="F104" s="157"/>
      <c r="M104" s="91"/>
      <c r="N104" s="1"/>
    </row>
    <row r="105" spans="2:14" x14ac:dyDescent="0.2">
      <c r="B105" s="37" t="s">
        <v>143</v>
      </c>
      <c r="C105" s="98" t="s">
        <v>195</v>
      </c>
      <c r="D105" s="217" t="s">
        <v>147</v>
      </c>
      <c r="E105" s="232" t="s">
        <v>148</v>
      </c>
      <c r="F105" s="157"/>
      <c r="M105" s="91"/>
      <c r="N105" s="1"/>
    </row>
    <row r="106" spans="2:14" x14ac:dyDescent="0.2">
      <c r="B106" s="50" t="s">
        <v>144</v>
      </c>
      <c r="C106" s="118">
        <v>0.1</v>
      </c>
      <c r="D106" s="283">
        <f>C106*system_capacity</f>
        <v>10000</v>
      </c>
      <c r="E106" s="233">
        <v>15</v>
      </c>
      <c r="F106" s="157"/>
      <c r="M106" s="91"/>
      <c r="N106" s="1"/>
    </row>
    <row r="107" spans="2:14" x14ac:dyDescent="0.2">
      <c r="B107" s="38" t="s">
        <v>146</v>
      </c>
      <c r="C107" s="118">
        <v>0</v>
      </c>
      <c r="D107" s="283">
        <f>C107*system_capacity</f>
        <v>0</v>
      </c>
      <c r="E107" s="233">
        <v>15</v>
      </c>
      <c r="F107" s="157"/>
      <c r="M107" s="91"/>
      <c r="N107" s="1"/>
    </row>
    <row r="108" spans="2:14" x14ac:dyDescent="0.2">
      <c r="B108" s="61" t="s">
        <v>145</v>
      </c>
      <c r="C108" s="118">
        <v>0</v>
      </c>
      <c r="D108" s="283">
        <f>C108*system_capacity</f>
        <v>0</v>
      </c>
      <c r="E108" s="233">
        <v>3</v>
      </c>
      <c r="F108" s="157"/>
      <c r="M108" s="91"/>
      <c r="N108" s="1"/>
    </row>
    <row r="109" spans="2:14" x14ac:dyDescent="0.2">
      <c r="B109" s="40" t="s">
        <v>149</v>
      </c>
      <c r="C109" s="31"/>
      <c r="D109" s="196"/>
      <c r="E109" s="196"/>
      <c r="F109" s="157"/>
      <c r="M109" s="91"/>
      <c r="N109" s="1"/>
    </row>
    <row r="110" spans="2:14" x14ac:dyDescent="0.2">
      <c r="B110" s="48" t="s">
        <v>4</v>
      </c>
      <c r="C110" s="231" t="s">
        <v>46</v>
      </c>
      <c r="D110" s="157"/>
      <c r="F110" s="157"/>
      <c r="M110" s="91"/>
      <c r="N110" s="1"/>
    </row>
    <row r="111" spans="2:14" x14ac:dyDescent="0.2">
      <c r="B111" s="48" t="s">
        <v>5</v>
      </c>
      <c r="C111" s="231" t="s">
        <v>46</v>
      </c>
      <c r="D111" s="234"/>
      <c r="E111" s="235"/>
      <c r="F111" s="157"/>
      <c r="M111" s="91"/>
      <c r="N111" s="1"/>
    </row>
    <row r="112" spans="2:14" x14ac:dyDescent="0.2">
      <c r="M112" s="91"/>
      <c r="N112" s="1"/>
    </row>
    <row r="113" spans="2:14" x14ac:dyDescent="0.2">
      <c r="B113" s="5" t="s">
        <v>151</v>
      </c>
      <c r="C113" s="7"/>
      <c r="D113" s="7"/>
      <c r="E113" s="7"/>
      <c r="F113" s="6"/>
      <c r="M113" s="91"/>
      <c r="N113" s="1"/>
    </row>
    <row r="114" spans="2:14" x14ac:dyDescent="0.2">
      <c r="B114" s="29" t="s">
        <v>2</v>
      </c>
      <c r="C114" s="30"/>
      <c r="D114" s="51"/>
      <c r="E114" s="334" t="s">
        <v>248</v>
      </c>
      <c r="F114" s="335"/>
      <c r="M114" s="91"/>
      <c r="N114" s="1"/>
    </row>
    <row r="115" spans="2:14" x14ac:dyDescent="0.2">
      <c r="B115" s="50" t="s">
        <v>153</v>
      </c>
      <c r="C115" s="8" t="s">
        <v>216</v>
      </c>
      <c r="D115" s="60"/>
      <c r="E115" s="217" t="s">
        <v>4</v>
      </c>
      <c r="F115" s="217" t="s">
        <v>5</v>
      </c>
      <c r="M115" s="91"/>
      <c r="N115" s="1"/>
    </row>
    <row r="116" spans="2:14" x14ac:dyDescent="0.2">
      <c r="B116" s="49" t="s">
        <v>154</v>
      </c>
      <c r="C116" s="141">
        <f>SUM(D182:AQ182)</f>
        <v>0</v>
      </c>
      <c r="D116" s="33"/>
      <c r="E116" s="10" t="s">
        <v>17</v>
      </c>
      <c r="F116" s="10" t="s">
        <v>17</v>
      </c>
      <c r="M116" s="91"/>
      <c r="N116" s="1"/>
    </row>
    <row r="117" spans="2:14" x14ac:dyDescent="0.2">
      <c r="B117" s="49" t="s">
        <v>155</v>
      </c>
      <c r="C117" s="141">
        <f>SUM(D183:AQ183)</f>
        <v>0</v>
      </c>
      <c r="D117" s="53"/>
      <c r="E117" s="59" t="s">
        <v>18</v>
      </c>
      <c r="F117" s="56" t="s">
        <v>18</v>
      </c>
      <c r="M117" s="91"/>
      <c r="N117" s="1"/>
    </row>
    <row r="118" spans="2:14" x14ac:dyDescent="0.2">
      <c r="B118" s="48" t="s">
        <v>158</v>
      </c>
      <c r="C118" s="10" t="s">
        <v>7</v>
      </c>
      <c r="D118" s="13" t="s">
        <v>177</v>
      </c>
      <c r="E118" s="57"/>
      <c r="F118" s="55"/>
      <c r="M118" s="91"/>
      <c r="N118" s="1"/>
    </row>
    <row r="119" spans="2:14" x14ac:dyDescent="0.2">
      <c r="B119" s="49" t="s">
        <v>156</v>
      </c>
      <c r="C119" s="98">
        <f>SUM(D184:AQ184)</f>
        <v>30</v>
      </c>
      <c r="D119" s="47">
        <f>SUM(D185:AQ185)</f>
        <v>2.4999999999999998E+39</v>
      </c>
      <c r="E119" s="54" t="s">
        <v>17</v>
      </c>
      <c r="F119" s="54" t="s">
        <v>17</v>
      </c>
      <c r="M119" s="91"/>
      <c r="N119" s="1"/>
    </row>
    <row r="120" spans="2:14" ht="13.5" thickBot="1" x14ac:dyDescent="0.25">
      <c r="B120" s="78" t="s">
        <v>157</v>
      </c>
      <c r="C120" s="270">
        <f>SUM(D186:AQ186)</f>
        <v>0</v>
      </c>
      <c r="D120" s="244">
        <f>SUM(D187:AQ187)</f>
        <v>2.4999999999999998E+39</v>
      </c>
      <c r="E120" s="65" t="s">
        <v>18</v>
      </c>
      <c r="F120" s="65" t="s">
        <v>18</v>
      </c>
      <c r="M120" s="91"/>
      <c r="N120" s="1"/>
    </row>
    <row r="121" spans="2:14" x14ac:dyDescent="0.2">
      <c r="B121" s="79" t="s">
        <v>6</v>
      </c>
      <c r="C121" s="268" t="s">
        <v>9</v>
      </c>
      <c r="D121" s="269" t="s">
        <v>217</v>
      </c>
      <c r="E121" s="13" t="s">
        <v>215</v>
      </c>
      <c r="F121" s="157"/>
      <c r="M121" s="91"/>
      <c r="N121" s="1"/>
    </row>
    <row r="122" spans="2:14" x14ac:dyDescent="0.2">
      <c r="B122" s="48" t="s">
        <v>4</v>
      </c>
      <c r="C122" s="299">
        <v>0</v>
      </c>
      <c r="D122" s="142">
        <v>10</v>
      </c>
      <c r="E122" s="267">
        <v>0</v>
      </c>
      <c r="F122" s="157"/>
      <c r="M122" s="91"/>
      <c r="N122" s="1"/>
    </row>
    <row r="123" spans="2:14" x14ac:dyDescent="0.2">
      <c r="B123" s="48" t="s">
        <v>5</v>
      </c>
      <c r="C123" s="299">
        <v>0</v>
      </c>
      <c r="D123" s="142">
        <v>10</v>
      </c>
      <c r="E123" s="267">
        <v>0</v>
      </c>
      <c r="F123" s="157"/>
      <c r="M123" s="91"/>
      <c r="N123" s="1"/>
    </row>
    <row r="124" spans="2:14" x14ac:dyDescent="0.2">
      <c r="B124" s="22"/>
      <c r="C124" s="11"/>
      <c r="D124" s="12"/>
      <c r="M124" s="91"/>
      <c r="N124" s="1"/>
    </row>
    <row r="125" spans="2:14" x14ac:dyDescent="0.2">
      <c r="B125" s="220" t="s">
        <v>152</v>
      </c>
      <c r="C125" s="238"/>
      <c r="D125" s="238"/>
      <c r="E125" s="238"/>
      <c r="F125" s="238"/>
      <c r="G125" s="238"/>
      <c r="H125" s="239"/>
      <c r="I125" s="35"/>
      <c r="M125" s="91"/>
    </row>
    <row r="126" spans="2:14" x14ac:dyDescent="0.2">
      <c r="B126" s="29" t="s">
        <v>16</v>
      </c>
      <c r="C126" s="30"/>
      <c r="D126" s="30"/>
      <c r="E126" s="70"/>
      <c r="F126" s="70"/>
      <c r="G126" s="70"/>
      <c r="H126" s="55"/>
      <c r="M126" s="91"/>
    </row>
    <row r="127" spans="2:14" x14ac:dyDescent="0.2">
      <c r="B127" s="75" t="s">
        <v>153</v>
      </c>
      <c r="C127" s="8" t="s">
        <v>216</v>
      </c>
      <c r="D127" s="236"/>
      <c r="E127" s="58" t="s">
        <v>240</v>
      </c>
      <c r="F127" s="54" t="s">
        <v>241</v>
      </c>
      <c r="G127" s="54" t="s">
        <v>242</v>
      </c>
      <c r="H127" s="54" t="s">
        <v>243</v>
      </c>
      <c r="K127" s="69"/>
      <c r="M127" s="91"/>
      <c r="N127" s="69"/>
    </row>
    <row r="128" spans="2:14" x14ac:dyDescent="0.2">
      <c r="B128" s="49" t="s">
        <v>154</v>
      </c>
      <c r="C128" s="143">
        <v>0</v>
      </c>
      <c r="D128" s="237"/>
      <c r="E128" s="66" t="s">
        <v>17</v>
      </c>
      <c r="F128" s="66" t="s">
        <v>17</v>
      </c>
      <c r="G128" s="10" t="s">
        <v>18</v>
      </c>
      <c r="H128" s="10" t="s">
        <v>18</v>
      </c>
      <c r="M128" s="91"/>
    </row>
    <row r="129" spans="2:14" x14ac:dyDescent="0.2">
      <c r="B129" s="49" t="s">
        <v>155</v>
      </c>
      <c r="C129" s="143">
        <v>0</v>
      </c>
      <c r="D129" s="237"/>
      <c r="E129" s="66" t="s">
        <v>17</v>
      </c>
      <c r="F129" s="66" t="s">
        <v>17</v>
      </c>
      <c r="G129" s="10" t="s">
        <v>18</v>
      </c>
      <c r="H129" s="10" t="s">
        <v>18</v>
      </c>
      <c r="M129" s="91"/>
    </row>
    <row r="130" spans="2:14" x14ac:dyDescent="0.2">
      <c r="B130" s="49" t="s">
        <v>164</v>
      </c>
      <c r="C130" s="143">
        <v>0</v>
      </c>
      <c r="D130" s="237"/>
      <c r="E130" s="66" t="s">
        <v>17</v>
      </c>
      <c r="F130" s="66" t="s">
        <v>17</v>
      </c>
      <c r="G130" s="66" t="s">
        <v>18</v>
      </c>
      <c r="H130" s="10" t="s">
        <v>18</v>
      </c>
      <c r="M130" s="91"/>
    </row>
    <row r="131" spans="2:14" x14ac:dyDescent="0.2">
      <c r="B131" s="76" t="s">
        <v>165</v>
      </c>
      <c r="C131" s="144">
        <v>0</v>
      </c>
      <c r="D131" s="237"/>
      <c r="E131" s="66" t="s">
        <v>17</v>
      </c>
      <c r="F131" s="66" t="s">
        <v>17</v>
      </c>
      <c r="G131" s="56" t="s">
        <v>18</v>
      </c>
      <c r="H131" s="56" t="s">
        <v>18</v>
      </c>
      <c r="M131" s="91"/>
    </row>
    <row r="132" spans="2:14" x14ac:dyDescent="0.2">
      <c r="B132" s="48" t="s">
        <v>158</v>
      </c>
      <c r="C132" s="67" t="s">
        <v>7</v>
      </c>
      <c r="D132" s="10" t="s">
        <v>177</v>
      </c>
      <c r="E132" s="68"/>
      <c r="F132" s="71"/>
      <c r="G132" s="71"/>
      <c r="H132" s="66"/>
      <c r="I132" s="35"/>
      <c r="K132" s="1"/>
      <c r="M132" s="91"/>
      <c r="N132" s="1"/>
    </row>
    <row r="133" spans="2:14" x14ac:dyDescent="0.2">
      <c r="B133" s="49" t="s">
        <v>156</v>
      </c>
      <c r="C133" s="98">
        <v>0</v>
      </c>
      <c r="D133" s="47">
        <v>9.9999999999999998E+37</v>
      </c>
      <c r="E133" s="66" t="s">
        <v>17</v>
      </c>
      <c r="F133" s="66" t="s">
        <v>17</v>
      </c>
      <c r="G133" s="10" t="s">
        <v>18</v>
      </c>
      <c r="H133" s="66" t="s">
        <v>18</v>
      </c>
      <c r="M133" s="1"/>
    </row>
    <row r="134" spans="2:14" x14ac:dyDescent="0.2">
      <c r="B134" s="49" t="s">
        <v>157</v>
      </c>
      <c r="C134" s="98">
        <v>0</v>
      </c>
      <c r="D134" s="47">
        <v>9.9999999999999998E+37</v>
      </c>
      <c r="E134" s="66" t="s">
        <v>17</v>
      </c>
      <c r="F134" s="66" t="s">
        <v>17</v>
      </c>
      <c r="G134" s="10" t="s">
        <v>18</v>
      </c>
      <c r="H134" s="10" t="s">
        <v>18</v>
      </c>
      <c r="M134" s="1"/>
    </row>
    <row r="135" spans="2:14" x14ac:dyDescent="0.2">
      <c r="B135" s="49" t="s">
        <v>166</v>
      </c>
      <c r="C135" s="98">
        <v>0</v>
      </c>
      <c r="D135" s="47">
        <v>9.9999999999999998E+37</v>
      </c>
      <c r="E135" s="66" t="s">
        <v>17</v>
      </c>
      <c r="F135" s="66" t="s">
        <v>17</v>
      </c>
      <c r="G135" s="10" t="s">
        <v>18</v>
      </c>
      <c r="H135" s="10" t="s">
        <v>18</v>
      </c>
      <c r="M135" s="1"/>
    </row>
    <row r="136" spans="2:14" ht="13.5" thickBot="1" x14ac:dyDescent="0.25">
      <c r="B136" s="78" t="s">
        <v>167</v>
      </c>
      <c r="C136" s="145">
        <v>0</v>
      </c>
      <c r="D136" s="244">
        <v>9.9999999999999998E+37</v>
      </c>
      <c r="E136" s="65" t="s">
        <v>17</v>
      </c>
      <c r="F136" s="243" t="s">
        <v>17</v>
      </c>
      <c r="G136" s="65" t="s">
        <v>18</v>
      </c>
      <c r="H136" s="65" t="s">
        <v>18</v>
      </c>
      <c r="M136" s="1"/>
    </row>
    <row r="137" spans="2:14" x14ac:dyDescent="0.2">
      <c r="B137" s="77" t="s">
        <v>39</v>
      </c>
      <c r="C137" s="74" t="s">
        <v>172</v>
      </c>
      <c r="D137" s="54" t="s">
        <v>177</v>
      </c>
      <c r="E137" s="240"/>
      <c r="F137" s="241"/>
      <c r="G137" s="241"/>
      <c r="H137" s="242"/>
      <c r="K137" s="62"/>
      <c r="L137" s="62"/>
      <c r="M137" s="1"/>
      <c r="N137" s="62"/>
    </row>
    <row r="138" spans="2:14" x14ac:dyDescent="0.2">
      <c r="B138" s="48" t="s">
        <v>168</v>
      </c>
      <c r="C138" s="105">
        <v>0</v>
      </c>
      <c r="D138" s="47">
        <v>9.9999999999999998E+37</v>
      </c>
      <c r="E138" s="66" t="s">
        <v>17</v>
      </c>
      <c r="F138" s="66" t="s">
        <v>17</v>
      </c>
      <c r="G138" s="10" t="s">
        <v>18</v>
      </c>
      <c r="H138" s="68" t="s">
        <v>18</v>
      </c>
      <c r="I138" s="157"/>
      <c r="M138" s="1"/>
    </row>
    <row r="139" spans="2:14" x14ac:dyDescent="0.2">
      <c r="B139" s="48" t="s">
        <v>169</v>
      </c>
      <c r="C139" s="105">
        <v>0</v>
      </c>
      <c r="D139" s="47">
        <v>9.9999999999999998E+37</v>
      </c>
      <c r="E139" s="66" t="s">
        <v>17</v>
      </c>
      <c r="F139" s="66" t="s">
        <v>17</v>
      </c>
      <c r="G139" s="66" t="s">
        <v>18</v>
      </c>
      <c r="H139" s="66" t="s">
        <v>18</v>
      </c>
      <c r="M139" s="1"/>
    </row>
    <row r="140" spans="2:14" x14ac:dyDescent="0.2">
      <c r="B140" s="48" t="s">
        <v>170</v>
      </c>
      <c r="C140" s="105">
        <v>0</v>
      </c>
      <c r="D140" s="47">
        <v>9.9999999999999998E+37</v>
      </c>
      <c r="E140" s="66" t="s">
        <v>17</v>
      </c>
      <c r="F140" s="66" t="s">
        <v>17</v>
      </c>
      <c r="G140" s="10" t="s">
        <v>18</v>
      </c>
      <c r="H140" s="10" t="s">
        <v>18</v>
      </c>
      <c r="M140" s="1"/>
    </row>
    <row r="141" spans="2:14" ht="13.5" thickBot="1" x14ac:dyDescent="0.25">
      <c r="B141" s="81" t="s">
        <v>171</v>
      </c>
      <c r="C141" s="146">
        <v>0</v>
      </c>
      <c r="D141" s="244">
        <v>9.9999999999999998E+37</v>
      </c>
      <c r="E141" s="65" t="s">
        <v>17</v>
      </c>
      <c r="F141" s="243" t="s">
        <v>17</v>
      </c>
      <c r="G141" s="65" t="s">
        <v>18</v>
      </c>
      <c r="H141" s="65" t="s">
        <v>18</v>
      </c>
      <c r="M141" s="1"/>
    </row>
    <row r="142" spans="2:14" x14ac:dyDescent="0.2">
      <c r="B142" s="79" t="s">
        <v>37</v>
      </c>
      <c r="C142" s="74" t="s">
        <v>9</v>
      </c>
      <c r="D142" s="54" t="s">
        <v>217</v>
      </c>
      <c r="E142" s="54" t="s">
        <v>215</v>
      </c>
      <c r="F142" s="54" t="s">
        <v>240</v>
      </c>
      <c r="G142" s="54" t="s">
        <v>241</v>
      </c>
      <c r="H142" s="80" t="s">
        <v>239</v>
      </c>
      <c r="I142" s="1"/>
      <c r="J142" s="1"/>
      <c r="K142" s="1"/>
      <c r="L142" s="62"/>
      <c r="M142" s="1"/>
      <c r="N142" s="1"/>
    </row>
    <row r="143" spans="2:14" x14ac:dyDescent="0.2">
      <c r="B143" s="48" t="s">
        <v>173</v>
      </c>
      <c r="C143" s="105">
        <v>0</v>
      </c>
      <c r="D143" s="147">
        <v>0</v>
      </c>
      <c r="E143" s="98">
        <v>0</v>
      </c>
      <c r="F143" s="66" t="s">
        <v>17</v>
      </c>
      <c r="G143" s="66" t="s">
        <v>17</v>
      </c>
      <c r="H143" s="97" t="s">
        <v>280</v>
      </c>
      <c r="I143" s="1"/>
      <c r="J143" s="1"/>
      <c r="K143" s="1"/>
      <c r="M143" s="1"/>
      <c r="N143" s="1"/>
    </row>
    <row r="144" spans="2:14" x14ac:dyDescent="0.2">
      <c r="B144" s="48" t="s">
        <v>174</v>
      </c>
      <c r="C144" s="105">
        <v>0</v>
      </c>
      <c r="D144" s="147">
        <v>0</v>
      </c>
      <c r="E144" s="98">
        <v>0</v>
      </c>
      <c r="F144" s="10" t="s">
        <v>17</v>
      </c>
      <c r="G144" s="66" t="s">
        <v>17</v>
      </c>
      <c r="H144" s="97" t="s">
        <v>280</v>
      </c>
      <c r="I144" s="1"/>
      <c r="J144" s="1"/>
      <c r="K144" s="1"/>
      <c r="M144" s="1"/>
      <c r="N144" s="1"/>
    </row>
    <row r="145" spans="2:43" x14ac:dyDescent="0.2">
      <c r="B145" s="48" t="s">
        <v>175</v>
      </c>
      <c r="C145" s="105">
        <v>0</v>
      </c>
      <c r="D145" s="147">
        <v>0</v>
      </c>
      <c r="E145" s="98">
        <v>0</v>
      </c>
      <c r="F145" s="66" t="s">
        <v>17</v>
      </c>
      <c r="G145" s="66" t="s">
        <v>17</v>
      </c>
      <c r="H145" s="97" t="s">
        <v>280</v>
      </c>
      <c r="I145" s="1"/>
      <c r="J145" s="1"/>
      <c r="K145" s="1"/>
      <c r="L145" s="1"/>
      <c r="M145" s="1"/>
      <c r="N145" s="1"/>
    </row>
    <row r="146" spans="2:43" x14ac:dyDescent="0.2">
      <c r="B146" s="48" t="s">
        <v>176</v>
      </c>
      <c r="C146" s="105">
        <v>0</v>
      </c>
      <c r="D146" s="147">
        <v>0</v>
      </c>
      <c r="E146" s="98">
        <v>0</v>
      </c>
      <c r="F146" s="66" t="s">
        <v>17</v>
      </c>
      <c r="G146" s="66" t="s">
        <v>17</v>
      </c>
      <c r="H146" s="66" t="s">
        <v>280</v>
      </c>
      <c r="I146" s="1"/>
      <c r="L146" s="1"/>
    </row>
    <row r="147" spans="2:43" x14ac:dyDescent="0.2">
      <c r="B147" s="22"/>
      <c r="C147" s="63"/>
      <c r="D147" s="32"/>
      <c r="E147" s="34"/>
      <c r="F147" s="62"/>
      <c r="G147" s="62"/>
      <c r="H147" s="62"/>
      <c r="L147" s="1"/>
    </row>
    <row r="148" spans="2:43" x14ac:dyDescent="0.2">
      <c r="B148" s="5" t="s">
        <v>179</v>
      </c>
      <c r="C148" s="7"/>
      <c r="D148" s="7"/>
      <c r="E148" s="7"/>
      <c r="F148" s="7"/>
      <c r="G148" s="6"/>
      <c r="H148" s="35"/>
    </row>
    <row r="149" spans="2:43" ht="12.75" customHeight="1" x14ac:dyDescent="0.2">
      <c r="B149" s="37" t="s">
        <v>178</v>
      </c>
      <c r="C149" s="67" t="s">
        <v>218</v>
      </c>
      <c r="D149" s="67" t="s">
        <v>246</v>
      </c>
      <c r="E149" s="67" t="s">
        <v>247</v>
      </c>
      <c r="F149" s="67" t="s">
        <v>244</v>
      </c>
      <c r="G149" s="67" t="s">
        <v>245</v>
      </c>
      <c r="H149" s="35"/>
      <c r="I149" s="72"/>
    </row>
    <row r="150" spans="2:43" x14ac:dyDescent="0.2">
      <c r="B150" s="48" t="s">
        <v>46</v>
      </c>
      <c r="C150" s="98">
        <v>90</v>
      </c>
      <c r="D150" s="66" t="s">
        <v>17</v>
      </c>
      <c r="E150" s="66" t="s">
        <v>17</v>
      </c>
      <c r="F150" s="66" t="s">
        <v>17</v>
      </c>
      <c r="G150" s="66" t="s">
        <v>17</v>
      </c>
      <c r="H150" s="1"/>
    </row>
    <row r="151" spans="2:43" ht="12.75" customHeight="1" x14ac:dyDescent="0.2">
      <c r="B151" s="48" t="s">
        <v>47</v>
      </c>
      <c r="C151" s="98">
        <v>1.5</v>
      </c>
      <c r="D151" s="66" t="s">
        <v>17</v>
      </c>
      <c r="E151" s="10" t="s">
        <v>17</v>
      </c>
      <c r="F151" s="10" t="s">
        <v>18</v>
      </c>
      <c r="G151" s="10" t="s">
        <v>18</v>
      </c>
      <c r="H151" s="1"/>
    </row>
    <row r="152" spans="2:43" x14ac:dyDescent="0.2">
      <c r="B152" s="48" t="s">
        <v>48</v>
      </c>
      <c r="C152" s="98">
        <v>0</v>
      </c>
      <c r="D152" s="66" t="s">
        <v>18</v>
      </c>
      <c r="E152" s="10" t="s">
        <v>18</v>
      </c>
      <c r="F152" s="10" t="s">
        <v>18</v>
      </c>
      <c r="G152" s="10" t="s">
        <v>18</v>
      </c>
      <c r="H152" s="1"/>
    </row>
    <row r="153" spans="2:43" x14ac:dyDescent="0.2">
      <c r="B153" s="48" t="s">
        <v>49</v>
      </c>
      <c r="C153" s="98">
        <v>2.5</v>
      </c>
      <c r="D153" s="10" t="s">
        <v>18</v>
      </c>
      <c r="E153" s="10" t="s">
        <v>18</v>
      </c>
      <c r="F153" s="10" t="s">
        <v>18</v>
      </c>
      <c r="G153" s="10" t="s">
        <v>18</v>
      </c>
      <c r="H153" s="1"/>
    </row>
    <row r="154" spans="2:43" x14ac:dyDescent="0.2">
      <c r="B154" s="48" t="s">
        <v>50</v>
      </c>
      <c r="C154" s="98">
        <v>3</v>
      </c>
      <c r="D154" s="10" t="s">
        <v>18</v>
      </c>
      <c r="E154" s="10" t="s">
        <v>18</v>
      </c>
      <c r="F154" s="10" t="s">
        <v>18</v>
      </c>
      <c r="G154" s="10" t="s">
        <v>18</v>
      </c>
      <c r="H154" s="1"/>
    </row>
    <row r="155" spans="2:43" x14ac:dyDescent="0.2">
      <c r="B155" s="48" t="s">
        <v>51</v>
      </c>
      <c r="C155" s="98">
        <v>0</v>
      </c>
      <c r="D155" s="56" t="s">
        <v>18</v>
      </c>
      <c r="E155" s="56" t="s">
        <v>18</v>
      </c>
      <c r="F155" s="56" t="s">
        <v>18</v>
      </c>
      <c r="G155" s="56" t="s">
        <v>18</v>
      </c>
      <c r="H155" s="1"/>
    </row>
    <row r="156" spans="2:43" x14ac:dyDescent="0.2">
      <c r="B156" s="48" t="s">
        <v>322</v>
      </c>
      <c r="C156" s="267">
        <v>0</v>
      </c>
      <c r="D156" s="56" t="s">
        <v>18</v>
      </c>
      <c r="E156" s="56" t="s">
        <v>18</v>
      </c>
      <c r="F156" s="10" t="s">
        <v>18</v>
      </c>
      <c r="G156" s="10" t="s">
        <v>18</v>
      </c>
      <c r="H156" s="1"/>
    </row>
    <row r="157" spans="2:43" ht="12" customHeight="1" x14ac:dyDescent="0.2">
      <c r="B157" s="48" t="s">
        <v>197</v>
      </c>
      <c r="C157" s="150">
        <f>100-C158</f>
        <v>3</v>
      </c>
      <c r="D157" s="197">
        <v>0</v>
      </c>
      <c r="E157" s="197">
        <v>0</v>
      </c>
      <c r="F157" s="196"/>
      <c r="G157" s="196"/>
      <c r="H157" s="1"/>
    </row>
    <row r="158" spans="2:43" x14ac:dyDescent="0.2">
      <c r="B158" s="48" t="s">
        <v>13</v>
      </c>
      <c r="C158" s="150">
        <f>SUM(C150:C156)</f>
        <v>97</v>
      </c>
      <c r="D158" s="157"/>
      <c r="G158" s="27"/>
      <c r="H158" s="1"/>
    </row>
    <row r="159" spans="2:43" x14ac:dyDescent="0.2">
      <c r="E159" s="73"/>
    </row>
    <row r="160" spans="2:43" x14ac:dyDescent="0.2">
      <c r="B160" s="220" t="s">
        <v>278</v>
      </c>
      <c r="C160" s="329">
        <v>0</v>
      </c>
      <c r="D160" s="329">
        <f>C160+1</f>
        <v>1</v>
      </c>
      <c r="E160" s="329">
        <f>D160+1</f>
        <v>2</v>
      </c>
      <c r="F160" s="329">
        <f t="shared" ref="F160:AQ160" si="2">E160+1</f>
        <v>3</v>
      </c>
      <c r="G160" s="329">
        <f>F160+1</f>
        <v>4</v>
      </c>
      <c r="H160" s="329">
        <f t="shared" si="2"/>
        <v>5</v>
      </c>
      <c r="I160" s="329">
        <f t="shared" si="2"/>
        <v>6</v>
      </c>
      <c r="J160" s="329">
        <f t="shared" si="2"/>
        <v>7</v>
      </c>
      <c r="K160" s="329">
        <f t="shared" si="2"/>
        <v>8</v>
      </c>
      <c r="L160" s="329">
        <f t="shared" si="2"/>
        <v>9</v>
      </c>
      <c r="M160" s="329">
        <f t="shared" si="2"/>
        <v>10</v>
      </c>
      <c r="N160" s="329">
        <f t="shared" si="2"/>
        <v>11</v>
      </c>
      <c r="O160" s="329">
        <f t="shared" si="2"/>
        <v>12</v>
      </c>
      <c r="P160" s="329">
        <f t="shared" si="2"/>
        <v>13</v>
      </c>
      <c r="Q160" s="329">
        <f t="shared" si="2"/>
        <v>14</v>
      </c>
      <c r="R160" s="329">
        <f t="shared" si="2"/>
        <v>15</v>
      </c>
      <c r="S160" s="329">
        <f t="shared" si="2"/>
        <v>16</v>
      </c>
      <c r="T160" s="329">
        <f t="shared" si="2"/>
        <v>17</v>
      </c>
      <c r="U160" s="329">
        <f t="shared" si="2"/>
        <v>18</v>
      </c>
      <c r="V160" s="329">
        <f t="shared" si="2"/>
        <v>19</v>
      </c>
      <c r="W160" s="329">
        <f t="shared" si="2"/>
        <v>20</v>
      </c>
      <c r="X160" s="329">
        <f t="shared" si="2"/>
        <v>21</v>
      </c>
      <c r="Y160" s="329">
        <f t="shared" si="2"/>
        <v>22</v>
      </c>
      <c r="Z160" s="329">
        <f t="shared" si="2"/>
        <v>23</v>
      </c>
      <c r="AA160" s="329">
        <f t="shared" si="2"/>
        <v>24</v>
      </c>
      <c r="AB160" s="329">
        <f t="shared" si="2"/>
        <v>25</v>
      </c>
      <c r="AC160" s="329">
        <f t="shared" si="2"/>
        <v>26</v>
      </c>
      <c r="AD160" s="329">
        <f t="shared" si="2"/>
        <v>27</v>
      </c>
      <c r="AE160" s="329">
        <f t="shared" si="2"/>
        <v>28</v>
      </c>
      <c r="AF160" s="329">
        <f t="shared" si="2"/>
        <v>29</v>
      </c>
      <c r="AG160" s="329">
        <f t="shared" si="2"/>
        <v>30</v>
      </c>
      <c r="AH160" s="329">
        <f t="shared" si="2"/>
        <v>31</v>
      </c>
      <c r="AI160" s="329">
        <f t="shared" si="2"/>
        <v>32</v>
      </c>
      <c r="AJ160" s="329">
        <f t="shared" si="2"/>
        <v>33</v>
      </c>
      <c r="AK160" s="329">
        <f t="shared" si="2"/>
        <v>34</v>
      </c>
      <c r="AL160" s="329">
        <f t="shared" si="2"/>
        <v>35</v>
      </c>
      <c r="AM160" s="329">
        <f t="shared" si="2"/>
        <v>36</v>
      </c>
      <c r="AN160" s="329">
        <f t="shared" si="2"/>
        <v>37</v>
      </c>
      <c r="AO160" s="329">
        <f t="shared" si="2"/>
        <v>38</v>
      </c>
      <c r="AP160" s="329">
        <f t="shared" si="2"/>
        <v>39</v>
      </c>
      <c r="AQ160" s="330">
        <f t="shared" si="2"/>
        <v>40</v>
      </c>
    </row>
    <row r="161" spans="1:43" x14ac:dyDescent="0.2">
      <c r="A161" s="4" t="s">
        <v>390</v>
      </c>
      <c r="B161" s="328" t="s">
        <v>391</v>
      </c>
      <c r="C161" s="309"/>
      <c r="D161" s="309"/>
      <c r="E161" s="309"/>
      <c r="F161" s="309"/>
      <c r="G161" s="309"/>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10"/>
    </row>
    <row r="162" spans="1:43" x14ac:dyDescent="0.2">
      <c r="B162" s="326" t="s">
        <v>392</v>
      </c>
      <c r="C162" s="316">
        <v>0</v>
      </c>
      <c r="D162" s="316">
        <v>211907000</v>
      </c>
      <c r="E162" s="316">
        <v>210848000</v>
      </c>
      <c r="F162" s="316">
        <v>209794000</v>
      </c>
      <c r="G162" s="316">
        <v>208745000</v>
      </c>
      <c r="H162" s="316">
        <v>207701000</v>
      </c>
      <c r="I162" s="316">
        <v>206662000</v>
      </c>
      <c r="J162" s="316">
        <v>205629000</v>
      </c>
      <c r="K162" s="316">
        <v>204601000</v>
      </c>
      <c r="L162" s="316">
        <v>203578000</v>
      </c>
      <c r="M162" s="316">
        <v>202560000</v>
      </c>
      <c r="N162" s="316">
        <v>201547000</v>
      </c>
      <c r="O162" s="316">
        <v>200540000</v>
      </c>
      <c r="P162" s="316">
        <v>199537000</v>
      </c>
      <c r="Q162" s="316">
        <v>198539000</v>
      </c>
      <c r="R162" s="316">
        <v>197547000</v>
      </c>
      <c r="S162" s="316">
        <v>196559000</v>
      </c>
      <c r="T162" s="316">
        <v>195576000</v>
      </c>
      <c r="U162" s="316">
        <v>194598000</v>
      </c>
      <c r="V162" s="316">
        <v>193625000</v>
      </c>
      <c r="W162" s="316">
        <v>192657000</v>
      </c>
      <c r="X162" s="316">
        <v>191694000</v>
      </c>
      <c r="Y162" s="316">
        <v>190735000</v>
      </c>
      <c r="Z162" s="316">
        <v>189782000</v>
      </c>
      <c r="AA162" s="316">
        <v>188833000</v>
      </c>
      <c r="AB162" s="316">
        <v>187888000</v>
      </c>
      <c r="AC162" s="316"/>
      <c r="AD162" s="316"/>
      <c r="AE162" s="316"/>
      <c r="AF162" s="316"/>
      <c r="AG162" s="316"/>
      <c r="AH162" s="316"/>
      <c r="AI162" s="316"/>
      <c r="AJ162" s="316"/>
      <c r="AK162" s="316"/>
      <c r="AL162" s="316"/>
      <c r="AM162" s="316"/>
      <c r="AN162" s="316"/>
      <c r="AO162" s="316"/>
      <c r="AP162" s="316"/>
      <c r="AQ162" s="316"/>
    </row>
    <row r="163" spans="1:43" x14ac:dyDescent="0.2">
      <c r="B163" s="300" t="s">
        <v>393</v>
      </c>
      <c r="C163" s="204">
        <v>0</v>
      </c>
      <c r="D163" s="204">
        <v>0</v>
      </c>
      <c r="E163" s="204">
        <v>0</v>
      </c>
      <c r="F163" s="204">
        <v>0</v>
      </c>
      <c r="G163" s="204">
        <v>0</v>
      </c>
      <c r="H163" s="204">
        <v>0</v>
      </c>
      <c r="I163" s="204">
        <v>0</v>
      </c>
      <c r="J163" s="204">
        <v>0</v>
      </c>
      <c r="K163" s="204">
        <v>0</v>
      </c>
      <c r="L163" s="204">
        <v>0</v>
      </c>
      <c r="M163" s="204">
        <v>0</v>
      </c>
      <c r="N163" s="204">
        <v>0</v>
      </c>
      <c r="O163" s="204">
        <v>0</v>
      </c>
      <c r="P163" s="204">
        <v>0</v>
      </c>
      <c r="Q163" s="204">
        <v>0</v>
      </c>
      <c r="R163" s="204">
        <v>0</v>
      </c>
      <c r="S163" s="204">
        <v>0</v>
      </c>
      <c r="T163" s="204">
        <v>0</v>
      </c>
      <c r="U163" s="204">
        <v>0</v>
      </c>
      <c r="V163" s="204">
        <v>0</v>
      </c>
      <c r="W163" s="204">
        <v>0</v>
      </c>
      <c r="X163" s="204">
        <v>0</v>
      </c>
      <c r="Y163" s="204">
        <v>0</v>
      </c>
      <c r="Z163" s="204">
        <v>0</v>
      </c>
      <c r="AA163" s="204">
        <v>0</v>
      </c>
      <c r="AB163" s="204">
        <v>0</v>
      </c>
      <c r="AC163" s="204"/>
      <c r="AD163" s="204"/>
      <c r="AE163" s="204"/>
      <c r="AF163" s="204"/>
      <c r="AG163" s="204"/>
      <c r="AH163" s="204"/>
      <c r="AI163" s="204"/>
      <c r="AJ163" s="204"/>
      <c r="AK163" s="204"/>
      <c r="AL163" s="204"/>
      <c r="AM163" s="204"/>
      <c r="AN163" s="204"/>
      <c r="AO163" s="204"/>
      <c r="AP163" s="204"/>
      <c r="AQ163" s="204"/>
    </row>
    <row r="164" spans="1:43" x14ac:dyDescent="0.2">
      <c r="B164" s="300" t="s">
        <v>394</v>
      </c>
      <c r="C164" s="204">
        <v>0</v>
      </c>
      <c r="D164" s="204">
        <v>211907000</v>
      </c>
      <c r="E164" s="204">
        <v>210848000</v>
      </c>
      <c r="F164" s="204">
        <v>209794000</v>
      </c>
      <c r="G164" s="204">
        <v>208745000</v>
      </c>
      <c r="H164" s="204">
        <v>207701000</v>
      </c>
      <c r="I164" s="204">
        <v>206662000</v>
      </c>
      <c r="J164" s="204">
        <v>205629000</v>
      </c>
      <c r="K164" s="204">
        <v>204601000</v>
      </c>
      <c r="L164" s="204">
        <v>203578000</v>
      </c>
      <c r="M164" s="204">
        <v>202560000</v>
      </c>
      <c r="N164" s="204">
        <v>201547000</v>
      </c>
      <c r="O164" s="204">
        <v>200540000</v>
      </c>
      <c r="P164" s="204">
        <v>199537000</v>
      </c>
      <c r="Q164" s="204">
        <v>198539000</v>
      </c>
      <c r="R164" s="204">
        <v>197547000</v>
      </c>
      <c r="S164" s="204">
        <v>196559000</v>
      </c>
      <c r="T164" s="204">
        <v>195576000</v>
      </c>
      <c r="U164" s="204">
        <v>194598000</v>
      </c>
      <c r="V164" s="204">
        <v>193625000</v>
      </c>
      <c r="W164" s="204">
        <v>192657000</v>
      </c>
      <c r="X164" s="204">
        <v>191694000</v>
      </c>
      <c r="Y164" s="204">
        <v>190735000</v>
      </c>
      <c r="Z164" s="204">
        <v>189782000</v>
      </c>
      <c r="AA164" s="204">
        <v>188833000</v>
      </c>
      <c r="AB164" s="204">
        <v>187888000</v>
      </c>
      <c r="AC164" s="204"/>
      <c r="AD164" s="204"/>
      <c r="AE164" s="204"/>
      <c r="AF164" s="204"/>
      <c r="AG164" s="204"/>
      <c r="AH164" s="204"/>
      <c r="AI164" s="204"/>
      <c r="AJ164" s="204"/>
      <c r="AK164" s="204"/>
      <c r="AL164" s="204"/>
      <c r="AM164" s="204"/>
      <c r="AN164" s="204"/>
      <c r="AO164" s="204"/>
      <c r="AP164" s="204"/>
      <c r="AQ164" s="204"/>
    </row>
    <row r="165" spans="1:43" x14ac:dyDescent="0.2">
      <c r="B165" s="300" t="s">
        <v>395</v>
      </c>
      <c r="C165" s="204"/>
      <c r="D165" s="204"/>
      <c r="E165" s="204"/>
      <c r="F165" s="204"/>
      <c r="G165" s="204"/>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row>
    <row r="166" spans="1:43" x14ac:dyDescent="0.2">
      <c r="B166" s="300" t="s">
        <v>396</v>
      </c>
      <c r="C166" s="204"/>
      <c r="D166" s="204"/>
      <c r="E166" s="204"/>
      <c r="F166" s="204"/>
      <c r="G166" s="204"/>
      <c r="H166" s="204"/>
      <c r="I166" s="204"/>
      <c r="J166" s="204"/>
      <c r="K166" s="204"/>
      <c r="L166" s="204"/>
      <c r="M166" s="204"/>
      <c r="N166" s="204"/>
      <c r="O166" s="204"/>
      <c r="P166" s="204"/>
      <c r="Q166" s="204"/>
      <c r="R166" s="204"/>
      <c r="S166" s="204"/>
      <c r="T166" s="204"/>
      <c r="U166" s="204"/>
      <c r="V166" s="204"/>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row>
    <row r="167" spans="1:43" x14ac:dyDescent="0.2">
      <c r="B167" s="300" t="s">
        <v>397</v>
      </c>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59"/>
      <c r="AC167" s="259"/>
      <c r="AD167" s="259"/>
      <c r="AE167" s="259"/>
      <c r="AF167" s="259"/>
      <c r="AG167" s="259"/>
      <c r="AH167" s="259"/>
      <c r="AI167" s="259"/>
      <c r="AJ167" s="259"/>
      <c r="AK167" s="259"/>
      <c r="AL167" s="259"/>
      <c r="AM167" s="259"/>
      <c r="AN167" s="259"/>
      <c r="AO167" s="259"/>
      <c r="AP167" s="259"/>
      <c r="AQ167" s="259"/>
    </row>
    <row r="168" spans="1:43" x14ac:dyDescent="0.2">
      <c r="B168" s="328" t="s">
        <v>398</v>
      </c>
      <c r="C168" s="309"/>
      <c r="D168" s="309"/>
      <c r="E168" s="309"/>
      <c r="F168" s="309"/>
      <c r="G168" s="309"/>
      <c r="H168" s="309"/>
      <c r="I168" s="309"/>
      <c r="J168" s="309"/>
      <c r="K168" s="309"/>
      <c r="L168" s="309"/>
      <c r="M168" s="309"/>
      <c r="N168" s="309"/>
      <c r="O168" s="309"/>
      <c r="P168" s="309"/>
      <c r="Q168" s="309"/>
      <c r="R168" s="309"/>
      <c r="S168" s="309"/>
      <c r="T168" s="309"/>
      <c r="U168" s="309"/>
      <c r="V168" s="309"/>
      <c r="W168" s="309"/>
      <c r="X168" s="309"/>
      <c r="Y168" s="309"/>
      <c r="Z168" s="309"/>
      <c r="AA168" s="309"/>
      <c r="AB168" s="309"/>
      <c r="AC168" s="309"/>
      <c r="AD168" s="309"/>
      <c r="AE168" s="309"/>
      <c r="AF168" s="309"/>
      <c r="AG168" s="309"/>
      <c r="AH168" s="309"/>
      <c r="AI168" s="309"/>
      <c r="AJ168" s="309"/>
      <c r="AK168" s="309"/>
      <c r="AL168" s="309"/>
      <c r="AM168" s="309"/>
      <c r="AN168" s="309"/>
      <c r="AO168" s="309"/>
      <c r="AP168" s="309"/>
      <c r="AQ168" s="310"/>
    </row>
    <row r="169" spans="1:43" x14ac:dyDescent="0.2">
      <c r="B169" s="326" t="s">
        <v>399</v>
      </c>
      <c r="C169" s="327">
        <v>0</v>
      </c>
      <c r="D169" s="327">
        <v>4</v>
      </c>
      <c r="E169" s="327">
        <v>4.04</v>
      </c>
      <c r="F169" s="327">
        <v>4.0804</v>
      </c>
      <c r="G169" s="327">
        <v>4.1212</v>
      </c>
      <c r="H169" s="327">
        <v>4.16242</v>
      </c>
      <c r="I169" s="327">
        <v>4.20404</v>
      </c>
      <c r="J169" s="327">
        <v>4.2460800000000001</v>
      </c>
      <c r="K169" s="327">
        <v>4.2885400000000002</v>
      </c>
      <c r="L169" s="327">
        <v>4.3314300000000001</v>
      </c>
      <c r="M169" s="327">
        <v>4.3747400000000001</v>
      </c>
      <c r="N169" s="327">
        <v>4.4184900000000003</v>
      </c>
      <c r="O169" s="327">
        <v>4.4626700000000001</v>
      </c>
      <c r="P169" s="327">
        <v>4.5072999999999999</v>
      </c>
      <c r="Q169" s="327">
        <v>4.5523699999999998</v>
      </c>
      <c r="R169" s="327">
        <v>4.5979000000000001</v>
      </c>
      <c r="S169" s="327">
        <v>4.6438800000000002</v>
      </c>
      <c r="T169" s="327">
        <v>4.6903100000000002</v>
      </c>
      <c r="U169" s="327">
        <v>4.7372199999999998</v>
      </c>
      <c r="V169" s="327">
        <v>4.7845899999999997</v>
      </c>
      <c r="W169" s="327">
        <v>4.8324400000000001</v>
      </c>
      <c r="X169" s="327">
        <v>4.8807600000000004</v>
      </c>
      <c r="Y169" s="327">
        <v>4.92957</v>
      </c>
      <c r="Z169" s="327">
        <v>4.9788600000000001</v>
      </c>
      <c r="AA169" s="327">
        <v>5.0286499999999998</v>
      </c>
      <c r="AB169" s="327">
        <v>5.0789400000000002</v>
      </c>
      <c r="AC169" s="327"/>
      <c r="AD169" s="327"/>
      <c r="AE169" s="327"/>
      <c r="AF169" s="327"/>
      <c r="AG169" s="327"/>
      <c r="AH169" s="327"/>
      <c r="AI169" s="327"/>
      <c r="AJ169" s="327"/>
      <c r="AK169" s="327"/>
      <c r="AL169" s="327"/>
      <c r="AM169" s="327"/>
      <c r="AN169" s="327"/>
      <c r="AO169" s="327"/>
      <c r="AP169" s="327"/>
      <c r="AQ169" s="327"/>
    </row>
    <row r="170" spans="1:43" x14ac:dyDescent="0.2">
      <c r="B170" s="300" t="s">
        <v>400</v>
      </c>
      <c r="C170" s="204">
        <v>0</v>
      </c>
      <c r="D170" s="204">
        <v>8476300</v>
      </c>
      <c r="E170" s="204">
        <v>8518260</v>
      </c>
      <c r="F170" s="204">
        <v>8560420</v>
      </c>
      <c r="G170" s="204">
        <v>8602800</v>
      </c>
      <c r="H170" s="204">
        <v>8645380</v>
      </c>
      <c r="I170" s="204">
        <v>8688170</v>
      </c>
      <c r="J170" s="204">
        <v>8731180</v>
      </c>
      <c r="K170" s="204">
        <v>8774400</v>
      </c>
      <c r="L170" s="204">
        <v>8817830</v>
      </c>
      <c r="M170" s="204">
        <v>8861480</v>
      </c>
      <c r="N170" s="204">
        <v>8905350</v>
      </c>
      <c r="O170" s="204">
        <v>8949430</v>
      </c>
      <c r="P170" s="204">
        <v>8993730</v>
      </c>
      <c r="Q170" s="204">
        <v>9038250</v>
      </c>
      <c r="R170" s="204">
        <v>9082980</v>
      </c>
      <c r="S170" s="204">
        <v>9127950</v>
      </c>
      <c r="T170" s="204">
        <v>9173130</v>
      </c>
      <c r="U170" s="204">
        <v>9218540</v>
      </c>
      <c r="V170" s="204">
        <v>9264170</v>
      </c>
      <c r="W170" s="204">
        <v>9310030</v>
      </c>
      <c r="X170" s="204">
        <v>9356110</v>
      </c>
      <c r="Y170" s="204">
        <v>9402420</v>
      </c>
      <c r="Z170" s="204">
        <v>9448960</v>
      </c>
      <c r="AA170" s="204">
        <v>9495740</v>
      </c>
      <c r="AB170" s="204">
        <v>9542740</v>
      </c>
      <c r="AC170" s="204"/>
      <c r="AD170" s="204"/>
      <c r="AE170" s="204"/>
      <c r="AF170" s="204"/>
      <c r="AG170" s="204"/>
      <c r="AH170" s="204"/>
      <c r="AI170" s="204"/>
      <c r="AJ170" s="204"/>
      <c r="AK170" s="204"/>
      <c r="AL170" s="204"/>
      <c r="AM170" s="204"/>
      <c r="AN170" s="204"/>
      <c r="AO170" s="204"/>
      <c r="AP170" s="204"/>
      <c r="AQ170" s="204"/>
    </row>
    <row r="171" spans="1:43" x14ac:dyDescent="0.2">
      <c r="B171" s="301" t="s">
        <v>401</v>
      </c>
      <c r="C171" s="204"/>
      <c r="D171" s="204"/>
      <c r="E171" s="204"/>
      <c r="F171" s="204"/>
      <c r="G171" s="204"/>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4"/>
      <c r="AE171" s="204"/>
      <c r="AF171" s="204"/>
      <c r="AG171" s="204"/>
      <c r="AH171" s="204"/>
      <c r="AI171" s="204"/>
      <c r="AJ171" s="204"/>
      <c r="AK171" s="204"/>
      <c r="AL171" s="204"/>
      <c r="AM171" s="204"/>
      <c r="AN171" s="204"/>
      <c r="AO171" s="204"/>
      <c r="AP171" s="204"/>
      <c r="AQ171" s="204"/>
    </row>
    <row r="172" spans="1:43" x14ac:dyDescent="0.2">
      <c r="B172" s="301" t="s">
        <v>402</v>
      </c>
      <c r="C172" s="204"/>
      <c r="D172" s="204"/>
      <c r="E172" s="204"/>
      <c r="F172" s="204"/>
      <c r="G172" s="204"/>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row>
    <row r="173" spans="1:43" x14ac:dyDescent="0.2">
      <c r="B173" s="301" t="s">
        <v>451</v>
      </c>
      <c r="C173" s="204"/>
      <c r="D173" s="204"/>
      <c r="E173" s="204"/>
      <c r="F173" s="204"/>
      <c r="G173" s="204"/>
      <c r="H173" s="204"/>
      <c r="I173" s="204"/>
      <c r="J173" s="204"/>
      <c r="K173" s="204"/>
      <c r="L173" s="204"/>
      <c r="M173" s="204"/>
      <c r="N173" s="204"/>
      <c r="O173" s="204"/>
      <c r="P173" s="204"/>
      <c r="Q173" s="204"/>
      <c r="R173" s="204"/>
      <c r="S173" s="204"/>
      <c r="T173" s="204"/>
      <c r="U173" s="204"/>
      <c r="V173" s="204"/>
      <c r="W173" s="204"/>
      <c r="X173" s="204"/>
      <c r="Y173" s="204"/>
      <c r="Z173" s="204"/>
      <c r="AA173" s="204"/>
      <c r="AB173" s="204"/>
      <c r="AC173" s="204"/>
      <c r="AD173" s="204"/>
      <c r="AE173" s="204"/>
      <c r="AF173" s="204"/>
      <c r="AG173" s="204"/>
      <c r="AH173" s="204"/>
      <c r="AI173" s="204"/>
      <c r="AJ173" s="204"/>
      <c r="AK173" s="204"/>
      <c r="AL173" s="204"/>
      <c r="AM173" s="204"/>
      <c r="AN173" s="204"/>
      <c r="AO173" s="204"/>
      <c r="AP173" s="204"/>
      <c r="AQ173" s="204"/>
    </row>
    <row r="174" spans="1:43" ht="13.5" customHeight="1" x14ac:dyDescent="0.2">
      <c r="B174" s="258" t="s">
        <v>279</v>
      </c>
      <c r="C174" s="262"/>
      <c r="D174" s="262"/>
      <c r="E174" s="262"/>
      <c r="F174" s="262"/>
      <c r="G174" s="262"/>
      <c r="H174" s="262"/>
      <c r="I174" s="262"/>
      <c r="J174" s="262"/>
      <c r="K174" s="262"/>
      <c r="L174" s="262"/>
      <c r="M174" s="262"/>
      <c r="N174" s="262"/>
      <c r="O174" s="262"/>
      <c r="P174" s="262"/>
      <c r="Q174" s="262"/>
      <c r="R174" s="262"/>
      <c r="S174" s="262"/>
      <c r="T174" s="262"/>
      <c r="U174" s="262"/>
      <c r="V174" s="262"/>
      <c r="W174" s="262"/>
      <c r="X174" s="262"/>
      <c r="Y174" s="262"/>
      <c r="Z174" s="262"/>
      <c r="AA174" s="262"/>
      <c r="AB174" s="262"/>
      <c r="AC174" s="262"/>
      <c r="AD174" s="262"/>
      <c r="AE174" s="262"/>
      <c r="AF174" s="262"/>
      <c r="AG174" s="262"/>
      <c r="AH174" s="262"/>
      <c r="AI174" s="262"/>
      <c r="AJ174" s="262"/>
      <c r="AK174" s="262"/>
      <c r="AL174" s="262"/>
      <c r="AM174" s="262"/>
      <c r="AN174" s="262"/>
      <c r="AO174" s="262"/>
      <c r="AP174" s="262"/>
      <c r="AQ174" s="263"/>
    </row>
    <row r="175" spans="1:43" ht="13.5" customHeight="1" x14ac:dyDescent="0.2">
      <c r="B175" s="75" t="s">
        <v>231</v>
      </c>
      <c r="C175" s="260"/>
      <c r="D175" s="261"/>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c r="AA175" s="261"/>
      <c r="AB175" s="261"/>
      <c r="AC175" s="261"/>
      <c r="AD175" s="261"/>
      <c r="AE175" s="261"/>
      <c r="AF175" s="261"/>
      <c r="AG175" s="261"/>
      <c r="AH175" s="261"/>
      <c r="AI175" s="261"/>
      <c r="AJ175" s="261"/>
      <c r="AK175" s="261"/>
      <c r="AL175" s="261"/>
      <c r="AM175" s="261"/>
      <c r="AN175" s="261"/>
      <c r="AO175" s="261"/>
      <c r="AP175" s="261"/>
      <c r="AQ175" s="261"/>
    </row>
    <row r="176" spans="1:43" x14ac:dyDescent="0.2">
      <c r="B176" s="48" t="s">
        <v>12</v>
      </c>
      <c r="C176" s="256"/>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row>
    <row r="177" spans="2:43" ht="12" customHeight="1" x14ac:dyDescent="0.2">
      <c r="B177" s="264" t="s">
        <v>15</v>
      </c>
      <c r="C177" s="265"/>
      <c r="D177" s="266"/>
      <c r="E177" s="266"/>
      <c r="F177" s="266"/>
      <c r="G177" s="266"/>
      <c r="H177" s="266"/>
      <c r="I177" s="266"/>
      <c r="J177" s="266"/>
      <c r="K177" s="266"/>
      <c r="L177" s="266"/>
      <c r="M177" s="266"/>
      <c r="N177" s="266"/>
      <c r="O177" s="266"/>
      <c r="P177" s="266"/>
      <c r="Q177" s="266"/>
      <c r="R177" s="266"/>
      <c r="S177" s="266"/>
      <c r="T177" s="266"/>
      <c r="U177" s="266"/>
      <c r="V177" s="266"/>
      <c r="W177" s="266"/>
      <c r="X177" s="266"/>
      <c r="Y177" s="266"/>
      <c r="Z177" s="266"/>
      <c r="AA177" s="266"/>
      <c r="AB177" s="266"/>
      <c r="AC177" s="266"/>
      <c r="AD177" s="266"/>
      <c r="AE177" s="266"/>
      <c r="AF177" s="266"/>
      <c r="AG177" s="266"/>
      <c r="AH177" s="266"/>
      <c r="AI177" s="266"/>
      <c r="AJ177" s="266"/>
      <c r="AK177" s="266"/>
      <c r="AL177" s="266"/>
      <c r="AM177" s="266"/>
      <c r="AN177" s="266"/>
      <c r="AO177" s="266"/>
      <c r="AP177" s="266"/>
      <c r="AQ177" s="266"/>
    </row>
    <row r="178" spans="2:43" ht="12" customHeight="1" x14ac:dyDescent="0.2">
      <c r="B178" s="258" t="s">
        <v>285</v>
      </c>
      <c r="C178" s="262"/>
      <c r="D178" s="262"/>
      <c r="E178" s="262"/>
      <c r="F178" s="262"/>
      <c r="G178" s="262"/>
      <c r="H178" s="262"/>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c r="AJ178" s="262"/>
      <c r="AK178" s="262"/>
      <c r="AL178" s="262"/>
      <c r="AM178" s="262"/>
      <c r="AN178" s="262"/>
      <c r="AO178" s="262"/>
      <c r="AP178" s="262"/>
      <c r="AQ178" s="263"/>
    </row>
    <row r="179" spans="2:43" ht="12" customHeight="1" x14ac:dyDescent="0.2">
      <c r="B179" s="75" t="s">
        <v>109</v>
      </c>
      <c r="C179" s="266">
        <v>0</v>
      </c>
      <c r="D179" s="266">
        <v>7</v>
      </c>
      <c r="E179" s="261">
        <v>7</v>
      </c>
      <c r="F179" s="261">
        <v>7</v>
      </c>
      <c r="G179" s="261">
        <v>7</v>
      </c>
      <c r="H179" s="261">
        <v>7</v>
      </c>
      <c r="I179" s="261">
        <v>7</v>
      </c>
      <c r="J179" s="261">
        <v>7</v>
      </c>
      <c r="K179" s="261">
        <v>7</v>
      </c>
      <c r="L179" s="261">
        <v>7</v>
      </c>
      <c r="M179" s="261">
        <v>7</v>
      </c>
      <c r="N179" s="261">
        <v>7</v>
      </c>
      <c r="O179" s="261">
        <v>7</v>
      </c>
      <c r="P179" s="261">
        <v>7</v>
      </c>
      <c r="Q179" s="261">
        <v>7</v>
      </c>
      <c r="R179" s="261">
        <v>7</v>
      </c>
      <c r="S179" s="261">
        <v>7</v>
      </c>
      <c r="T179" s="261">
        <v>7</v>
      </c>
      <c r="U179" s="261">
        <v>7</v>
      </c>
      <c r="V179" s="261">
        <v>7</v>
      </c>
      <c r="W179" s="261">
        <v>7</v>
      </c>
      <c r="X179" s="261">
        <v>7</v>
      </c>
      <c r="Y179" s="261">
        <v>7</v>
      </c>
      <c r="Z179" s="261">
        <v>7</v>
      </c>
      <c r="AA179" s="261">
        <v>7</v>
      </c>
      <c r="AB179" s="261">
        <v>7</v>
      </c>
      <c r="AC179" s="261"/>
      <c r="AD179" s="261"/>
      <c r="AE179" s="261"/>
      <c r="AF179" s="261"/>
      <c r="AG179" s="261"/>
      <c r="AH179" s="261"/>
      <c r="AI179" s="261"/>
      <c r="AJ179" s="261"/>
      <c r="AK179" s="261"/>
      <c r="AL179" s="261"/>
      <c r="AM179" s="261"/>
      <c r="AN179" s="261"/>
      <c r="AO179" s="261"/>
      <c r="AP179" s="261"/>
      <c r="AQ179" s="261"/>
    </row>
    <row r="180" spans="2:43" ht="12" customHeight="1" x14ac:dyDescent="0.2">
      <c r="B180" s="264" t="s">
        <v>108</v>
      </c>
      <c r="C180" s="266">
        <v>0</v>
      </c>
      <c r="D180" s="266">
        <v>21</v>
      </c>
      <c r="E180" s="266">
        <v>21</v>
      </c>
      <c r="F180" s="266">
        <v>21</v>
      </c>
      <c r="G180" s="266">
        <v>21</v>
      </c>
      <c r="H180" s="266">
        <v>21</v>
      </c>
      <c r="I180" s="266">
        <v>21</v>
      </c>
      <c r="J180" s="266">
        <v>21</v>
      </c>
      <c r="K180" s="266">
        <v>21</v>
      </c>
      <c r="L180" s="266">
        <v>21</v>
      </c>
      <c r="M180" s="266">
        <v>21</v>
      </c>
      <c r="N180" s="266">
        <v>21</v>
      </c>
      <c r="O180" s="266">
        <v>21</v>
      </c>
      <c r="P180" s="266">
        <v>21</v>
      </c>
      <c r="Q180" s="266">
        <v>21</v>
      </c>
      <c r="R180" s="266">
        <v>21</v>
      </c>
      <c r="S180" s="266">
        <v>21</v>
      </c>
      <c r="T180" s="266">
        <v>21</v>
      </c>
      <c r="U180" s="266">
        <v>21</v>
      </c>
      <c r="V180" s="266">
        <v>21</v>
      </c>
      <c r="W180" s="266">
        <v>21</v>
      </c>
      <c r="X180" s="266">
        <v>21</v>
      </c>
      <c r="Y180" s="266">
        <v>21</v>
      </c>
      <c r="Z180" s="266">
        <v>21</v>
      </c>
      <c r="AA180" s="266">
        <v>21</v>
      </c>
      <c r="AB180" s="266">
        <v>21</v>
      </c>
      <c r="AC180" s="266"/>
      <c r="AD180" s="266"/>
      <c r="AE180" s="266"/>
      <c r="AF180" s="266"/>
      <c r="AG180" s="266"/>
      <c r="AH180" s="266"/>
      <c r="AI180" s="266"/>
      <c r="AJ180" s="266"/>
      <c r="AK180" s="266"/>
      <c r="AL180" s="266"/>
      <c r="AM180" s="266"/>
      <c r="AN180" s="266"/>
      <c r="AO180" s="266"/>
      <c r="AP180" s="266"/>
      <c r="AQ180" s="266"/>
    </row>
    <row r="181" spans="2:43" ht="12" customHeight="1" x14ac:dyDescent="0.2">
      <c r="B181" s="258" t="s">
        <v>455</v>
      </c>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1"/>
    </row>
    <row r="182" spans="2:43" ht="12" customHeight="1" x14ac:dyDescent="0.2">
      <c r="B182" s="311" t="s">
        <v>456</v>
      </c>
      <c r="C182" s="260"/>
      <c r="D182" s="261">
        <v>0</v>
      </c>
      <c r="E182" s="261">
        <v>0</v>
      </c>
      <c r="F182" s="261">
        <v>0</v>
      </c>
      <c r="G182" s="261">
        <v>0</v>
      </c>
      <c r="H182" s="261">
        <v>0</v>
      </c>
      <c r="I182" s="261">
        <v>0</v>
      </c>
      <c r="J182" s="261">
        <v>0</v>
      </c>
      <c r="K182" s="261">
        <v>0</v>
      </c>
      <c r="L182" s="261">
        <v>0</v>
      </c>
      <c r="M182" s="261">
        <v>0</v>
      </c>
      <c r="N182" s="261">
        <v>0</v>
      </c>
      <c r="O182" s="261">
        <v>0</v>
      </c>
      <c r="P182" s="261">
        <v>0</v>
      </c>
      <c r="Q182" s="261">
        <v>0</v>
      </c>
      <c r="R182" s="261">
        <v>0</v>
      </c>
      <c r="S182" s="261">
        <v>0</v>
      </c>
      <c r="T182" s="261">
        <v>0</v>
      </c>
      <c r="U182" s="261">
        <v>0</v>
      </c>
      <c r="V182" s="261">
        <v>0</v>
      </c>
      <c r="W182" s="261">
        <v>0</v>
      </c>
      <c r="X182" s="261">
        <v>0</v>
      </c>
      <c r="Y182" s="261">
        <v>0</v>
      </c>
      <c r="Z182" s="261">
        <v>0</v>
      </c>
      <c r="AA182" s="261">
        <v>0</v>
      </c>
      <c r="AB182" s="261">
        <v>0</v>
      </c>
      <c r="AC182" s="261"/>
      <c r="AD182" s="261"/>
      <c r="AE182" s="261"/>
      <c r="AF182" s="261"/>
      <c r="AG182" s="261"/>
      <c r="AH182" s="261"/>
      <c r="AI182" s="261"/>
      <c r="AJ182" s="261"/>
      <c r="AK182" s="261"/>
      <c r="AL182" s="261"/>
      <c r="AM182" s="261"/>
      <c r="AN182" s="261"/>
      <c r="AO182" s="261"/>
      <c r="AP182" s="261"/>
      <c r="AQ182" s="261"/>
    </row>
    <row r="183" spans="2:43" ht="12" customHeight="1" x14ac:dyDescent="0.2">
      <c r="B183" s="311" t="s">
        <v>457</v>
      </c>
      <c r="C183" s="260"/>
      <c r="D183" s="261">
        <v>0</v>
      </c>
      <c r="E183" s="261">
        <v>0</v>
      </c>
      <c r="F183" s="261">
        <v>0</v>
      </c>
      <c r="G183" s="261">
        <v>0</v>
      </c>
      <c r="H183" s="261">
        <v>0</v>
      </c>
      <c r="I183" s="261">
        <v>0</v>
      </c>
      <c r="J183" s="261">
        <v>0</v>
      </c>
      <c r="K183" s="261">
        <v>0</v>
      </c>
      <c r="L183" s="261">
        <v>0</v>
      </c>
      <c r="M183" s="261">
        <v>0</v>
      </c>
      <c r="N183" s="261">
        <v>0</v>
      </c>
      <c r="O183" s="261">
        <v>0</v>
      </c>
      <c r="P183" s="261">
        <v>0</v>
      </c>
      <c r="Q183" s="261">
        <v>0</v>
      </c>
      <c r="R183" s="261">
        <v>0</v>
      </c>
      <c r="S183" s="261">
        <v>0</v>
      </c>
      <c r="T183" s="261">
        <v>0</v>
      </c>
      <c r="U183" s="261">
        <v>0</v>
      </c>
      <c r="V183" s="261">
        <v>0</v>
      </c>
      <c r="W183" s="261">
        <v>0</v>
      </c>
      <c r="X183" s="261">
        <v>0</v>
      </c>
      <c r="Y183" s="261">
        <v>0</v>
      </c>
      <c r="Z183" s="261">
        <v>0</v>
      </c>
      <c r="AA183" s="261">
        <v>0</v>
      </c>
      <c r="AB183" s="261">
        <v>0</v>
      </c>
      <c r="AC183" s="261"/>
      <c r="AD183" s="261"/>
      <c r="AE183" s="261"/>
      <c r="AF183" s="261"/>
      <c r="AG183" s="261"/>
      <c r="AH183" s="261"/>
      <c r="AI183" s="261"/>
      <c r="AJ183" s="261"/>
      <c r="AK183" s="261"/>
      <c r="AL183" s="261"/>
      <c r="AM183" s="261"/>
      <c r="AN183" s="261"/>
      <c r="AO183" s="261"/>
      <c r="AP183" s="261"/>
      <c r="AQ183" s="261"/>
    </row>
    <row r="184" spans="2:43" ht="12" customHeight="1" x14ac:dyDescent="0.2">
      <c r="B184" s="311" t="s">
        <v>458</v>
      </c>
      <c r="C184" s="260"/>
      <c r="D184" s="261">
        <v>30</v>
      </c>
      <c r="E184" s="261">
        <v>0</v>
      </c>
      <c r="F184" s="261">
        <v>0</v>
      </c>
      <c r="G184" s="261">
        <v>0</v>
      </c>
      <c r="H184" s="261">
        <v>0</v>
      </c>
      <c r="I184" s="261">
        <v>0</v>
      </c>
      <c r="J184" s="261">
        <v>0</v>
      </c>
      <c r="K184" s="261">
        <v>0</v>
      </c>
      <c r="L184" s="261">
        <v>0</v>
      </c>
      <c r="M184" s="261">
        <v>0</v>
      </c>
      <c r="N184" s="261">
        <v>0</v>
      </c>
      <c r="O184" s="261">
        <v>0</v>
      </c>
      <c r="P184" s="261">
        <v>0</v>
      </c>
      <c r="Q184" s="261">
        <v>0</v>
      </c>
      <c r="R184" s="261">
        <v>0</v>
      </c>
      <c r="S184" s="261">
        <v>0</v>
      </c>
      <c r="T184" s="261">
        <v>0</v>
      </c>
      <c r="U184" s="261">
        <v>0</v>
      </c>
      <c r="V184" s="261">
        <v>0</v>
      </c>
      <c r="W184" s="261">
        <v>0</v>
      </c>
      <c r="X184" s="261">
        <v>0</v>
      </c>
      <c r="Y184" s="261">
        <v>0</v>
      </c>
      <c r="Z184" s="261">
        <v>0</v>
      </c>
      <c r="AA184" s="261">
        <v>0</v>
      </c>
      <c r="AB184" s="261">
        <v>0</v>
      </c>
      <c r="AC184" s="261"/>
      <c r="AD184" s="261"/>
      <c r="AE184" s="261"/>
      <c r="AF184" s="261"/>
      <c r="AG184" s="261"/>
      <c r="AH184" s="261"/>
      <c r="AI184" s="261"/>
      <c r="AJ184" s="261"/>
      <c r="AK184" s="261"/>
      <c r="AL184" s="261"/>
      <c r="AM184" s="261"/>
      <c r="AN184" s="261"/>
      <c r="AO184" s="261"/>
      <c r="AP184" s="261"/>
      <c r="AQ184" s="261"/>
    </row>
    <row r="185" spans="2:43" ht="12" customHeight="1" x14ac:dyDescent="0.2">
      <c r="B185" s="311" t="s">
        <v>459</v>
      </c>
      <c r="C185" s="260"/>
      <c r="D185" s="332">
        <v>9.9999999999999998E+37</v>
      </c>
      <c r="E185" s="332">
        <v>9.9999999999999998E+37</v>
      </c>
      <c r="F185" s="332">
        <v>9.9999999999999998E+37</v>
      </c>
      <c r="G185" s="332">
        <v>9.9999999999999998E+37</v>
      </c>
      <c r="H185" s="332">
        <v>9.9999999999999998E+37</v>
      </c>
      <c r="I185" s="332">
        <v>9.9999999999999998E+37</v>
      </c>
      <c r="J185" s="332">
        <v>9.9999999999999998E+37</v>
      </c>
      <c r="K185" s="332">
        <v>9.9999999999999998E+37</v>
      </c>
      <c r="L185" s="332">
        <v>9.9999999999999998E+37</v>
      </c>
      <c r="M185" s="332">
        <v>9.9999999999999998E+37</v>
      </c>
      <c r="N185" s="332">
        <v>9.9999999999999998E+37</v>
      </c>
      <c r="O185" s="332">
        <v>9.9999999999999998E+37</v>
      </c>
      <c r="P185" s="332">
        <v>9.9999999999999998E+37</v>
      </c>
      <c r="Q185" s="332">
        <v>9.9999999999999998E+37</v>
      </c>
      <c r="R185" s="332">
        <v>9.9999999999999998E+37</v>
      </c>
      <c r="S185" s="332">
        <v>9.9999999999999998E+37</v>
      </c>
      <c r="T185" s="332">
        <v>9.9999999999999998E+37</v>
      </c>
      <c r="U185" s="332">
        <v>9.9999999999999998E+37</v>
      </c>
      <c r="V185" s="332">
        <v>9.9999999999999998E+37</v>
      </c>
      <c r="W185" s="332">
        <v>9.9999999999999998E+37</v>
      </c>
      <c r="X185" s="332">
        <v>9.9999999999999998E+37</v>
      </c>
      <c r="Y185" s="332">
        <v>9.9999999999999998E+37</v>
      </c>
      <c r="Z185" s="332">
        <v>9.9999999999999998E+37</v>
      </c>
      <c r="AA185" s="332">
        <v>9.9999999999999998E+37</v>
      </c>
      <c r="AB185" s="332">
        <v>9.9999999999999998E+37</v>
      </c>
      <c r="AC185" s="332"/>
      <c r="AD185" s="332"/>
      <c r="AE185" s="332"/>
      <c r="AF185" s="332"/>
      <c r="AG185" s="332"/>
      <c r="AH185" s="332"/>
      <c r="AI185" s="332"/>
      <c r="AJ185" s="332"/>
      <c r="AK185" s="332"/>
      <c r="AL185" s="332"/>
      <c r="AM185" s="332"/>
      <c r="AN185" s="332"/>
      <c r="AO185" s="332"/>
      <c r="AP185" s="332"/>
      <c r="AQ185" s="332"/>
    </row>
    <row r="186" spans="2:43" ht="12" customHeight="1" x14ac:dyDescent="0.2">
      <c r="B186" s="311" t="s">
        <v>460</v>
      </c>
      <c r="C186" s="260"/>
      <c r="D186" s="261">
        <v>0</v>
      </c>
      <c r="E186" s="261">
        <v>0</v>
      </c>
      <c r="F186" s="261">
        <v>0</v>
      </c>
      <c r="G186" s="261">
        <v>0</v>
      </c>
      <c r="H186" s="261">
        <v>0</v>
      </c>
      <c r="I186" s="261">
        <v>0</v>
      </c>
      <c r="J186" s="261">
        <v>0</v>
      </c>
      <c r="K186" s="261">
        <v>0</v>
      </c>
      <c r="L186" s="261">
        <v>0</v>
      </c>
      <c r="M186" s="261">
        <v>0</v>
      </c>
      <c r="N186" s="261">
        <v>0</v>
      </c>
      <c r="O186" s="261">
        <v>0</v>
      </c>
      <c r="P186" s="261">
        <v>0</v>
      </c>
      <c r="Q186" s="261">
        <v>0</v>
      </c>
      <c r="R186" s="261">
        <v>0</v>
      </c>
      <c r="S186" s="261">
        <v>0</v>
      </c>
      <c r="T186" s="261">
        <v>0</v>
      </c>
      <c r="U186" s="261">
        <v>0</v>
      </c>
      <c r="V186" s="261">
        <v>0</v>
      </c>
      <c r="W186" s="261">
        <v>0</v>
      </c>
      <c r="X186" s="261">
        <v>0</v>
      </c>
      <c r="Y186" s="261">
        <v>0</v>
      </c>
      <c r="Z186" s="261">
        <v>0</v>
      </c>
      <c r="AA186" s="261">
        <v>0</v>
      </c>
      <c r="AB186" s="261">
        <v>0</v>
      </c>
      <c r="AC186" s="261"/>
      <c r="AD186" s="261"/>
      <c r="AE186" s="261"/>
      <c r="AF186" s="261"/>
      <c r="AG186" s="261"/>
      <c r="AH186" s="261"/>
      <c r="AI186" s="261"/>
      <c r="AJ186" s="261"/>
      <c r="AK186" s="261"/>
      <c r="AL186" s="261"/>
      <c r="AM186" s="261"/>
      <c r="AN186" s="261"/>
      <c r="AO186" s="261"/>
      <c r="AP186" s="261"/>
      <c r="AQ186" s="261"/>
    </row>
    <row r="187" spans="2:43" ht="12" customHeight="1" x14ac:dyDescent="0.2">
      <c r="B187" s="311" t="s">
        <v>461</v>
      </c>
      <c r="C187" s="260"/>
      <c r="D187" s="332">
        <v>9.9999999999999998E+37</v>
      </c>
      <c r="E187" s="332">
        <v>9.9999999999999998E+37</v>
      </c>
      <c r="F187" s="332">
        <v>9.9999999999999998E+37</v>
      </c>
      <c r="G187" s="332">
        <v>9.9999999999999998E+37</v>
      </c>
      <c r="H187" s="332">
        <v>9.9999999999999998E+37</v>
      </c>
      <c r="I187" s="332">
        <v>9.9999999999999998E+37</v>
      </c>
      <c r="J187" s="332">
        <v>9.9999999999999998E+37</v>
      </c>
      <c r="K187" s="332">
        <v>9.9999999999999998E+37</v>
      </c>
      <c r="L187" s="332">
        <v>9.9999999999999998E+37</v>
      </c>
      <c r="M187" s="332">
        <v>9.9999999999999998E+37</v>
      </c>
      <c r="N187" s="332">
        <v>9.9999999999999998E+37</v>
      </c>
      <c r="O187" s="332">
        <v>9.9999999999999998E+37</v>
      </c>
      <c r="P187" s="332">
        <v>9.9999999999999998E+37</v>
      </c>
      <c r="Q187" s="332">
        <v>9.9999999999999998E+37</v>
      </c>
      <c r="R187" s="332">
        <v>9.9999999999999998E+37</v>
      </c>
      <c r="S187" s="332">
        <v>9.9999999999999998E+37</v>
      </c>
      <c r="T187" s="332">
        <v>9.9999999999999998E+37</v>
      </c>
      <c r="U187" s="332">
        <v>9.9999999999999998E+37</v>
      </c>
      <c r="V187" s="332">
        <v>9.9999999999999998E+37</v>
      </c>
      <c r="W187" s="332">
        <v>9.9999999999999998E+37</v>
      </c>
      <c r="X187" s="332">
        <v>9.9999999999999998E+37</v>
      </c>
      <c r="Y187" s="332">
        <v>9.9999999999999998E+37</v>
      </c>
      <c r="Z187" s="332">
        <v>9.9999999999999998E+37</v>
      </c>
      <c r="AA187" s="332">
        <v>9.9999999999999998E+37</v>
      </c>
      <c r="AB187" s="332">
        <v>9.9999999999999998E+37</v>
      </c>
      <c r="AC187" s="332"/>
      <c r="AD187" s="332"/>
      <c r="AE187" s="332"/>
      <c r="AF187" s="332"/>
      <c r="AG187" s="332"/>
      <c r="AH187" s="332"/>
      <c r="AI187" s="332"/>
      <c r="AJ187" s="332"/>
      <c r="AK187" s="332"/>
      <c r="AL187" s="332"/>
      <c r="AM187" s="332"/>
      <c r="AN187" s="332"/>
      <c r="AO187" s="332"/>
      <c r="AP187" s="332"/>
      <c r="AQ187" s="332"/>
    </row>
    <row r="188" spans="2:43" x14ac:dyDescent="0.2">
      <c r="B188" s="258" t="s">
        <v>281</v>
      </c>
      <c r="C188" s="262"/>
      <c r="D188" s="262"/>
      <c r="E188" s="262"/>
      <c r="F188" s="262"/>
      <c r="G188" s="262"/>
      <c r="H188" s="262"/>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c r="AJ188" s="262"/>
      <c r="AK188" s="262"/>
      <c r="AL188" s="262"/>
      <c r="AM188" s="262"/>
      <c r="AN188" s="262"/>
      <c r="AO188" s="262"/>
      <c r="AP188" s="262"/>
      <c r="AQ188" s="263"/>
    </row>
    <row r="189" spans="2:43" x14ac:dyDescent="0.2">
      <c r="B189" s="75" t="s">
        <v>4</v>
      </c>
      <c r="C189" s="260"/>
      <c r="D189" s="261"/>
      <c r="E189" s="261"/>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row>
    <row r="190" spans="2:43" x14ac:dyDescent="0.2">
      <c r="B190" s="48" t="s">
        <v>5</v>
      </c>
      <c r="C190" s="256"/>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row>
    <row r="191" spans="2:43" x14ac:dyDescent="0.2">
      <c r="B191" s="48" t="s">
        <v>186</v>
      </c>
      <c r="C191" s="256"/>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row>
    <row r="192" spans="2:43" x14ac:dyDescent="0.2">
      <c r="B192" s="264" t="s">
        <v>187</v>
      </c>
      <c r="C192" s="265"/>
      <c r="D192" s="266"/>
      <c r="E192" s="266"/>
      <c r="F192" s="266"/>
      <c r="G192" s="266"/>
      <c r="H192" s="266"/>
      <c r="I192" s="266"/>
      <c r="J192" s="266"/>
      <c r="K192" s="266"/>
      <c r="L192" s="266"/>
      <c r="M192" s="266"/>
      <c r="N192" s="266"/>
      <c r="O192" s="266"/>
      <c r="P192" s="266"/>
      <c r="Q192" s="266"/>
      <c r="R192" s="266"/>
      <c r="S192" s="266"/>
      <c r="T192" s="266"/>
      <c r="U192" s="266"/>
      <c r="V192" s="266"/>
      <c r="W192" s="266"/>
      <c r="X192" s="266"/>
      <c r="Y192" s="266"/>
      <c r="Z192" s="266"/>
      <c r="AA192" s="266"/>
      <c r="AB192" s="266"/>
      <c r="AC192" s="266"/>
      <c r="AD192" s="266"/>
      <c r="AE192" s="266"/>
      <c r="AF192" s="266"/>
      <c r="AG192" s="266"/>
      <c r="AH192" s="266"/>
      <c r="AI192" s="266"/>
      <c r="AJ192" s="266"/>
      <c r="AK192" s="266"/>
      <c r="AL192" s="266"/>
      <c r="AM192" s="266"/>
      <c r="AN192" s="266"/>
      <c r="AO192" s="266"/>
      <c r="AP192" s="266"/>
      <c r="AQ192" s="266"/>
    </row>
    <row r="193" spans="2:103" x14ac:dyDescent="0.2">
      <c r="B193" s="258" t="s">
        <v>282</v>
      </c>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c r="AA193" s="262"/>
      <c r="AB193" s="262"/>
      <c r="AC193" s="262"/>
      <c r="AD193" s="262"/>
      <c r="AE193" s="262"/>
      <c r="AF193" s="262"/>
      <c r="AG193" s="262"/>
      <c r="AH193" s="262"/>
      <c r="AI193" s="262"/>
      <c r="AJ193" s="262"/>
      <c r="AK193" s="262"/>
      <c r="AL193" s="262"/>
      <c r="AM193" s="262"/>
      <c r="AN193" s="262"/>
      <c r="AO193" s="262"/>
      <c r="AP193" s="262"/>
      <c r="AQ193" s="263"/>
    </row>
    <row r="194" spans="2:103" x14ac:dyDescent="0.2">
      <c r="B194" s="75" t="s">
        <v>4</v>
      </c>
      <c r="C194" s="260"/>
      <c r="D194" s="261"/>
      <c r="E194" s="261"/>
      <c r="F194" s="261"/>
      <c r="G194" s="261"/>
      <c r="H194" s="261"/>
      <c r="I194" s="261"/>
      <c r="J194" s="261"/>
      <c r="K194" s="261"/>
      <c r="L194" s="261"/>
      <c r="M194" s="261"/>
      <c r="N194" s="261"/>
      <c r="O194" s="261"/>
      <c r="P194" s="261"/>
      <c r="Q194" s="261"/>
      <c r="R194" s="261"/>
      <c r="S194" s="261"/>
      <c r="T194" s="261"/>
      <c r="U194" s="261"/>
      <c r="V194" s="261"/>
      <c r="W194" s="261"/>
      <c r="X194" s="261"/>
      <c r="Y194" s="261"/>
      <c r="Z194" s="261"/>
      <c r="AA194" s="261"/>
      <c r="AB194" s="261"/>
      <c r="AC194" s="261"/>
      <c r="AD194" s="261"/>
      <c r="AE194" s="261"/>
      <c r="AF194" s="261"/>
      <c r="AG194" s="261"/>
      <c r="AH194" s="261"/>
      <c r="AI194" s="261"/>
      <c r="AJ194" s="261"/>
      <c r="AK194" s="261"/>
      <c r="AL194" s="261"/>
      <c r="AM194" s="261"/>
      <c r="AN194" s="261"/>
      <c r="AO194" s="261"/>
      <c r="AP194" s="261"/>
      <c r="AQ194" s="261"/>
    </row>
    <row r="195" spans="2:103" x14ac:dyDescent="0.2">
      <c r="B195" s="48" t="s">
        <v>5</v>
      </c>
      <c r="C195" s="256"/>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row>
    <row r="196" spans="2:103" x14ac:dyDescent="0.2">
      <c r="B196" s="273" t="s">
        <v>320</v>
      </c>
      <c r="C196" s="27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275"/>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row>
    <row r="197" spans="2:103" x14ac:dyDescent="0.2">
      <c r="B197" s="304" t="s">
        <v>321</v>
      </c>
      <c r="C197" s="307">
        <v>0</v>
      </c>
      <c r="D197" s="259">
        <v>0</v>
      </c>
      <c r="E197" s="259">
        <v>0</v>
      </c>
      <c r="F197" s="259">
        <v>0</v>
      </c>
      <c r="G197" s="259">
        <v>0</v>
      </c>
      <c r="H197" s="259">
        <v>0</v>
      </c>
      <c r="I197" s="259">
        <v>0</v>
      </c>
      <c r="J197" s="259">
        <v>0</v>
      </c>
      <c r="K197" s="259">
        <v>0</v>
      </c>
      <c r="L197" s="259">
        <v>0</v>
      </c>
      <c r="M197" s="259">
        <v>0</v>
      </c>
      <c r="N197" s="259">
        <v>0</v>
      </c>
      <c r="O197" s="259">
        <v>0</v>
      </c>
      <c r="P197" s="259">
        <v>0</v>
      </c>
      <c r="Q197" s="259">
        <v>0</v>
      </c>
      <c r="R197" s="259">
        <v>0</v>
      </c>
      <c r="S197" s="259">
        <v>0</v>
      </c>
      <c r="T197" s="259">
        <v>0</v>
      </c>
      <c r="U197" s="259">
        <v>0</v>
      </c>
      <c r="V197" s="259">
        <v>0</v>
      </c>
      <c r="W197" s="259">
        <v>0</v>
      </c>
      <c r="X197" s="259">
        <v>0</v>
      </c>
      <c r="Y197" s="259">
        <v>0</v>
      </c>
      <c r="Z197" s="259">
        <v>0</v>
      </c>
      <c r="AA197" s="259">
        <v>0</v>
      </c>
      <c r="AB197" s="259">
        <v>0</v>
      </c>
      <c r="AC197" s="259"/>
      <c r="AD197" s="259"/>
      <c r="AE197" s="259"/>
      <c r="AF197" s="259"/>
      <c r="AG197" s="259"/>
      <c r="AH197" s="259"/>
      <c r="AI197" s="259"/>
      <c r="AJ197" s="259"/>
      <c r="AK197" s="259"/>
      <c r="AL197" s="259"/>
      <c r="AM197" s="259"/>
      <c r="AN197" s="259"/>
      <c r="AO197" s="259"/>
      <c r="AP197" s="259"/>
      <c r="AQ197" s="259"/>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row>
    <row r="198" spans="2:103" x14ac:dyDescent="0.2">
      <c r="B198" s="302" t="s">
        <v>415</v>
      </c>
      <c r="C198" s="305"/>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c r="Z198" s="262"/>
      <c r="AA198" s="262"/>
      <c r="AB198" s="262"/>
      <c r="AC198" s="262"/>
      <c r="AD198" s="262"/>
      <c r="AE198" s="262"/>
      <c r="AF198" s="262"/>
      <c r="AG198" s="262"/>
      <c r="AH198" s="262"/>
      <c r="AI198" s="262"/>
      <c r="AJ198" s="262"/>
      <c r="AK198" s="262"/>
      <c r="AL198" s="262"/>
      <c r="AM198" s="262"/>
      <c r="AN198" s="262"/>
      <c r="AO198" s="262"/>
      <c r="AP198" s="262"/>
      <c r="AQ198" s="263"/>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row>
    <row r="199" spans="2:103" x14ac:dyDescent="0.2">
      <c r="B199" s="303" t="s">
        <v>412</v>
      </c>
      <c r="C199" s="306"/>
      <c r="D199" s="204"/>
      <c r="E199" s="204"/>
      <c r="F199" s="204"/>
      <c r="G199" s="204"/>
      <c r="H199" s="204"/>
      <c r="I199" s="204"/>
      <c r="J199" s="204"/>
      <c r="K199" s="204"/>
      <c r="L199" s="204"/>
      <c r="M199" s="204"/>
      <c r="N199" s="204"/>
      <c r="O199" s="204"/>
      <c r="P199" s="204"/>
      <c r="Q199" s="204"/>
      <c r="R199" s="204"/>
      <c r="S199" s="204"/>
      <c r="T199" s="204"/>
      <c r="U199" s="204"/>
      <c r="V199" s="204"/>
      <c r="W199" s="204"/>
      <c r="X199" s="204"/>
      <c r="Y199" s="204"/>
      <c r="Z199" s="204"/>
      <c r="AA199" s="204"/>
      <c r="AB199" s="204"/>
      <c r="AC199" s="204"/>
      <c r="AD199" s="204"/>
      <c r="AE199" s="204"/>
      <c r="AF199" s="204"/>
      <c r="AG199" s="204"/>
      <c r="AH199" s="204"/>
      <c r="AI199" s="204"/>
      <c r="AJ199" s="204"/>
      <c r="AK199" s="204"/>
      <c r="AL199" s="204"/>
      <c r="AM199" s="204"/>
      <c r="AN199" s="204"/>
      <c r="AO199" s="204"/>
      <c r="AP199" s="204"/>
      <c r="AQ199" s="204"/>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row>
    <row r="200" spans="2:103" x14ac:dyDescent="0.2">
      <c r="B200" s="276" t="s">
        <v>413</v>
      </c>
      <c r="C200" s="306"/>
      <c r="D200" s="204"/>
      <c r="E200" s="204"/>
      <c r="F200" s="204"/>
      <c r="G200" s="204"/>
      <c r="H200" s="204"/>
      <c r="I200" s="204"/>
      <c r="J200" s="204"/>
      <c r="K200" s="204"/>
      <c r="L200" s="204"/>
      <c r="M200" s="204"/>
      <c r="N200" s="204"/>
      <c r="O200" s="204"/>
      <c r="P200" s="204"/>
      <c r="Q200" s="204"/>
      <c r="R200" s="204"/>
      <c r="S200" s="204"/>
      <c r="T200" s="204"/>
      <c r="U200" s="204"/>
      <c r="V200" s="204"/>
      <c r="W200" s="204"/>
      <c r="X200" s="204"/>
      <c r="Y200" s="204"/>
      <c r="Z200" s="204"/>
      <c r="AA200" s="204"/>
      <c r="AB200" s="204"/>
      <c r="AC200" s="204"/>
      <c r="AD200" s="204"/>
      <c r="AE200" s="204"/>
      <c r="AF200" s="204"/>
      <c r="AG200" s="204"/>
      <c r="AH200" s="204"/>
      <c r="AI200" s="204"/>
      <c r="AJ200" s="204"/>
      <c r="AK200" s="204"/>
      <c r="AL200" s="204"/>
      <c r="AM200" s="204"/>
      <c r="AN200" s="204"/>
      <c r="AO200" s="204"/>
      <c r="AP200" s="204"/>
      <c r="AQ200" s="204"/>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row>
    <row r="201" spans="2:103" x14ac:dyDescent="0.2">
      <c r="B201" s="276" t="s">
        <v>414</v>
      </c>
      <c r="C201" s="306"/>
      <c r="D201" s="204"/>
      <c r="E201" s="204"/>
      <c r="F201" s="204"/>
      <c r="G201" s="204"/>
      <c r="H201" s="204"/>
      <c r="I201" s="204"/>
      <c r="J201" s="204"/>
      <c r="K201" s="204"/>
      <c r="L201" s="204"/>
      <c r="M201" s="204"/>
      <c r="N201" s="204"/>
      <c r="O201" s="204"/>
      <c r="P201" s="204"/>
      <c r="Q201" s="204"/>
      <c r="R201" s="204"/>
      <c r="S201" s="204"/>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row>
    <row r="202" spans="2:103" x14ac:dyDescent="0.2">
      <c r="B202" s="304" t="s">
        <v>314</v>
      </c>
      <c r="C202" s="307"/>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c r="AA202" s="259"/>
      <c r="AB202" s="259"/>
      <c r="AC202" s="259"/>
      <c r="AD202" s="259"/>
      <c r="AE202" s="259"/>
      <c r="AF202" s="259"/>
      <c r="AG202" s="259"/>
      <c r="AH202" s="259"/>
      <c r="AI202" s="259"/>
      <c r="AJ202" s="259"/>
      <c r="AK202" s="259"/>
      <c r="AL202" s="259"/>
      <c r="AM202" s="259"/>
      <c r="AN202" s="259"/>
      <c r="AO202" s="259"/>
      <c r="AP202" s="259"/>
      <c r="AQ202" s="259"/>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row>
    <row r="203" spans="2:103" x14ac:dyDescent="0.2">
      <c r="B203" s="302" t="s">
        <v>416</v>
      </c>
      <c r="C203" s="308"/>
      <c r="D203" s="309"/>
      <c r="E203" s="309"/>
      <c r="F203" s="309"/>
      <c r="G203" s="309"/>
      <c r="H203" s="309"/>
      <c r="I203" s="309"/>
      <c r="J203" s="309"/>
      <c r="K203" s="309"/>
      <c r="L203" s="309"/>
      <c r="M203" s="309"/>
      <c r="N203" s="309"/>
      <c r="O203" s="309"/>
      <c r="P203" s="309"/>
      <c r="Q203" s="309"/>
      <c r="R203" s="309"/>
      <c r="S203" s="309"/>
      <c r="T203" s="309"/>
      <c r="U203" s="309"/>
      <c r="V203" s="309"/>
      <c r="W203" s="309"/>
      <c r="X203" s="309"/>
      <c r="Y203" s="309"/>
      <c r="Z203" s="309"/>
      <c r="AA203" s="309"/>
      <c r="AB203" s="309"/>
      <c r="AC203" s="309"/>
      <c r="AD203" s="309"/>
      <c r="AE203" s="309"/>
      <c r="AF203" s="309"/>
      <c r="AG203" s="309"/>
      <c r="AH203" s="309"/>
      <c r="AI203" s="309"/>
      <c r="AJ203" s="309"/>
      <c r="AK203" s="309"/>
      <c r="AL203" s="309"/>
      <c r="AM203" s="309"/>
      <c r="AN203" s="309"/>
      <c r="AO203" s="309"/>
      <c r="AP203" s="309"/>
      <c r="AQ203" s="310"/>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row>
    <row r="204" spans="2:103" x14ac:dyDescent="0.2">
      <c r="B204" s="303" t="s">
        <v>417</v>
      </c>
      <c r="C204" s="306"/>
      <c r="D204" s="204"/>
      <c r="E204" s="204"/>
      <c r="F204" s="204"/>
      <c r="G204" s="204"/>
      <c r="H204" s="204"/>
      <c r="I204" s="204"/>
      <c r="J204" s="204"/>
      <c r="K204" s="204"/>
      <c r="L204" s="204"/>
      <c r="M204" s="204"/>
      <c r="N204" s="204"/>
      <c r="O204" s="204"/>
      <c r="P204" s="204"/>
      <c r="Q204" s="204"/>
      <c r="R204" s="204"/>
      <c r="S204" s="204"/>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row>
    <row r="205" spans="2:103" x14ac:dyDescent="0.2">
      <c r="B205" s="276" t="s">
        <v>418</v>
      </c>
      <c r="C205" s="306"/>
      <c r="D205" s="204"/>
      <c r="E205" s="204"/>
      <c r="F205" s="204"/>
      <c r="G205" s="204"/>
      <c r="H205" s="204"/>
      <c r="I205" s="204"/>
      <c r="J205" s="204"/>
      <c r="K205" s="204"/>
      <c r="L205" s="204"/>
      <c r="M205" s="204"/>
      <c r="N205" s="204"/>
      <c r="O205" s="204"/>
      <c r="P205" s="204"/>
      <c r="Q205" s="204"/>
      <c r="R205" s="204"/>
      <c r="S205" s="204"/>
      <c r="T205" s="204"/>
      <c r="U205" s="204"/>
      <c r="V205" s="204"/>
      <c r="W205" s="204"/>
      <c r="X205" s="204"/>
      <c r="Y205" s="204"/>
      <c r="Z205" s="204"/>
      <c r="AA205" s="204"/>
      <c r="AB205" s="204"/>
      <c r="AC205" s="204"/>
      <c r="AD205" s="204"/>
      <c r="AE205" s="204"/>
      <c r="AF205" s="204"/>
      <c r="AG205" s="204"/>
      <c r="AH205" s="204"/>
      <c r="AI205" s="204"/>
      <c r="AJ205" s="204"/>
      <c r="AK205" s="204"/>
      <c r="AL205" s="204"/>
      <c r="AM205" s="204"/>
      <c r="AN205" s="204"/>
      <c r="AO205" s="204"/>
      <c r="AP205" s="204"/>
      <c r="AQ205" s="204"/>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row>
    <row r="206" spans="2:103" x14ac:dyDescent="0.2">
      <c r="B206" s="276" t="s">
        <v>419</v>
      </c>
      <c r="C206" s="306"/>
      <c r="D206" s="204"/>
      <c r="E206" s="204"/>
      <c r="F206" s="204"/>
      <c r="G206" s="204"/>
      <c r="H206" s="204"/>
      <c r="I206" s="204"/>
      <c r="J206" s="204"/>
      <c r="K206" s="204"/>
      <c r="L206" s="204"/>
      <c r="M206" s="204"/>
      <c r="N206" s="204"/>
      <c r="O206" s="204"/>
      <c r="P206" s="204"/>
      <c r="Q206" s="204"/>
      <c r="R206" s="204"/>
      <c r="S206" s="204"/>
      <c r="T206" s="204"/>
      <c r="U206" s="204"/>
      <c r="V206" s="204"/>
      <c r="W206" s="204"/>
      <c r="X206" s="204"/>
      <c r="Y206" s="204"/>
      <c r="Z206" s="204"/>
      <c r="AA206" s="204"/>
      <c r="AB206" s="204"/>
      <c r="AC206" s="204"/>
      <c r="AD206" s="204"/>
      <c r="AE206" s="204"/>
      <c r="AF206" s="204"/>
      <c r="AG206" s="204"/>
      <c r="AH206" s="204"/>
      <c r="AI206" s="204"/>
      <c r="AJ206" s="204"/>
      <c r="AK206" s="204"/>
      <c r="AL206" s="204"/>
      <c r="AM206" s="204"/>
      <c r="AN206" s="204"/>
      <c r="AO206" s="204"/>
      <c r="AP206" s="204"/>
      <c r="AQ206" s="204"/>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row>
    <row r="207" spans="2:103" x14ac:dyDescent="0.2">
      <c r="B207" s="276" t="s">
        <v>420</v>
      </c>
      <c r="C207" s="306"/>
      <c r="D207" s="204"/>
      <c r="E207" s="204"/>
      <c r="F207" s="204"/>
      <c r="G207" s="204"/>
      <c r="H207" s="204"/>
      <c r="I207" s="204"/>
      <c r="J207" s="204"/>
      <c r="K207" s="204"/>
      <c r="L207" s="204"/>
      <c r="M207" s="204"/>
      <c r="N207" s="204"/>
      <c r="O207" s="204"/>
      <c r="P207" s="204"/>
      <c r="Q207" s="204"/>
      <c r="R207" s="204"/>
      <c r="S207" s="204"/>
      <c r="T207" s="204"/>
      <c r="U207" s="204"/>
      <c r="V207" s="204"/>
      <c r="W207" s="204"/>
      <c r="X207" s="204"/>
      <c r="Y207" s="204"/>
      <c r="Z207" s="204"/>
      <c r="AA207" s="204"/>
      <c r="AB207" s="204"/>
      <c r="AC207" s="204"/>
      <c r="AD207" s="204"/>
      <c r="AE207" s="204"/>
      <c r="AF207" s="204"/>
      <c r="AG207" s="204"/>
      <c r="AH207" s="204"/>
      <c r="AI207" s="204"/>
      <c r="AJ207" s="204"/>
      <c r="AK207" s="204"/>
      <c r="AL207" s="204"/>
      <c r="AM207" s="204"/>
      <c r="AN207" s="204"/>
      <c r="AO207" s="204"/>
      <c r="AP207" s="204"/>
      <c r="AQ207" s="204"/>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row>
    <row r="208" spans="2:103" x14ac:dyDescent="0.2">
      <c r="B208" s="304" t="s">
        <v>421</v>
      </c>
      <c r="C208" s="306"/>
      <c r="D208" s="204"/>
      <c r="E208" s="204"/>
      <c r="F208" s="204"/>
      <c r="G208" s="204"/>
      <c r="H208" s="204"/>
      <c r="I208" s="204"/>
      <c r="J208" s="204"/>
      <c r="K208" s="204"/>
      <c r="L208" s="204"/>
      <c r="M208" s="204"/>
      <c r="N208" s="204"/>
      <c r="O208" s="204"/>
      <c r="P208" s="204"/>
      <c r="Q208" s="204"/>
      <c r="R208" s="204"/>
      <c r="S208" s="204"/>
      <c r="T208" s="204"/>
      <c r="U208" s="204"/>
      <c r="V208" s="204"/>
      <c r="W208" s="204"/>
      <c r="X208" s="204"/>
      <c r="Y208" s="204"/>
      <c r="Z208" s="204"/>
      <c r="AA208" s="204"/>
      <c r="AB208" s="204"/>
      <c r="AC208" s="204"/>
      <c r="AD208" s="204"/>
      <c r="AE208" s="204"/>
      <c r="AF208" s="204"/>
      <c r="AG208" s="204"/>
      <c r="AH208" s="204"/>
      <c r="AI208" s="204"/>
      <c r="AJ208" s="204"/>
      <c r="AK208" s="204"/>
      <c r="AL208" s="204"/>
      <c r="AM208" s="204"/>
      <c r="AN208" s="204"/>
      <c r="AO208" s="204"/>
      <c r="AP208" s="204"/>
      <c r="AQ208" s="204"/>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row>
    <row r="209" spans="2:103" x14ac:dyDescent="0.2">
      <c r="B209" s="302" t="s">
        <v>422</v>
      </c>
      <c r="C209" s="312"/>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3"/>
      <c r="AA209" s="313"/>
      <c r="AB209" s="313"/>
      <c r="AC209" s="313"/>
      <c r="AD209" s="313"/>
      <c r="AE209" s="313"/>
      <c r="AF209" s="313"/>
      <c r="AG209" s="313"/>
      <c r="AH209" s="313"/>
      <c r="AI209" s="313"/>
      <c r="AJ209" s="313"/>
      <c r="AK209" s="313"/>
      <c r="AL209" s="313"/>
      <c r="AM209" s="313"/>
      <c r="AN209" s="313"/>
      <c r="AO209" s="313"/>
      <c r="AP209" s="313"/>
      <c r="AQ209" s="313"/>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row>
    <row r="210" spans="2:103" x14ac:dyDescent="0.2">
      <c r="B210" s="50" t="s">
        <v>423</v>
      </c>
      <c r="C210" s="306"/>
      <c r="D210" s="204"/>
      <c r="E210" s="204"/>
      <c r="F210" s="204"/>
      <c r="G210" s="204"/>
      <c r="H210" s="204"/>
      <c r="I210" s="204"/>
      <c r="J210" s="204"/>
      <c r="K210" s="204"/>
      <c r="L210" s="204"/>
      <c r="M210" s="204"/>
      <c r="N210" s="204"/>
      <c r="O210" s="204"/>
      <c r="P210" s="204"/>
      <c r="Q210" s="204"/>
      <c r="R210" s="204"/>
      <c r="S210" s="204"/>
      <c r="T210" s="204"/>
      <c r="U210" s="204"/>
      <c r="V210" s="204"/>
      <c r="W210" s="204"/>
      <c r="X210" s="204"/>
      <c r="Y210" s="204"/>
      <c r="Z210" s="204"/>
      <c r="AA210" s="204"/>
      <c r="AB210" s="204"/>
      <c r="AC210" s="204"/>
      <c r="AD210" s="204"/>
      <c r="AE210" s="204"/>
      <c r="AF210" s="204"/>
      <c r="AG210" s="204"/>
      <c r="AH210" s="204"/>
      <c r="AI210" s="204"/>
      <c r="AJ210" s="204"/>
      <c r="AK210" s="204"/>
      <c r="AL210" s="204"/>
      <c r="AM210" s="204"/>
      <c r="AN210" s="204"/>
      <c r="AO210" s="204"/>
      <c r="AP210" s="204"/>
      <c r="AQ210" s="204"/>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row>
    <row r="211" spans="2:103" x14ac:dyDescent="0.2">
      <c r="B211" s="40" t="s">
        <v>424</v>
      </c>
      <c r="C211" s="306"/>
      <c r="D211" s="204"/>
      <c r="E211" s="204"/>
      <c r="F211" s="204"/>
      <c r="G211" s="204"/>
      <c r="H211" s="204"/>
      <c r="I211" s="204"/>
      <c r="J211" s="204"/>
      <c r="K211" s="204"/>
      <c r="L211" s="204"/>
      <c r="M211" s="204"/>
      <c r="N211" s="204"/>
      <c r="O211" s="204"/>
      <c r="P211" s="204"/>
      <c r="Q211" s="204"/>
      <c r="R211" s="204"/>
      <c r="S211" s="204"/>
      <c r="T211" s="204"/>
      <c r="U211" s="204"/>
      <c r="V211" s="204"/>
      <c r="W211" s="204"/>
      <c r="X211" s="204"/>
      <c r="Y211" s="204"/>
      <c r="Z211" s="204"/>
      <c r="AA211" s="204"/>
      <c r="AB211" s="204"/>
      <c r="AC211" s="204"/>
      <c r="AD211" s="204"/>
      <c r="AE211" s="204"/>
      <c r="AF211" s="204"/>
      <c r="AG211" s="204"/>
      <c r="AH211" s="204"/>
      <c r="AI211" s="204"/>
      <c r="AJ211" s="204"/>
      <c r="AK211" s="204"/>
      <c r="AL211" s="204"/>
      <c r="AM211" s="204"/>
      <c r="AN211" s="204"/>
      <c r="AO211" s="204"/>
      <c r="AP211" s="204"/>
      <c r="AQ211" s="204"/>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row>
    <row r="212" spans="2:103" x14ac:dyDescent="0.2">
      <c r="B212" s="311" t="s">
        <v>425</v>
      </c>
      <c r="C212" s="307"/>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c r="AA212" s="259"/>
      <c r="AB212" s="259"/>
      <c r="AC212" s="259"/>
      <c r="AD212" s="259"/>
      <c r="AE212" s="259"/>
      <c r="AF212" s="259"/>
      <c r="AG212" s="259"/>
      <c r="AH212" s="259"/>
      <c r="AI212" s="259"/>
      <c r="AJ212" s="259"/>
      <c r="AK212" s="259"/>
      <c r="AL212" s="259"/>
      <c r="AM212" s="259"/>
      <c r="AN212" s="259"/>
      <c r="AO212" s="259"/>
      <c r="AP212" s="259"/>
      <c r="AQ212" s="259"/>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row>
    <row r="213" spans="2:103" x14ac:dyDescent="0.2">
      <c r="B213" s="302" t="s">
        <v>436</v>
      </c>
      <c r="C213" s="308"/>
      <c r="D213" s="309"/>
      <c r="E213" s="309"/>
      <c r="F213" s="309"/>
      <c r="G213" s="309"/>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10"/>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row>
    <row r="214" spans="2:103" x14ac:dyDescent="0.2">
      <c r="B214" s="285" t="s">
        <v>437</v>
      </c>
      <c r="C214" s="306"/>
      <c r="D214" s="204"/>
      <c r="E214" s="204"/>
      <c r="F214" s="204"/>
      <c r="G214" s="204"/>
      <c r="H214" s="204"/>
      <c r="I214" s="204"/>
      <c r="J214" s="204"/>
      <c r="K214" s="204"/>
      <c r="L214" s="204"/>
      <c r="M214" s="204"/>
      <c r="N214" s="204"/>
      <c r="O214" s="204"/>
      <c r="P214" s="204"/>
      <c r="Q214" s="204"/>
      <c r="R214" s="204"/>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row>
    <row r="215" spans="2:103" x14ac:dyDescent="0.2">
      <c r="B215" s="273" t="s">
        <v>296</v>
      </c>
      <c r="AQ215" s="235"/>
    </row>
    <row r="216" spans="2:103" x14ac:dyDescent="0.2">
      <c r="B216" s="274" t="s">
        <v>315</v>
      </c>
      <c r="C216" s="257">
        <v>0</v>
      </c>
      <c r="D216" s="257">
        <v>0</v>
      </c>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row>
    <row r="217" spans="2:103" x14ac:dyDescent="0.2">
      <c r="B217" s="274" t="s">
        <v>316</v>
      </c>
      <c r="C217" s="261">
        <v>0</v>
      </c>
      <c r="D217" s="261">
        <v>0</v>
      </c>
      <c r="E217" s="261"/>
      <c r="F217" s="261"/>
      <c r="G217" s="261"/>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row>
    <row r="218" spans="2:103" x14ac:dyDescent="0.2">
      <c r="B218" s="274" t="s">
        <v>317</v>
      </c>
      <c r="C218" s="261">
        <v>0</v>
      </c>
      <c r="D218" s="261">
        <v>0</v>
      </c>
      <c r="E218" s="261"/>
      <c r="F218" s="261"/>
      <c r="G218" s="261"/>
      <c r="H218" s="261"/>
      <c r="I218" s="261"/>
      <c r="J218" s="261"/>
      <c r="K218" s="261"/>
      <c r="L218" s="261"/>
      <c r="M218" s="261"/>
      <c r="N218" s="261"/>
      <c r="O218" s="261"/>
      <c r="P218" s="261"/>
      <c r="Q218" s="261"/>
      <c r="R218" s="261"/>
      <c r="S218" s="261"/>
      <c r="T218" s="261"/>
      <c r="U218" s="261"/>
      <c r="V218" s="261"/>
      <c r="W218" s="261"/>
      <c r="X218" s="261"/>
      <c r="Y218" s="261"/>
      <c r="Z218" s="261"/>
      <c r="AA218" s="261"/>
      <c r="AB218" s="261"/>
      <c r="AC218" s="261"/>
      <c r="AD218" s="261"/>
      <c r="AE218" s="261"/>
      <c r="AF218" s="261"/>
      <c r="AG218" s="261"/>
      <c r="AH218" s="261"/>
      <c r="AI218" s="261"/>
      <c r="AJ218" s="261"/>
      <c r="AK218" s="261"/>
      <c r="AL218" s="261"/>
      <c r="AM218" s="261"/>
      <c r="AN218" s="261"/>
      <c r="AO218" s="261"/>
      <c r="AP218" s="261"/>
      <c r="AQ218" s="261"/>
    </row>
    <row r="219" spans="2:103" x14ac:dyDescent="0.2">
      <c r="B219" s="273" t="s">
        <v>323</v>
      </c>
      <c r="AQ219" s="31"/>
    </row>
    <row r="220" spans="2:103" x14ac:dyDescent="0.2">
      <c r="B220" s="314" t="s">
        <v>324</v>
      </c>
      <c r="C220" s="9"/>
      <c r="D220" s="266">
        <v>0</v>
      </c>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c r="AC220" s="266"/>
      <c r="AD220" s="266"/>
      <c r="AE220" s="266"/>
      <c r="AF220" s="266"/>
      <c r="AG220" s="266"/>
      <c r="AH220" s="266"/>
      <c r="AI220" s="266"/>
      <c r="AJ220" s="266"/>
      <c r="AK220" s="266"/>
      <c r="AL220" s="266"/>
      <c r="AM220" s="266"/>
      <c r="AN220" s="266"/>
      <c r="AO220" s="266"/>
      <c r="AP220" s="266"/>
      <c r="AQ220" s="266"/>
    </row>
    <row r="221" spans="2:103" x14ac:dyDescent="0.2">
      <c r="B221" s="317" t="s">
        <v>426</v>
      </c>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3"/>
    </row>
    <row r="222" spans="2:103" x14ac:dyDescent="0.2">
      <c r="B222" s="315" t="s">
        <v>427</v>
      </c>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c r="AO222" s="316"/>
      <c r="AP222" s="316"/>
      <c r="AQ222" s="316"/>
    </row>
    <row r="223" spans="2:103" x14ac:dyDescent="0.2">
      <c r="B223" s="314" t="s">
        <v>428</v>
      </c>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c r="AA223" s="259"/>
      <c r="AB223" s="259"/>
      <c r="AC223" s="259"/>
      <c r="AD223" s="259"/>
      <c r="AE223" s="259"/>
      <c r="AF223" s="259"/>
      <c r="AG223" s="259"/>
      <c r="AH223" s="259"/>
      <c r="AI223" s="259"/>
      <c r="AJ223" s="259"/>
      <c r="AK223" s="259"/>
      <c r="AL223" s="259"/>
      <c r="AM223" s="259"/>
      <c r="AN223" s="259"/>
      <c r="AO223" s="259"/>
      <c r="AP223" s="259"/>
      <c r="AQ223" s="259"/>
    </row>
    <row r="224" spans="2:103" x14ac:dyDescent="0.2">
      <c r="B224" s="317" t="s">
        <v>429</v>
      </c>
      <c r="C224" s="262"/>
      <c r="D224" s="262"/>
      <c r="E224" s="262"/>
      <c r="F224" s="262"/>
      <c r="G224" s="262"/>
      <c r="H224" s="262"/>
      <c r="I224" s="262"/>
      <c r="J224" s="262"/>
      <c r="K224" s="262"/>
      <c r="L224" s="262"/>
      <c r="M224" s="262"/>
      <c r="N224" s="262"/>
      <c r="O224" s="262"/>
      <c r="P224" s="262"/>
      <c r="Q224" s="262"/>
      <c r="R224" s="262"/>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3"/>
    </row>
    <row r="225" spans="2:43" x14ac:dyDescent="0.2">
      <c r="B225" s="315" t="s">
        <v>430</v>
      </c>
      <c r="C225" s="124"/>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row>
  </sheetData>
  <mergeCells count="1">
    <mergeCell ref="E114:F114"/>
  </mergeCells>
  <dataValidations disablePrompts="1" xWindow="485" yWindow="427" count="9">
    <dataValidation type="list" allowBlank="1" showInputMessage="1" showErrorMessage="1" sqref="H146:H147 E116:F117 E119:F120 E138:H141 F143:G147 E133:H136 E128:H131 D150:G156" xr:uid="{00000000-0002-0000-0000-000000000000}">
      <formula1>"Yes,No"</formula1>
    </dataValidation>
    <dataValidation type="list" allowBlank="1" showInputMessage="1" showErrorMessage="1" sqref="N8 N10:N27" xr:uid="{00000000-0002-0000-0000-000001000000}">
      <formula1>"Initial Year Input, Annual Inputs"</formula1>
    </dataValidation>
    <dataValidation type="list" allowBlank="1" showInputMessage="1" errorTitle="State Depreciation Treatment" error="The single owner workbook does not handle custom depreciation schedules." sqref="C111" xr:uid="{00000000-0002-0000-0000-000002000000}">
      <formula1>$B$150:$B$156</formula1>
    </dataValidation>
    <dataValidation allowBlank="1" showInputMessage="1" showErrorMessage="1" sqref="W9 AH9 G49:J49" xr:uid="{00000000-0002-0000-0000-000003000000}"/>
    <dataValidation allowBlank="1" sqref="C54" xr:uid="{00000000-0002-0000-0000-000004000000}"/>
    <dataValidation errorTitle="Salvage Value" error="This is a calculated value shown for reference -- it should match the value in SAM. It is not used in the single owner workbook calculations." sqref="C63" xr:uid="{00000000-0002-0000-0000-000005000000}"/>
    <dataValidation type="custom" showErrorMessage="1" errorTitle="Target Year Error" error="Please enter a target year less than or equal to the analysis period." sqref="C33" xr:uid="{00000000-0002-0000-0000-000006000000}">
      <formula1>C33&lt;=C47</formula1>
    </dataValidation>
    <dataValidation type="list" allowBlank="1" showInputMessage="1" errorTitle="Federal Depreciation Treatment" sqref="C110" xr:uid="{00000000-0002-0000-0000-000007000000}">
      <formula1>$B$150:$B$156</formula1>
    </dataValidation>
    <dataValidation type="list" allowBlank="1" showInputMessage="1" showErrorMessage="1" promptTitle="Choose one" sqref="C44" xr:uid="{2125F302-2667-4CA5-BAD0-217C50A8E2F0}">
      <formula1>"Time,Full capital recovery,N/A"</formula1>
    </dataValidation>
  </dataValidations>
  <pageMargins left="0.5" right="0.5" top="0.5" bottom="0.75" header="0.3" footer="0.3"/>
  <pageSetup scale="73" pageOrder="overThenDown" orientation="landscape" horizontalDpi="4294967294" r:id="rId1"/>
  <rowBreaks count="1" manualBreakCount="1">
    <brk id="124"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BA774"/>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19" t="s">
        <v>347</v>
      </c>
    </row>
    <row r="2" spans="1:42" x14ac:dyDescent="0.2">
      <c r="A2" s="84" t="s">
        <v>1</v>
      </c>
      <c r="B2" s="16">
        <v>0</v>
      </c>
      <c r="C2" s="16">
        <f t="shared" ref="C2:AP2" si="0">IF(B2="","",IF(B2+1&lt;=analysis_period,B2+1,""))</f>
        <v>1</v>
      </c>
      <c r="D2" s="16">
        <f t="shared" si="0"/>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4" t="s">
        <v>391</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403</v>
      </c>
      <c r="B5" s="119">
        <f t="array" ref="B5:AP6">Inputs!C162:AQ163</f>
        <v>0</v>
      </c>
      <c r="C5" s="119">
        <v>211907000</v>
      </c>
      <c r="D5" s="119">
        <v>210848000</v>
      </c>
      <c r="E5" s="119">
        <v>209794000</v>
      </c>
      <c r="F5" s="119">
        <v>208745000</v>
      </c>
      <c r="G5" s="119">
        <v>207701000</v>
      </c>
      <c r="H5" s="119">
        <v>206662000</v>
      </c>
      <c r="I5" s="119">
        <v>205629000</v>
      </c>
      <c r="J5" s="119">
        <v>204601000</v>
      </c>
      <c r="K5" s="119">
        <v>203578000</v>
      </c>
      <c r="L5" s="119">
        <v>202560000</v>
      </c>
      <c r="M5" s="119">
        <v>201547000</v>
      </c>
      <c r="N5" s="119">
        <v>200540000</v>
      </c>
      <c r="O5" s="119">
        <v>199537000</v>
      </c>
      <c r="P5" s="119">
        <v>198539000</v>
      </c>
      <c r="Q5" s="119">
        <v>197547000</v>
      </c>
      <c r="R5" s="119">
        <v>196559000</v>
      </c>
      <c r="S5" s="119">
        <v>195576000</v>
      </c>
      <c r="T5" s="119">
        <v>194598000</v>
      </c>
      <c r="U5" s="119">
        <v>193625000</v>
      </c>
      <c r="V5" s="119">
        <v>192657000</v>
      </c>
      <c r="W5" s="119">
        <v>191694000</v>
      </c>
      <c r="X5" s="119">
        <v>190735000</v>
      </c>
      <c r="Y5" s="119">
        <v>189782000</v>
      </c>
      <c r="Z5" s="119">
        <v>188833000</v>
      </c>
      <c r="AA5" s="119">
        <v>187888000</v>
      </c>
      <c r="AB5" s="119">
        <v>0</v>
      </c>
      <c r="AC5" s="119">
        <v>0</v>
      </c>
      <c r="AD5" s="119">
        <v>0</v>
      </c>
      <c r="AE5" s="119">
        <v>0</v>
      </c>
      <c r="AF5" s="119">
        <v>0</v>
      </c>
      <c r="AG5" s="119">
        <v>0</v>
      </c>
      <c r="AH5" s="119">
        <v>0</v>
      </c>
      <c r="AI5" s="119">
        <v>0</v>
      </c>
      <c r="AJ5" s="119">
        <v>0</v>
      </c>
      <c r="AK5" s="119">
        <v>0</v>
      </c>
      <c r="AL5" s="119">
        <v>0</v>
      </c>
      <c r="AM5" s="119">
        <v>0</v>
      </c>
      <c r="AN5" s="119">
        <v>0</v>
      </c>
      <c r="AO5" s="119">
        <v>0</v>
      </c>
      <c r="AP5" s="119">
        <v>0</v>
      </c>
    </row>
    <row r="6" spans="1:42" x14ac:dyDescent="0.2">
      <c r="A6" s="4" t="s">
        <v>404</v>
      </c>
      <c r="B6" s="119">
        <v>0</v>
      </c>
      <c r="C6" s="119">
        <v>0</v>
      </c>
      <c r="D6" s="119">
        <v>0</v>
      </c>
      <c r="E6" s="119">
        <v>0</v>
      </c>
      <c r="F6" s="119">
        <v>0</v>
      </c>
      <c r="G6" s="119">
        <v>0</v>
      </c>
      <c r="H6" s="119">
        <v>0</v>
      </c>
      <c r="I6" s="119">
        <v>0</v>
      </c>
      <c r="J6" s="119">
        <v>0</v>
      </c>
      <c r="K6" s="119">
        <v>0</v>
      </c>
      <c r="L6" s="119">
        <v>0</v>
      </c>
      <c r="M6" s="119">
        <v>0</v>
      </c>
      <c r="N6" s="119">
        <v>0</v>
      </c>
      <c r="O6" s="119">
        <v>0</v>
      </c>
      <c r="P6" s="119">
        <v>0</v>
      </c>
      <c r="Q6" s="119">
        <v>0</v>
      </c>
      <c r="R6" s="119">
        <v>0</v>
      </c>
      <c r="S6" s="119">
        <v>0</v>
      </c>
      <c r="T6" s="119">
        <v>0</v>
      </c>
      <c r="U6" s="119">
        <v>0</v>
      </c>
      <c r="V6" s="119">
        <v>0</v>
      </c>
      <c r="W6" s="119">
        <v>0</v>
      </c>
      <c r="X6" s="119">
        <v>0</v>
      </c>
      <c r="Y6" s="119">
        <v>0</v>
      </c>
      <c r="Z6" s="119">
        <v>0</v>
      </c>
      <c r="AA6" s="119">
        <v>0</v>
      </c>
      <c r="AB6" s="119">
        <v>0</v>
      </c>
      <c r="AC6" s="119">
        <v>0</v>
      </c>
      <c r="AD6" s="119">
        <v>0</v>
      </c>
      <c r="AE6" s="119">
        <v>0</v>
      </c>
      <c r="AF6" s="119">
        <v>0</v>
      </c>
      <c r="AG6" s="119">
        <v>0</v>
      </c>
      <c r="AH6" s="119">
        <v>0</v>
      </c>
      <c r="AI6" s="119">
        <v>0</v>
      </c>
      <c r="AJ6" s="119">
        <v>0</v>
      </c>
      <c r="AK6" s="119">
        <v>0</v>
      </c>
      <c r="AL6" s="119">
        <v>0</v>
      </c>
      <c r="AM6" s="119">
        <v>0</v>
      </c>
      <c r="AN6" s="119">
        <v>0</v>
      </c>
      <c r="AO6" s="119">
        <v>0</v>
      </c>
      <c r="AP6" s="119">
        <v>0</v>
      </c>
    </row>
    <row r="7" spans="1:42" x14ac:dyDescent="0.2">
      <c r="A7" s="18" t="s">
        <v>405</v>
      </c>
      <c r="B7" s="119">
        <f>SUM(B5:B6)</f>
        <v>0</v>
      </c>
      <c r="C7" s="125">
        <f t="shared" ref="C7:AP7" si="1">SUM(C5:C6)</f>
        <v>211907000</v>
      </c>
      <c r="D7" s="125">
        <f t="shared" si="1"/>
        <v>210848000</v>
      </c>
      <c r="E7" s="125">
        <f t="shared" si="1"/>
        <v>209794000</v>
      </c>
      <c r="F7" s="125">
        <f t="shared" si="1"/>
        <v>208745000</v>
      </c>
      <c r="G7" s="125">
        <f t="shared" si="1"/>
        <v>207701000</v>
      </c>
      <c r="H7" s="125">
        <f t="shared" si="1"/>
        <v>206662000</v>
      </c>
      <c r="I7" s="125">
        <f t="shared" si="1"/>
        <v>205629000</v>
      </c>
      <c r="J7" s="125">
        <f t="shared" si="1"/>
        <v>204601000</v>
      </c>
      <c r="K7" s="125">
        <f t="shared" si="1"/>
        <v>203578000</v>
      </c>
      <c r="L7" s="125">
        <f t="shared" si="1"/>
        <v>202560000</v>
      </c>
      <c r="M7" s="125">
        <f t="shared" si="1"/>
        <v>201547000</v>
      </c>
      <c r="N7" s="125">
        <f t="shared" si="1"/>
        <v>200540000</v>
      </c>
      <c r="O7" s="125">
        <f t="shared" si="1"/>
        <v>199537000</v>
      </c>
      <c r="P7" s="125">
        <f t="shared" si="1"/>
        <v>198539000</v>
      </c>
      <c r="Q7" s="125">
        <f t="shared" si="1"/>
        <v>197547000</v>
      </c>
      <c r="R7" s="125">
        <f t="shared" si="1"/>
        <v>196559000</v>
      </c>
      <c r="S7" s="125">
        <f t="shared" si="1"/>
        <v>195576000</v>
      </c>
      <c r="T7" s="125">
        <f t="shared" si="1"/>
        <v>194598000</v>
      </c>
      <c r="U7" s="125">
        <f t="shared" si="1"/>
        <v>193625000</v>
      </c>
      <c r="V7" s="125">
        <f t="shared" si="1"/>
        <v>192657000</v>
      </c>
      <c r="W7" s="125">
        <f t="shared" si="1"/>
        <v>191694000</v>
      </c>
      <c r="X7" s="125">
        <f t="shared" si="1"/>
        <v>190735000</v>
      </c>
      <c r="Y7" s="125">
        <f t="shared" si="1"/>
        <v>189782000</v>
      </c>
      <c r="Z7" s="125">
        <f t="shared" si="1"/>
        <v>188833000</v>
      </c>
      <c r="AA7" s="125">
        <f t="shared" si="1"/>
        <v>187888000</v>
      </c>
      <c r="AB7" s="125">
        <f t="shared" si="1"/>
        <v>0</v>
      </c>
      <c r="AC7" s="125">
        <f t="shared" si="1"/>
        <v>0</v>
      </c>
      <c r="AD7" s="125">
        <f t="shared" si="1"/>
        <v>0</v>
      </c>
      <c r="AE7" s="125">
        <f t="shared" si="1"/>
        <v>0</v>
      </c>
      <c r="AF7" s="125">
        <f t="shared" si="1"/>
        <v>0</v>
      </c>
      <c r="AG7" s="125">
        <f t="shared" si="1"/>
        <v>0</v>
      </c>
      <c r="AH7" s="125">
        <f t="shared" si="1"/>
        <v>0</v>
      </c>
      <c r="AI7" s="125">
        <f t="shared" si="1"/>
        <v>0</v>
      </c>
      <c r="AJ7" s="125">
        <f t="shared" si="1"/>
        <v>0</v>
      </c>
      <c r="AK7" s="125">
        <f t="shared" si="1"/>
        <v>0</v>
      </c>
      <c r="AL7" s="125">
        <f t="shared" si="1"/>
        <v>0</v>
      </c>
      <c r="AM7" s="125">
        <f t="shared" si="1"/>
        <v>0</v>
      </c>
      <c r="AN7" s="125">
        <f t="shared" si="1"/>
        <v>0</v>
      </c>
      <c r="AO7" s="125">
        <f t="shared" si="1"/>
        <v>0</v>
      </c>
      <c r="AP7" s="125">
        <f t="shared" si="1"/>
        <v>0</v>
      </c>
    </row>
    <row r="8" spans="1:42" x14ac:dyDescent="0.2">
      <c r="A8" s="18" t="s">
        <v>406</v>
      </c>
      <c r="B8" s="119">
        <f t="array" ref="B8:AP10">Inputs!C165:AQ167</f>
        <v>0</v>
      </c>
      <c r="C8" s="119">
        <v>0</v>
      </c>
      <c r="D8" s="119">
        <v>0</v>
      </c>
      <c r="E8" s="119">
        <v>0</v>
      </c>
      <c r="F8" s="119">
        <v>0</v>
      </c>
      <c r="G8" s="119">
        <v>0</v>
      </c>
      <c r="H8" s="119">
        <v>0</v>
      </c>
      <c r="I8" s="119">
        <v>0</v>
      </c>
      <c r="J8" s="119">
        <v>0</v>
      </c>
      <c r="K8" s="119">
        <v>0</v>
      </c>
      <c r="L8" s="119">
        <v>0</v>
      </c>
      <c r="M8" s="119">
        <v>0</v>
      </c>
      <c r="N8" s="119">
        <v>0</v>
      </c>
      <c r="O8" s="119">
        <v>0</v>
      </c>
      <c r="P8" s="119">
        <v>0</v>
      </c>
      <c r="Q8" s="119">
        <v>0</v>
      </c>
      <c r="R8" s="119">
        <v>0</v>
      </c>
      <c r="S8" s="119">
        <v>0</v>
      </c>
      <c r="T8" s="119">
        <v>0</v>
      </c>
      <c r="U8" s="119">
        <v>0</v>
      </c>
      <c r="V8" s="119">
        <v>0</v>
      </c>
      <c r="W8" s="119">
        <v>0</v>
      </c>
      <c r="X8" s="119">
        <v>0</v>
      </c>
      <c r="Y8" s="119">
        <v>0</v>
      </c>
      <c r="Z8" s="119">
        <v>0</v>
      </c>
      <c r="AA8" s="119">
        <v>0</v>
      </c>
      <c r="AB8" s="119">
        <v>0</v>
      </c>
      <c r="AC8" s="119">
        <v>0</v>
      </c>
      <c r="AD8" s="119">
        <v>0</v>
      </c>
      <c r="AE8" s="119">
        <v>0</v>
      </c>
      <c r="AF8" s="119">
        <v>0</v>
      </c>
      <c r="AG8" s="119">
        <v>0</v>
      </c>
      <c r="AH8" s="119">
        <v>0</v>
      </c>
      <c r="AI8" s="119">
        <v>0</v>
      </c>
      <c r="AJ8" s="119">
        <v>0</v>
      </c>
      <c r="AK8" s="119">
        <v>0</v>
      </c>
      <c r="AL8" s="119">
        <v>0</v>
      </c>
      <c r="AM8" s="119">
        <v>0</v>
      </c>
      <c r="AN8" s="119">
        <v>0</v>
      </c>
      <c r="AO8" s="119">
        <v>0</v>
      </c>
      <c r="AP8" s="119">
        <v>0</v>
      </c>
    </row>
    <row r="9" spans="1:42" x14ac:dyDescent="0.2">
      <c r="A9" s="18" t="s">
        <v>407</v>
      </c>
      <c r="B9" s="119">
        <v>0</v>
      </c>
      <c r="C9" s="119">
        <v>0</v>
      </c>
      <c r="D9" s="119">
        <v>0</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0</v>
      </c>
      <c r="AA9" s="119">
        <v>0</v>
      </c>
      <c r="AB9" s="119">
        <v>0</v>
      </c>
      <c r="AC9" s="119">
        <v>0</v>
      </c>
      <c r="AD9" s="119">
        <v>0</v>
      </c>
      <c r="AE9" s="119">
        <v>0</v>
      </c>
      <c r="AF9" s="119">
        <v>0</v>
      </c>
      <c r="AG9" s="119">
        <v>0</v>
      </c>
      <c r="AH9" s="119">
        <v>0</v>
      </c>
      <c r="AI9" s="119">
        <v>0</v>
      </c>
      <c r="AJ9" s="119">
        <v>0</v>
      </c>
      <c r="AK9" s="119">
        <v>0</v>
      </c>
      <c r="AL9" s="119">
        <v>0</v>
      </c>
      <c r="AM9" s="119">
        <v>0</v>
      </c>
      <c r="AN9" s="119">
        <v>0</v>
      </c>
      <c r="AO9" s="119">
        <v>0</v>
      </c>
      <c r="AP9" s="119">
        <v>0</v>
      </c>
    </row>
    <row r="10" spans="1:42" x14ac:dyDescent="0.2">
      <c r="A10" s="18" t="s">
        <v>408</v>
      </c>
      <c r="B10" s="119">
        <v>0</v>
      </c>
      <c r="C10" s="119">
        <v>0</v>
      </c>
      <c r="D10" s="119">
        <v>0</v>
      </c>
      <c r="E10" s="119">
        <v>0</v>
      </c>
      <c r="F10" s="119">
        <v>0</v>
      </c>
      <c r="G10" s="119">
        <v>0</v>
      </c>
      <c r="H10" s="119">
        <v>0</v>
      </c>
      <c r="I10" s="119">
        <v>0</v>
      </c>
      <c r="J10" s="119">
        <v>0</v>
      </c>
      <c r="K10" s="119">
        <v>0</v>
      </c>
      <c r="L10" s="119">
        <v>0</v>
      </c>
      <c r="M10" s="119">
        <v>0</v>
      </c>
      <c r="N10" s="119">
        <v>0</v>
      </c>
      <c r="O10" s="119">
        <v>0</v>
      </c>
      <c r="P10" s="119">
        <v>0</v>
      </c>
      <c r="Q10" s="119">
        <v>0</v>
      </c>
      <c r="R10" s="119">
        <v>0</v>
      </c>
      <c r="S10" s="119">
        <v>0</v>
      </c>
      <c r="T10" s="119">
        <v>0</v>
      </c>
      <c r="U10" s="119">
        <v>0</v>
      </c>
      <c r="V10" s="119">
        <v>0</v>
      </c>
      <c r="W10" s="119">
        <v>0</v>
      </c>
      <c r="X10" s="119">
        <v>0</v>
      </c>
      <c r="Y10" s="119">
        <v>0</v>
      </c>
      <c r="Z10" s="119">
        <v>0</v>
      </c>
      <c r="AA10" s="119">
        <v>0</v>
      </c>
      <c r="AB10" s="119">
        <v>0</v>
      </c>
      <c r="AC10" s="119">
        <v>0</v>
      </c>
      <c r="AD10" s="119">
        <v>0</v>
      </c>
      <c r="AE10" s="119">
        <v>0</v>
      </c>
      <c r="AF10" s="119">
        <v>0</v>
      </c>
      <c r="AG10" s="119">
        <v>0</v>
      </c>
      <c r="AH10" s="119">
        <v>0</v>
      </c>
      <c r="AI10" s="119">
        <v>0</v>
      </c>
      <c r="AJ10" s="119">
        <v>0</v>
      </c>
      <c r="AK10" s="119">
        <v>0</v>
      </c>
      <c r="AL10" s="119">
        <v>0</v>
      </c>
      <c r="AM10" s="119">
        <v>0</v>
      </c>
      <c r="AN10" s="119">
        <v>0</v>
      </c>
      <c r="AO10" s="119">
        <v>0</v>
      </c>
      <c r="AP10" s="119">
        <v>0</v>
      </c>
    </row>
    <row r="11" spans="1:42" x14ac:dyDescent="0.2">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row>
    <row r="12" spans="1:42" x14ac:dyDescent="0.2">
      <c r="A12" s="84" t="s">
        <v>87</v>
      </c>
      <c r="B12" s="7"/>
      <c r="C12" s="215"/>
      <c r="D12" s="215"/>
      <c r="E12" s="215"/>
      <c r="F12" s="215"/>
      <c r="G12" s="215"/>
      <c r="H12" s="215"/>
      <c r="I12" s="215"/>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c r="AK12" s="216"/>
      <c r="AL12" s="216"/>
      <c r="AM12" s="216"/>
      <c r="AN12" s="216"/>
      <c r="AO12" s="216"/>
      <c r="AP12" s="216"/>
    </row>
    <row r="13" spans="1:42" x14ac:dyDescent="0.2">
      <c r="A13" s="20" t="s">
        <v>20</v>
      </c>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4" t="s">
        <v>21</v>
      </c>
      <c r="C14" s="15"/>
      <c r="D14" s="21"/>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row>
    <row r="15" spans="1:42" x14ac:dyDescent="0.2">
      <c r="A15" s="88" t="s">
        <v>409</v>
      </c>
      <c r="C15" s="119">
        <f>C$5</f>
        <v>211907000</v>
      </c>
      <c r="D15" s="119">
        <f t="shared" ref="D15:AP15" si="2">D$5</f>
        <v>210848000</v>
      </c>
      <c r="E15" s="119">
        <f t="shared" si="2"/>
        <v>209794000</v>
      </c>
      <c r="F15" s="119">
        <f t="shared" si="2"/>
        <v>208745000</v>
      </c>
      <c r="G15" s="119">
        <f t="shared" si="2"/>
        <v>207701000</v>
      </c>
      <c r="H15" s="119">
        <f t="shared" si="2"/>
        <v>206662000</v>
      </c>
      <c r="I15" s="119">
        <f t="shared" si="2"/>
        <v>205629000</v>
      </c>
      <c r="J15" s="119">
        <f t="shared" si="2"/>
        <v>204601000</v>
      </c>
      <c r="K15" s="119">
        <f t="shared" si="2"/>
        <v>203578000</v>
      </c>
      <c r="L15" s="119">
        <f t="shared" si="2"/>
        <v>202560000</v>
      </c>
      <c r="M15" s="119">
        <f t="shared" si="2"/>
        <v>201547000</v>
      </c>
      <c r="N15" s="119">
        <f t="shared" si="2"/>
        <v>200540000</v>
      </c>
      <c r="O15" s="119">
        <f t="shared" si="2"/>
        <v>199537000</v>
      </c>
      <c r="P15" s="119">
        <f t="shared" si="2"/>
        <v>198539000</v>
      </c>
      <c r="Q15" s="119">
        <f t="shared" si="2"/>
        <v>197547000</v>
      </c>
      <c r="R15" s="119">
        <f t="shared" si="2"/>
        <v>196559000</v>
      </c>
      <c r="S15" s="119">
        <f t="shared" si="2"/>
        <v>195576000</v>
      </c>
      <c r="T15" s="119">
        <f t="shared" si="2"/>
        <v>194598000</v>
      </c>
      <c r="U15" s="119">
        <f t="shared" si="2"/>
        <v>193625000</v>
      </c>
      <c r="V15" s="119">
        <f t="shared" si="2"/>
        <v>192657000</v>
      </c>
      <c r="W15" s="119">
        <f t="shared" si="2"/>
        <v>191694000</v>
      </c>
      <c r="X15" s="119">
        <f t="shared" si="2"/>
        <v>190735000</v>
      </c>
      <c r="Y15" s="119">
        <f t="shared" si="2"/>
        <v>189782000</v>
      </c>
      <c r="Z15" s="119">
        <f t="shared" si="2"/>
        <v>188833000</v>
      </c>
      <c r="AA15" s="119">
        <f t="shared" si="2"/>
        <v>187888000</v>
      </c>
      <c r="AB15" s="119">
        <f t="shared" si="2"/>
        <v>0</v>
      </c>
      <c r="AC15" s="119">
        <f t="shared" si="2"/>
        <v>0</v>
      </c>
      <c r="AD15" s="119">
        <f t="shared" si="2"/>
        <v>0</v>
      </c>
      <c r="AE15" s="119">
        <f t="shared" si="2"/>
        <v>0</v>
      </c>
      <c r="AF15" s="119">
        <f t="shared" si="2"/>
        <v>0</v>
      </c>
      <c r="AG15" s="119">
        <f t="shared" si="2"/>
        <v>0</v>
      </c>
      <c r="AH15" s="119">
        <f t="shared" si="2"/>
        <v>0</v>
      </c>
      <c r="AI15" s="119">
        <f t="shared" si="2"/>
        <v>0</v>
      </c>
      <c r="AJ15" s="119">
        <f t="shared" si="2"/>
        <v>0</v>
      </c>
      <c r="AK15" s="119">
        <f t="shared" si="2"/>
        <v>0</v>
      </c>
      <c r="AL15" s="119">
        <f t="shared" si="2"/>
        <v>0</v>
      </c>
      <c r="AM15" s="119">
        <f t="shared" si="2"/>
        <v>0</v>
      </c>
      <c r="AN15" s="119">
        <f t="shared" si="2"/>
        <v>0</v>
      </c>
      <c r="AO15" s="119">
        <f t="shared" si="2"/>
        <v>0</v>
      </c>
      <c r="AP15" s="119">
        <f t="shared" si="2"/>
        <v>0</v>
      </c>
    </row>
    <row r="16" spans="1:42" x14ac:dyDescent="0.2">
      <c r="A16" s="88" t="s">
        <v>10</v>
      </c>
      <c r="B16" s="4">
        <f t="array" ref="B16:AP16">Inputs!C169:AQ169</f>
        <v>0</v>
      </c>
      <c r="C16" s="99">
        <v>4</v>
      </c>
      <c r="D16" s="99">
        <v>4.04</v>
      </c>
      <c r="E16" s="99">
        <v>4.0804</v>
      </c>
      <c r="F16" s="99">
        <v>4.1212</v>
      </c>
      <c r="G16" s="99">
        <v>4.16242</v>
      </c>
      <c r="H16" s="99">
        <v>4.20404</v>
      </c>
      <c r="I16" s="99">
        <v>4.2460800000000001</v>
      </c>
      <c r="J16" s="99">
        <v>4.2885400000000002</v>
      </c>
      <c r="K16" s="99">
        <v>4.3314300000000001</v>
      </c>
      <c r="L16" s="99">
        <v>4.3747400000000001</v>
      </c>
      <c r="M16" s="99">
        <v>4.4184900000000003</v>
      </c>
      <c r="N16" s="99">
        <v>4.4626700000000001</v>
      </c>
      <c r="O16" s="99">
        <v>4.5072999999999999</v>
      </c>
      <c r="P16" s="99">
        <v>4.5523699999999998</v>
      </c>
      <c r="Q16" s="99">
        <v>4.5979000000000001</v>
      </c>
      <c r="R16" s="99">
        <v>4.6438800000000002</v>
      </c>
      <c r="S16" s="99">
        <v>4.6903100000000002</v>
      </c>
      <c r="T16" s="99">
        <v>4.7372199999999998</v>
      </c>
      <c r="U16" s="99">
        <v>4.7845899999999997</v>
      </c>
      <c r="V16" s="99">
        <v>4.8324400000000001</v>
      </c>
      <c r="W16" s="99">
        <v>4.8807600000000004</v>
      </c>
      <c r="X16" s="99">
        <v>4.92957</v>
      </c>
      <c r="Y16" s="99">
        <v>4.9788600000000001</v>
      </c>
      <c r="Z16" s="99">
        <v>5.0286499999999998</v>
      </c>
      <c r="AA16" s="99">
        <v>5.0789400000000002</v>
      </c>
      <c r="AB16" s="99">
        <v>0</v>
      </c>
      <c r="AC16" s="99">
        <v>0</v>
      </c>
      <c r="AD16" s="99">
        <v>0</v>
      </c>
      <c r="AE16" s="99">
        <v>0</v>
      </c>
      <c r="AF16" s="99">
        <v>0</v>
      </c>
      <c r="AG16" s="99">
        <v>0</v>
      </c>
      <c r="AH16" s="99">
        <v>0</v>
      </c>
      <c r="AI16" s="99">
        <v>0</v>
      </c>
      <c r="AJ16" s="99">
        <v>0</v>
      </c>
      <c r="AK16" s="99">
        <v>0</v>
      </c>
      <c r="AL16" s="99">
        <v>0</v>
      </c>
      <c r="AM16" s="99">
        <v>0</v>
      </c>
      <c r="AN16" s="99">
        <v>0</v>
      </c>
      <c r="AO16" s="99">
        <v>0</v>
      </c>
      <c r="AP16" s="99">
        <v>0</v>
      </c>
    </row>
    <row r="17" spans="1:42" x14ac:dyDescent="0.2">
      <c r="A17" s="88" t="s">
        <v>450</v>
      </c>
      <c r="B17" s="119">
        <f t="array" ref="B17:AP17">Inputs!C170:AQ170</f>
        <v>0</v>
      </c>
      <c r="C17" s="125">
        <v>8476300</v>
      </c>
      <c r="D17" s="125">
        <v>8518260</v>
      </c>
      <c r="E17" s="125">
        <v>8560420</v>
      </c>
      <c r="F17" s="125">
        <v>8602800</v>
      </c>
      <c r="G17" s="125">
        <v>8645380</v>
      </c>
      <c r="H17" s="125">
        <v>8688170</v>
      </c>
      <c r="I17" s="125">
        <v>8731180</v>
      </c>
      <c r="J17" s="125">
        <v>8774400</v>
      </c>
      <c r="K17" s="125">
        <v>8817830</v>
      </c>
      <c r="L17" s="125">
        <v>8861480</v>
      </c>
      <c r="M17" s="125">
        <v>8905350</v>
      </c>
      <c r="N17" s="125">
        <v>8949430</v>
      </c>
      <c r="O17" s="125">
        <v>8993730</v>
      </c>
      <c r="P17" s="125">
        <v>9038250</v>
      </c>
      <c r="Q17" s="125">
        <v>9082980</v>
      </c>
      <c r="R17" s="125">
        <v>9127950</v>
      </c>
      <c r="S17" s="125">
        <v>9173130</v>
      </c>
      <c r="T17" s="125">
        <v>9218540</v>
      </c>
      <c r="U17" s="125">
        <v>9264170</v>
      </c>
      <c r="V17" s="125">
        <v>9310030</v>
      </c>
      <c r="W17" s="125">
        <v>9356110</v>
      </c>
      <c r="X17" s="125">
        <v>9402420</v>
      </c>
      <c r="Y17" s="125">
        <v>9448960</v>
      </c>
      <c r="Z17" s="125">
        <v>9495740</v>
      </c>
      <c r="AA17" s="125">
        <v>9542740</v>
      </c>
      <c r="AB17" s="125">
        <v>0</v>
      </c>
      <c r="AC17" s="125">
        <v>0</v>
      </c>
      <c r="AD17" s="125">
        <v>0</v>
      </c>
      <c r="AE17" s="125">
        <v>0</v>
      </c>
      <c r="AF17" s="125">
        <v>0</v>
      </c>
      <c r="AG17" s="125">
        <v>0</v>
      </c>
      <c r="AH17" s="125">
        <v>0</v>
      </c>
      <c r="AI17" s="125">
        <v>0</v>
      </c>
      <c r="AJ17" s="125">
        <v>0</v>
      </c>
      <c r="AK17" s="125">
        <v>0</v>
      </c>
      <c r="AL17" s="125">
        <v>0</v>
      </c>
      <c r="AM17" s="125">
        <v>0</v>
      </c>
      <c r="AN17" s="125">
        <v>0</v>
      </c>
      <c r="AO17" s="125">
        <v>0</v>
      </c>
      <c r="AP17" s="125">
        <v>0</v>
      </c>
    </row>
    <row r="18" spans="1:42" x14ac:dyDescent="0.2">
      <c r="A18" s="18" t="s">
        <v>410</v>
      </c>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row>
    <row r="19" spans="1:42" x14ac:dyDescent="0.2">
      <c r="A19" s="88" t="s">
        <v>402</v>
      </c>
      <c r="B19" s="119">
        <f t="array" ref="B19:AP21">Inputs!C171:AQ173</f>
        <v>0</v>
      </c>
      <c r="C19" s="119">
        <v>0</v>
      </c>
      <c r="D19" s="119">
        <v>0</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0</v>
      </c>
      <c r="AA19" s="119">
        <v>0</v>
      </c>
      <c r="AB19" s="119">
        <v>0</v>
      </c>
      <c r="AC19" s="119">
        <v>0</v>
      </c>
      <c r="AD19" s="119">
        <v>0</v>
      </c>
      <c r="AE19" s="119">
        <v>0</v>
      </c>
      <c r="AF19" s="119">
        <v>0</v>
      </c>
      <c r="AG19" s="119">
        <v>0</v>
      </c>
      <c r="AH19" s="119">
        <v>0</v>
      </c>
      <c r="AI19" s="119">
        <v>0</v>
      </c>
      <c r="AJ19" s="119">
        <v>0</v>
      </c>
      <c r="AK19" s="119">
        <v>0</v>
      </c>
      <c r="AL19" s="119">
        <v>0</v>
      </c>
      <c r="AM19" s="119">
        <v>0</v>
      </c>
      <c r="AN19" s="119">
        <v>0</v>
      </c>
      <c r="AO19" s="119">
        <v>0</v>
      </c>
      <c r="AP19" s="119">
        <v>0</v>
      </c>
    </row>
    <row r="20" spans="1:42" x14ac:dyDescent="0.2">
      <c r="A20" s="88" t="s">
        <v>401</v>
      </c>
      <c r="B20" s="119">
        <v>0</v>
      </c>
      <c r="C20" s="119">
        <v>0</v>
      </c>
      <c r="D20" s="119">
        <v>0</v>
      </c>
      <c r="E20" s="119">
        <v>0</v>
      </c>
      <c r="F20" s="119">
        <v>0</v>
      </c>
      <c r="G20" s="119">
        <v>0</v>
      </c>
      <c r="H20" s="119">
        <v>0</v>
      </c>
      <c r="I20" s="119">
        <v>0</v>
      </c>
      <c r="J20" s="119">
        <v>0</v>
      </c>
      <c r="K20" s="119">
        <v>0</v>
      </c>
      <c r="L20" s="119">
        <v>0</v>
      </c>
      <c r="M20" s="119">
        <v>0</v>
      </c>
      <c r="N20" s="119">
        <v>0</v>
      </c>
      <c r="O20" s="119">
        <v>0</v>
      </c>
      <c r="P20" s="119">
        <v>0</v>
      </c>
      <c r="Q20" s="119">
        <v>0</v>
      </c>
      <c r="R20" s="119">
        <v>0</v>
      </c>
      <c r="S20" s="119">
        <v>0</v>
      </c>
      <c r="T20" s="119">
        <v>0</v>
      </c>
      <c r="U20" s="119">
        <v>0</v>
      </c>
      <c r="V20" s="119">
        <v>0</v>
      </c>
      <c r="W20" s="119">
        <v>0</v>
      </c>
      <c r="X20" s="119">
        <v>0</v>
      </c>
      <c r="Y20" s="119">
        <v>0</v>
      </c>
      <c r="Z20" s="119">
        <v>0</v>
      </c>
      <c r="AA20" s="119">
        <v>0</v>
      </c>
      <c r="AB20" s="119">
        <v>0</v>
      </c>
      <c r="AC20" s="119">
        <v>0</v>
      </c>
      <c r="AD20" s="119">
        <v>0</v>
      </c>
      <c r="AE20" s="119">
        <v>0</v>
      </c>
      <c r="AF20" s="119">
        <v>0</v>
      </c>
      <c r="AG20" s="119">
        <v>0</v>
      </c>
      <c r="AH20" s="119">
        <v>0</v>
      </c>
      <c r="AI20" s="119">
        <v>0</v>
      </c>
      <c r="AJ20" s="119">
        <v>0</v>
      </c>
      <c r="AK20" s="119">
        <v>0</v>
      </c>
      <c r="AL20" s="119">
        <v>0</v>
      </c>
      <c r="AM20" s="119">
        <v>0</v>
      </c>
      <c r="AN20" s="119">
        <v>0</v>
      </c>
      <c r="AO20" s="119">
        <v>0</v>
      </c>
      <c r="AP20" s="119">
        <v>0</v>
      </c>
    </row>
    <row r="21" spans="1:42" x14ac:dyDescent="0.2">
      <c r="A21" s="331" t="s">
        <v>451</v>
      </c>
      <c r="B21" s="119">
        <v>0</v>
      </c>
      <c r="C21" s="119">
        <v>0</v>
      </c>
      <c r="D21" s="119">
        <v>0</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0</v>
      </c>
      <c r="AF21" s="119">
        <v>0</v>
      </c>
      <c r="AG21" s="119">
        <v>0</v>
      </c>
      <c r="AH21" s="119">
        <v>0</v>
      </c>
      <c r="AI21" s="119">
        <v>0</v>
      </c>
      <c r="AJ21" s="119">
        <v>0</v>
      </c>
      <c r="AK21" s="119">
        <v>0</v>
      </c>
      <c r="AL21" s="119">
        <v>0</v>
      </c>
      <c r="AM21" s="119">
        <v>0</v>
      </c>
      <c r="AN21" s="119">
        <v>0</v>
      </c>
      <c r="AO21" s="119">
        <v>0</v>
      </c>
      <c r="AP21" s="119">
        <v>0</v>
      </c>
    </row>
    <row r="22" spans="1:42" x14ac:dyDescent="0.2">
      <c r="A22" s="4" t="s">
        <v>22</v>
      </c>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row>
    <row r="23" spans="1:42" x14ac:dyDescent="0.2">
      <c r="A23" s="22" t="s">
        <v>4</v>
      </c>
      <c r="C23" s="119">
        <f t="shared" ref="C23:AP23" si="3">IF(pbi_fed_for_ds="Yes",C614,0)</f>
        <v>0</v>
      </c>
      <c r="D23" s="119">
        <f t="shared" si="3"/>
        <v>0</v>
      </c>
      <c r="E23" s="119">
        <f t="shared" si="3"/>
        <v>0</v>
      </c>
      <c r="F23" s="119">
        <f t="shared" si="3"/>
        <v>0</v>
      </c>
      <c r="G23" s="119">
        <f t="shared" si="3"/>
        <v>0</v>
      </c>
      <c r="H23" s="119">
        <f t="shared" si="3"/>
        <v>0</v>
      </c>
      <c r="I23" s="119">
        <f t="shared" si="3"/>
        <v>0</v>
      </c>
      <c r="J23" s="119">
        <f t="shared" si="3"/>
        <v>0</v>
      </c>
      <c r="K23" s="119">
        <f t="shared" si="3"/>
        <v>0</v>
      </c>
      <c r="L23" s="119">
        <f t="shared" si="3"/>
        <v>0</v>
      </c>
      <c r="M23" s="119">
        <f t="shared" si="3"/>
        <v>0</v>
      </c>
      <c r="N23" s="119">
        <f t="shared" si="3"/>
        <v>0</v>
      </c>
      <c r="O23" s="119">
        <f t="shared" si="3"/>
        <v>0</v>
      </c>
      <c r="P23" s="119">
        <f t="shared" si="3"/>
        <v>0</v>
      </c>
      <c r="Q23" s="119">
        <f t="shared" si="3"/>
        <v>0</v>
      </c>
      <c r="R23" s="119">
        <f t="shared" si="3"/>
        <v>0</v>
      </c>
      <c r="S23" s="119">
        <f t="shared" si="3"/>
        <v>0</v>
      </c>
      <c r="T23" s="119">
        <f t="shared" si="3"/>
        <v>0</v>
      </c>
      <c r="U23" s="119">
        <f t="shared" si="3"/>
        <v>0</v>
      </c>
      <c r="V23" s="119">
        <f t="shared" si="3"/>
        <v>0</v>
      </c>
      <c r="W23" s="119">
        <f t="shared" si="3"/>
        <v>0</v>
      </c>
      <c r="X23" s="119">
        <f t="shared" si="3"/>
        <v>0</v>
      </c>
      <c r="Y23" s="119">
        <f t="shared" si="3"/>
        <v>0</v>
      </c>
      <c r="Z23" s="119">
        <f t="shared" si="3"/>
        <v>0</v>
      </c>
      <c r="AA23" s="119">
        <f t="shared" si="3"/>
        <v>0</v>
      </c>
      <c r="AB23" s="119">
        <f t="shared" si="3"/>
        <v>0</v>
      </c>
      <c r="AC23" s="119">
        <f t="shared" si="3"/>
        <v>0</v>
      </c>
      <c r="AD23" s="119">
        <f t="shared" si="3"/>
        <v>0</v>
      </c>
      <c r="AE23" s="119">
        <f t="shared" si="3"/>
        <v>0</v>
      </c>
      <c r="AF23" s="119">
        <f t="shared" si="3"/>
        <v>0</v>
      </c>
      <c r="AG23" s="119">
        <f t="shared" si="3"/>
        <v>0</v>
      </c>
      <c r="AH23" s="119">
        <f t="shared" si="3"/>
        <v>0</v>
      </c>
      <c r="AI23" s="119">
        <f t="shared" si="3"/>
        <v>0</v>
      </c>
      <c r="AJ23" s="119">
        <f t="shared" si="3"/>
        <v>0</v>
      </c>
      <c r="AK23" s="119">
        <f t="shared" si="3"/>
        <v>0</v>
      </c>
      <c r="AL23" s="119">
        <f t="shared" si="3"/>
        <v>0</v>
      </c>
      <c r="AM23" s="119">
        <f t="shared" si="3"/>
        <v>0</v>
      </c>
      <c r="AN23" s="119">
        <f t="shared" si="3"/>
        <v>0</v>
      </c>
      <c r="AO23" s="119">
        <f t="shared" si="3"/>
        <v>0</v>
      </c>
      <c r="AP23" s="119">
        <f t="shared" si="3"/>
        <v>0</v>
      </c>
    </row>
    <row r="24" spans="1:42" x14ac:dyDescent="0.2">
      <c r="A24" s="22" t="s">
        <v>5</v>
      </c>
      <c r="C24" s="119">
        <f t="shared" ref="C24:AP24" si="4">IF(pbi_sta_for_ds="Yes",C618,0)</f>
        <v>0</v>
      </c>
      <c r="D24" s="119">
        <f t="shared" si="4"/>
        <v>0</v>
      </c>
      <c r="E24" s="119">
        <f t="shared" si="4"/>
        <v>0</v>
      </c>
      <c r="F24" s="119">
        <f t="shared" si="4"/>
        <v>0</v>
      </c>
      <c r="G24" s="119">
        <f t="shared" si="4"/>
        <v>0</v>
      </c>
      <c r="H24" s="119">
        <f t="shared" si="4"/>
        <v>0</v>
      </c>
      <c r="I24" s="119">
        <f t="shared" si="4"/>
        <v>0</v>
      </c>
      <c r="J24" s="119">
        <f t="shared" si="4"/>
        <v>0</v>
      </c>
      <c r="K24" s="119">
        <f t="shared" si="4"/>
        <v>0</v>
      </c>
      <c r="L24" s="119">
        <f t="shared" si="4"/>
        <v>0</v>
      </c>
      <c r="M24" s="119">
        <f t="shared" si="4"/>
        <v>0</v>
      </c>
      <c r="N24" s="119">
        <f t="shared" si="4"/>
        <v>0</v>
      </c>
      <c r="O24" s="119">
        <f t="shared" si="4"/>
        <v>0</v>
      </c>
      <c r="P24" s="119">
        <f t="shared" si="4"/>
        <v>0</v>
      </c>
      <c r="Q24" s="119">
        <f t="shared" si="4"/>
        <v>0</v>
      </c>
      <c r="R24" s="119">
        <f t="shared" si="4"/>
        <v>0</v>
      </c>
      <c r="S24" s="119">
        <f t="shared" si="4"/>
        <v>0</v>
      </c>
      <c r="T24" s="119">
        <f t="shared" si="4"/>
        <v>0</v>
      </c>
      <c r="U24" s="119">
        <f t="shared" si="4"/>
        <v>0</v>
      </c>
      <c r="V24" s="119">
        <f t="shared" si="4"/>
        <v>0</v>
      </c>
      <c r="W24" s="119">
        <f t="shared" si="4"/>
        <v>0</v>
      </c>
      <c r="X24" s="119">
        <f t="shared" si="4"/>
        <v>0</v>
      </c>
      <c r="Y24" s="119">
        <f t="shared" si="4"/>
        <v>0</v>
      </c>
      <c r="Z24" s="119">
        <f t="shared" si="4"/>
        <v>0</v>
      </c>
      <c r="AA24" s="119">
        <f t="shared" si="4"/>
        <v>0</v>
      </c>
      <c r="AB24" s="119">
        <f t="shared" si="4"/>
        <v>0</v>
      </c>
      <c r="AC24" s="119">
        <f t="shared" si="4"/>
        <v>0</v>
      </c>
      <c r="AD24" s="119">
        <f t="shared" si="4"/>
        <v>0</v>
      </c>
      <c r="AE24" s="119">
        <f t="shared" si="4"/>
        <v>0</v>
      </c>
      <c r="AF24" s="119">
        <f t="shared" si="4"/>
        <v>0</v>
      </c>
      <c r="AG24" s="119">
        <f t="shared" si="4"/>
        <v>0</v>
      </c>
      <c r="AH24" s="119">
        <f t="shared" si="4"/>
        <v>0</v>
      </c>
      <c r="AI24" s="119">
        <f t="shared" si="4"/>
        <v>0</v>
      </c>
      <c r="AJ24" s="119">
        <f t="shared" si="4"/>
        <v>0</v>
      </c>
      <c r="AK24" s="119">
        <f t="shared" si="4"/>
        <v>0</v>
      </c>
      <c r="AL24" s="119">
        <f t="shared" si="4"/>
        <v>0</v>
      </c>
      <c r="AM24" s="119">
        <f t="shared" si="4"/>
        <v>0</v>
      </c>
      <c r="AN24" s="119">
        <f t="shared" si="4"/>
        <v>0</v>
      </c>
      <c r="AO24" s="119">
        <f t="shared" si="4"/>
        <v>0</v>
      </c>
      <c r="AP24" s="119">
        <f t="shared" si="4"/>
        <v>0</v>
      </c>
    </row>
    <row r="25" spans="1:42" x14ac:dyDescent="0.2">
      <c r="A25" s="22" t="s">
        <v>186</v>
      </c>
      <c r="C25" s="119">
        <f t="shared" ref="C25:AP25" si="5">IF(pbi_uti_for_ds="Yes",C622,0)</f>
        <v>0</v>
      </c>
      <c r="D25" s="119">
        <f t="shared" si="5"/>
        <v>0</v>
      </c>
      <c r="E25" s="119">
        <f t="shared" si="5"/>
        <v>0</v>
      </c>
      <c r="F25" s="119">
        <f t="shared" si="5"/>
        <v>0</v>
      </c>
      <c r="G25" s="119">
        <f t="shared" si="5"/>
        <v>0</v>
      </c>
      <c r="H25" s="119">
        <f t="shared" si="5"/>
        <v>0</v>
      </c>
      <c r="I25" s="119">
        <f t="shared" si="5"/>
        <v>0</v>
      </c>
      <c r="J25" s="119">
        <f t="shared" si="5"/>
        <v>0</v>
      </c>
      <c r="K25" s="119">
        <f t="shared" si="5"/>
        <v>0</v>
      </c>
      <c r="L25" s="119">
        <f t="shared" si="5"/>
        <v>0</v>
      </c>
      <c r="M25" s="119">
        <f t="shared" si="5"/>
        <v>0</v>
      </c>
      <c r="N25" s="119">
        <f t="shared" si="5"/>
        <v>0</v>
      </c>
      <c r="O25" s="119">
        <f t="shared" si="5"/>
        <v>0</v>
      </c>
      <c r="P25" s="119">
        <f t="shared" si="5"/>
        <v>0</v>
      </c>
      <c r="Q25" s="119">
        <f t="shared" si="5"/>
        <v>0</v>
      </c>
      <c r="R25" s="119">
        <f t="shared" si="5"/>
        <v>0</v>
      </c>
      <c r="S25" s="119">
        <f t="shared" si="5"/>
        <v>0</v>
      </c>
      <c r="T25" s="119">
        <f t="shared" si="5"/>
        <v>0</v>
      </c>
      <c r="U25" s="119">
        <f t="shared" si="5"/>
        <v>0</v>
      </c>
      <c r="V25" s="119">
        <f t="shared" si="5"/>
        <v>0</v>
      </c>
      <c r="W25" s="119">
        <f t="shared" si="5"/>
        <v>0</v>
      </c>
      <c r="X25" s="119">
        <f t="shared" si="5"/>
        <v>0</v>
      </c>
      <c r="Y25" s="119">
        <f t="shared" si="5"/>
        <v>0</v>
      </c>
      <c r="Z25" s="119">
        <f t="shared" si="5"/>
        <v>0</v>
      </c>
      <c r="AA25" s="119">
        <f t="shared" si="5"/>
        <v>0</v>
      </c>
      <c r="AB25" s="119">
        <f t="shared" si="5"/>
        <v>0</v>
      </c>
      <c r="AC25" s="119">
        <f t="shared" si="5"/>
        <v>0</v>
      </c>
      <c r="AD25" s="119">
        <f t="shared" si="5"/>
        <v>0</v>
      </c>
      <c r="AE25" s="119">
        <f t="shared" si="5"/>
        <v>0</v>
      </c>
      <c r="AF25" s="119">
        <f t="shared" si="5"/>
        <v>0</v>
      </c>
      <c r="AG25" s="119">
        <f t="shared" si="5"/>
        <v>0</v>
      </c>
      <c r="AH25" s="119">
        <f t="shared" si="5"/>
        <v>0</v>
      </c>
      <c r="AI25" s="119">
        <f t="shared" si="5"/>
        <v>0</v>
      </c>
      <c r="AJ25" s="119">
        <f t="shared" si="5"/>
        <v>0</v>
      </c>
      <c r="AK25" s="119">
        <f t="shared" si="5"/>
        <v>0</v>
      </c>
      <c r="AL25" s="119">
        <f t="shared" si="5"/>
        <v>0</v>
      </c>
      <c r="AM25" s="119">
        <f t="shared" si="5"/>
        <v>0</v>
      </c>
      <c r="AN25" s="119">
        <f t="shared" si="5"/>
        <v>0</v>
      </c>
      <c r="AO25" s="119">
        <f t="shared" si="5"/>
        <v>0</v>
      </c>
      <c r="AP25" s="119">
        <f t="shared" si="5"/>
        <v>0</v>
      </c>
    </row>
    <row r="26" spans="1:42" x14ac:dyDescent="0.2">
      <c r="A26" s="22" t="s">
        <v>187</v>
      </c>
      <c r="C26" s="120">
        <f t="shared" ref="C26:AP26" si="6">IF(pbi_oth_for_ds="Yes",C626,0)</f>
        <v>0</v>
      </c>
      <c r="D26" s="120">
        <f t="shared" si="6"/>
        <v>0</v>
      </c>
      <c r="E26" s="120">
        <f t="shared" si="6"/>
        <v>0</v>
      </c>
      <c r="F26" s="120">
        <f t="shared" si="6"/>
        <v>0</v>
      </c>
      <c r="G26" s="120">
        <f t="shared" si="6"/>
        <v>0</v>
      </c>
      <c r="H26" s="120">
        <f t="shared" si="6"/>
        <v>0</v>
      </c>
      <c r="I26" s="120">
        <f t="shared" si="6"/>
        <v>0</v>
      </c>
      <c r="J26" s="120">
        <f t="shared" si="6"/>
        <v>0</v>
      </c>
      <c r="K26" s="120">
        <f t="shared" si="6"/>
        <v>0</v>
      </c>
      <c r="L26" s="120">
        <f t="shared" si="6"/>
        <v>0</v>
      </c>
      <c r="M26" s="120">
        <f t="shared" si="6"/>
        <v>0</v>
      </c>
      <c r="N26" s="120">
        <f t="shared" si="6"/>
        <v>0</v>
      </c>
      <c r="O26" s="120">
        <f t="shared" si="6"/>
        <v>0</v>
      </c>
      <c r="P26" s="120">
        <f t="shared" si="6"/>
        <v>0</v>
      </c>
      <c r="Q26" s="120">
        <f t="shared" si="6"/>
        <v>0</v>
      </c>
      <c r="R26" s="120">
        <f t="shared" si="6"/>
        <v>0</v>
      </c>
      <c r="S26" s="120">
        <f t="shared" si="6"/>
        <v>0</v>
      </c>
      <c r="T26" s="120">
        <f t="shared" si="6"/>
        <v>0</v>
      </c>
      <c r="U26" s="120">
        <f t="shared" si="6"/>
        <v>0</v>
      </c>
      <c r="V26" s="120">
        <f t="shared" si="6"/>
        <v>0</v>
      </c>
      <c r="W26" s="120">
        <f t="shared" si="6"/>
        <v>0</v>
      </c>
      <c r="X26" s="120">
        <f t="shared" si="6"/>
        <v>0</v>
      </c>
      <c r="Y26" s="120">
        <f t="shared" si="6"/>
        <v>0</v>
      </c>
      <c r="Z26" s="120">
        <f t="shared" si="6"/>
        <v>0</v>
      </c>
      <c r="AA26" s="120">
        <f t="shared" si="6"/>
        <v>0</v>
      </c>
      <c r="AB26" s="120">
        <f t="shared" si="6"/>
        <v>0</v>
      </c>
      <c r="AC26" s="120">
        <f t="shared" si="6"/>
        <v>0</v>
      </c>
      <c r="AD26" s="120">
        <f t="shared" si="6"/>
        <v>0</v>
      </c>
      <c r="AE26" s="120">
        <f t="shared" si="6"/>
        <v>0</v>
      </c>
      <c r="AF26" s="120">
        <f t="shared" si="6"/>
        <v>0</v>
      </c>
      <c r="AG26" s="120">
        <f t="shared" si="6"/>
        <v>0</v>
      </c>
      <c r="AH26" s="120">
        <f t="shared" si="6"/>
        <v>0</v>
      </c>
      <c r="AI26" s="120">
        <f t="shared" si="6"/>
        <v>0</v>
      </c>
      <c r="AJ26" s="120">
        <f t="shared" si="6"/>
        <v>0</v>
      </c>
      <c r="AK26" s="120">
        <f t="shared" si="6"/>
        <v>0</v>
      </c>
      <c r="AL26" s="120">
        <f t="shared" si="6"/>
        <v>0</v>
      </c>
      <c r="AM26" s="120">
        <f t="shared" si="6"/>
        <v>0</v>
      </c>
      <c r="AN26" s="120">
        <f t="shared" si="6"/>
        <v>0</v>
      </c>
      <c r="AO26" s="120">
        <f t="shared" si="6"/>
        <v>0</v>
      </c>
      <c r="AP26" s="120">
        <f t="shared" si="6"/>
        <v>0</v>
      </c>
    </row>
    <row r="27" spans="1:42" x14ac:dyDescent="0.2">
      <c r="A27" s="22" t="s">
        <v>23</v>
      </c>
      <c r="C27" s="119">
        <f>SUM(C23:C26)</f>
        <v>0</v>
      </c>
      <c r="D27" s="119">
        <f t="shared" ref="D27:AP27" si="7">SUM(D23:D26)</f>
        <v>0</v>
      </c>
      <c r="E27" s="119">
        <f t="shared" si="7"/>
        <v>0</v>
      </c>
      <c r="F27" s="119">
        <f t="shared" si="7"/>
        <v>0</v>
      </c>
      <c r="G27" s="119">
        <f t="shared" si="7"/>
        <v>0</v>
      </c>
      <c r="H27" s="119">
        <f t="shared" si="7"/>
        <v>0</v>
      </c>
      <c r="I27" s="119">
        <f t="shared" si="7"/>
        <v>0</v>
      </c>
      <c r="J27" s="119">
        <f t="shared" si="7"/>
        <v>0</v>
      </c>
      <c r="K27" s="119">
        <f t="shared" si="7"/>
        <v>0</v>
      </c>
      <c r="L27" s="119">
        <f t="shared" si="7"/>
        <v>0</v>
      </c>
      <c r="M27" s="119">
        <f t="shared" si="7"/>
        <v>0</v>
      </c>
      <c r="N27" s="119">
        <f t="shared" si="7"/>
        <v>0</v>
      </c>
      <c r="O27" s="119">
        <f t="shared" si="7"/>
        <v>0</v>
      </c>
      <c r="P27" s="119">
        <f t="shared" si="7"/>
        <v>0</v>
      </c>
      <c r="Q27" s="119">
        <f t="shared" si="7"/>
        <v>0</v>
      </c>
      <c r="R27" s="119">
        <f t="shared" si="7"/>
        <v>0</v>
      </c>
      <c r="S27" s="119">
        <f t="shared" si="7"/>
        <v>0</v>
      </c>
      <c r="T27" s="119">
        <f t="shared" si="7"/>
        <v>0</v>
      </c>
      <c r="U27" s="119">
        <f t="shared" si="7"/>
        <v>0</v>
      </c>
      <c r="V27" s="119">
        <f t="shared" si="7"/>
        <v>0</v>
      </c>
      <c r="W27" s="119">
        <f t="shared" si="7"/>
        <v>0</v>
      </c>
      <c r="X27" s="119">
        <f t="shared" si="7"/>
        <v>0</v>
      </c>
      <c r="Y27" s="119">
        <f t="shared" si="7"/>
        <v>0</v>
      </c>
      <c r="Z27" s="119">
        <f t="shared" si="7"/>
        <v>0</v>
      </c>
      <c r="AA27" s="119">
        <f t="shared" si="7"/>
        <v>0</v>
      </c>
      <c r="AB27" s="119">
        <f t="shared" si="7"/>
        <v>0</v>
      </c>
      <c r="AC27" s="119">
        <f t="shared" si="7"/>
        <v>0</v>
      </c>
      <c r="AD27" s="119">
        <f t="shared" si="7"/>
        <v>0</v>
      </c>
      <c r="AE27" s="119">
        <f t="shared" si="7"/>
        <v>0</v>
      </c>
      <c r="AF27" s="119">
        <f t="shared" si="7"/>
        <v>0</v>
      </c>
      <c r="AG27" s="119">
        <f t="shared" si="7"/>
        <v>0</v>
      </c>
      <c r="AH27" s="119">
        <f t="shared" si="7"/>
        <v>0</v>
      </c>
      <c r="AI27" s="119">
        <f t="shared" si="7"/>
        <v>0</v>
      </c>
      <c r="AJ27" s="119">
        <f t="shared" si="7"/>
        <v>0</v>
      </c>
      <c r="AK27" s="119">
        <f t="shared" si="7"/>
        <v>0</v>
      </c>
      <c r="AL27" s="119">
        <f t="shared" si="7"/>
        <v>0</v>
      </c>
      <c r="AM27" s="119">
        <f t="shared" si="7"/>
        <v>0</v>
      </c>
      <c r="AN27" s="119">
        <f t="shared" si="7"/>
        <v>0</v>
      </c>
      <c r="AO27" s="119">
        <f t="shared" si="7"/>
        <v>0</v>
      </c>
      <c r="AP27" s="119">
        <f t="shared" si="7"/>
        <v>0</v>
      </c>
    </row>
    <row r="28" spans="1:42" x14ac:dyDescent="0.2">
      <c r="A28" s="18" t="s">
        <v>52</v>
      </c>
      <c r="C28" s="119">
        <f t="shared" ref="C28:AP28" si="8">IF(C2=analysis_period,total_installed_cost*salvage_percentage/100,0)</f>
        <v>0</v>
      </c>
      <c r="D28" s="119">
        <f t="shared" si="8"/>
        <v>0</v>
      </c>
      <c r="E28" s="119">
        <f t="shared" si="8"/>
        <v>0</v>
      </c>
      <c r="F28" s="119">
        <f t="shared" si="8"/>
        <v>0</v>
      </c>
      <c r="G28" s="119">
        <f t="shared" si="8"/>
        <v>0</v>
      </c>
      <c r="H28" s="119">
        <f t="shared" si="8"/>
        <v>0</v>
      </c>
      <c r="I28" s="119">
        <f t="shared" si="8"/>
        <v>0</v>
      </c>
      <c r="J28" s="119">
        <f t="shared" si="8"/>
        <v>0</v>
      </c>
      <c r="K28" s="119">
        <f t="shared" si="8"/>
        <v>0</v>
      </c>
      <c r="L28" s="119">
        <f t="shared" si="8"/>
        <v>0</v>
      </c>
      <c r="M28" s="119">
        <f t="shared" si="8"/>
        <v>0</v>
      </c>
      <c r="N28" s="119">
        <f t="shared" si="8"/>
        <v>0</v>
      </c>
      <c r="O28" s="119">
        <f t="shared" si="8"/>
        <v>0</v>
      </c>
      <c r="P28" s="119">
        <f t="shared" si="8"/>
        <v>0</v>
      </c>
      <c r="Q28" s="119">
        <f t="shared" si="8"/>
        <v>0</v>
      </c>
      <c r="R28" s="119">
        <f t="shared" si="8"/>
        <v>0</v>
      </c>
      <c r="S28" s="119">
        <f t="shared" si="8"/>
        <v>0</v>
      </c>
      <c r="T28" s="119">
        <f t="shared" si="8"/>
        <v>0</v>
      </c>
      <c r="U28" s="119">
        <f t="shared" si="8"/>
        <v>0</v>
      </c>
      <c r="V28" s="119">
        <f t="shared" si="8"/>
        <v>0</v>
      </c>
      <c r="W28" s="119">
        <f t="shared" si="8"/>
        <v>0</v>
      </c>
      <c r="X28" s="119">
        <f t="shared" si="8"/>
        <v>0</v>
      </c>
      <c r="Y28" s="119">
        <f t="shared" si="8"/>
        <v>0</v>
      </c>
      <c r="Z28" s="119">
        <f t="shared" si="8"/>
        <v>0</v>
      </c>
      <c r="AA28" s="119">
        <f t="shared" si="8"/>
        <v>0</v>
      </c>
      <c r="AB28" s="119">
        <f t="shared" si="8"/>
        <v>0</v>
      </c>
      <c r="AC28" s="119">
        <f t="shared" si="8"/>
        <v>0</v>
      </c>
      <c r="AD28" s="119">
        <f t="shared" si="8"/>
        <v>0</v>
      </c>
      <c r="AE28" s="119">
        <f t="shared" si="8"/>
        <v>0</v>
      </c>
      <c r="AF28" s="119">
        <f t="shared" si="8"/>
        <v>0</v>
      </c>
      <c r="AG28" s="119">
        <f t="shared" si="8"/>
        <v>0</v>
      </c>
      <c r="AH28" s="119">
        <f t="shared" si="8"/>
        <v>0</v>
      </c>
      <c r="AI28" s="119">
        <f t="shared" si="8"/>
        <v>0</v>
      </c>
      <c r="AJ28" s="119">
        <f t="shared" si="8"/>
        <v>0</v>
      </c>
      <c r="AK28" s="119">
        <f t="shared" si="8"/>
        <v>0</v>
      </c>
      <c r="AL28" s="119">
        <f t="shared" si="8"/>
        <v>0</v>
      </c>
      <c r="AM28" s="119">
        <f t="shared" si="8"/>
        <v>0</v>
      </c>
      <c r="AN28" s="119">
        <f t="shared" si="8"/>
        <v>0</v>
      </c>
      <c r="AO28" s="119">
        <f t="shared" si="8"/>
        <v>0</v>
      </c>
      <c r="AP28" s="119">
        <f t="shared" si="8"/>
        <v>0</v>
      </c>
    </row>
    <row r="29" spans="1:42" x14ac:dyDescent="0.2">
      <c r="A29" s="206" t="s">
        <v>86</v>
      </c>
      <c r="B29" s="30"/>
      <c r="C29" s="137">
        <f t="shared" ref="C29:AP29" si="9">IF(C2&lt;=analysis_period,C$17+SUM(C19:C21)+C$27+C$28,0)</f>
        <v>8476300</v>
      </c>
      <c r="D29" s="137">
        <f t="shared" si="9"/>
        <v>8518260</v>
      </c>
      <c r="E29" s="137">
        <f t="shared" si="9"/>
        <v>8560420</v>
      </c>
      <c r="F29" s="137">
        <f t="shared" si="9"/>
        <v>8602800</v>
      </c>
      <c r="G29" s="137">
        <f t="shared" si="9"/>
        <v>8645380</v>
      </c>
      <c r="H29" s="137">
        <f t="shared" si="9"/>
        <v>8688170</v>
      </c>
      <c r="I29" s="137">
        <f t="shared" si="9"/>
        <v>8731180</v>
      </c>
      <c r="J29" s="137">
        <f t="shared" si="9"/>
        <v>8774400</v>
      </c>
      <c r="K29" s="137">
        <f t="shared" si="9"/>
        <v>8817830</v>
      </c>
      <c r="L29" s="137">
        <f t="shared" si="9"/>
        <v>8861480</v>
      </c>
      <c r="M29" s="137">
        <f t="shared" si="9"/>
        <v>8905350</v>
      </c>
      <c r="N29" s="137">
        <f t="shared" si="9"/>
        <v>8949430</v>
      </c>
      <c r="O29" s="137">
        <f t="shared" si="9"/>
        <v>8993730</v>
      </c>
      <c r="P29" s="137">
        <f t="shared" si="9"/>
        <v>9038250</v>
      </c>
      <c r="Q29" s="137">
        <f t="shared" si="9"/>
        <v>9082980</v>
      </c>
      <c r="R29" s="137">
        <f t="shared" si="9"/>
        <v>9127950</v>
      </c>
      <c r="S29" s="137">
        <f t="shared" si="9"/>
        <v>9173130</v>
      </c>
      <c r="T29" s="137">
        <f t="shared" si="9"/>
        <v>9218540</v>
      </c>
      <c r="U29" s="137">
        <f t="shared" si="9"/>
        <v>9264170</v>
      </c>
      <c r="V29" s="137">
        <f t="shared" si="9"/>
        <v>9310030</v>
      </c>
      <c r="W29" s="137">
        <f t="shared" si="9"/>
        <v>9356110</v>
      </c>
      <c r="X29" s="137">
        <f t="shared" si="9"/>
        <v>9402420</v>
      </c>
      <c r="Y29" s="137">
        <f t="shared" si="9"/>
        <v>9448960</v>
      </c>
      <c r="Z29" s="137">
        <f t="shared" si="9"/>
        <v>9495740</v>
      </c>
      <c r="AA29" s="137">
        <f t="shared" si="9"/>
        <v>9542740</v>
      </c>
      <c r="AB29" s="137">
        <f t="shared" si="9"/>
        <v>0</v>
      </c>
      <c r="AC29" s="137">
        <f t="shared" si="9"/>
        <v>0</v>
      </c>
      <c r="AD29" s="137">
        <f t="shared" si="9"/>
        <v>0</v>
      </c>
      <c r="AE29" s="137">
        <f t="shared" si="9"/>
        <v>0</v>
      </c>
      <c r="AF29" s="137">
        <f t="shared" si="9"/>
        <v>0</v>
      </c>
      <c r="AG29" s="137">
        <f t="shared" si="9"/>
        <v>0</v>
      </c>
      <c r="AH29" s="137">
        <f t="shared" si="9"/>
        <v>0</v>
      </c>
      <c r="AI29" s="137">
        <f t="shared" si="9"/>
        <v>0</v>
      </c>
      <c r="AJ29" s="137">
        <f t="shared" si="9"/>
        <v>0</v>
      </c>
      <c r="AK29" s="137">
        <f t="shared" si="9"/>
        <v>0</v>
      </c>
      <c r="AL29" s="137">
        <f t="shared" si="9"/>
        <v>0</v>
      </c>
      <c r="AM29" s="137">
        <f t="shared" si="9"/>
        <v>0</v>
      </c>
      <c r="AN29" s="137">
        <f t="shared" si="9"/>
        <v>0</v>
      </c>
      <c r="AO29" s="137">
        <f t="shared" si="9"/>
        <v>0</v>
      </c>
      <c r="AP29" s="137">
        <f t="shared" si="9"/>
        <v>0</v>
      </c>
    </row>
    <row r="30" spans="1:42" x14ac:dyDescent="0.2">
      <c r="A30" s="18"/>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row>
    <row r="31" spans="1:42" x14ac:dyDescent="0.2">
      <c r="A31" s="18" t="s">
        <v>119</v>
      </c>
      <c r="C31" s="119">
        <f>PropertyTaxAssessedValue</f>
        <v>106498000</v>
      </c>
      <c r="D31" s="119">
        <f t="shared" ref="D31:AP31" si="10">IF(D$2&lt;=analysis_period,PropertyTaxAssessedValue*(100-(D$2-1)*prop_tax_assessed_decline)/100,0)</f>
        <v>106498000</v>
      </c>
      <c r="E31" s="119">
        <f t="shared" si="10"/>
        <v>106498000</v>
      </c>
      <c r="F31" s="119">
        <f t="shared" si="10"/>
        <v>106498000</v>
      </c>
      <c r="G31" s="119">
        <f t="shared" si="10"/>
        <v>106498000</v>
      </c>
      <c r="H31" s="119">
        <f t="shared" si="10"/>
        <v>106498000</v>
      </c>
      <c r="I31" s="119">
        <f t="shared" si="10"/>
        <v>106498000</v>
      </c>
      <c r="J31" s="119">
        <f t="shared" si="10"/>
        <v>106498000</v>
      </c>
      <c r="K31" s="119">
        <f t="shared" si="10"/>
        <v>106498000</v>
      </c>
      <c r="L31" s="119">
        <f t="shared" si="10"/>
        <v>106498000</v>
      </c>
      <c r="M31" s="119">
        <f t="shared" si="10"/>
        <v>106498000</v>
      </c>
      <c r="N31" s="119">
        <f t="shared" si="10"/>
        <v>106498000</v>
      </c>
      <c r="O31" s="119">
        <f t="shared" si="10"/>
        <v>106498000</v>
      </c>
      <c r="P31" s="119">
        <f t="shared" si="10"/>
        <v>106498000</v>
      </c>
      <c r="Q31" s="119">
        <f t="shared" si="10"/>
        <v>106498000</v>
      </c>
      <c r="R31" s="119">
        <f t="shared" si="10"/>
        <v>106498000</v>
      </c>
      <c r="S31" s="119">
        <f t="shared" si="10"/>
        <v>106498000</v>
      </c>
      <c r="T31" s="119">
        <f t="shared" si="10"/>
        <v>106498000</v>
      </c>
      <c r="U31" s="119">
        <f t="shared" si="10"/>
        <v>106498000</v>
      </c>
      <c r="V31" s="119">
        <f t="shared" si="10"/>
        <v>106498000</v>
      </c>
      <c r="W31" s="119">
        <f t="shared" si="10"/>
        <v>106498000</v>
      </c>
      <c r="X31" s="119">
        <f t="shared" si="10"/>
        <v>106498000</v>
      </c>
      <c r="Y31" s="119">
        <f t="shared" si="10"/>
        <v>106498000</v>
      </c>
      <c r="Z31" s="119">
        <f t="shared" si="10"/>
        <v>106498000</v>
      </c>
      <c r="AA31" s="119">
        <f t="shared" si="10"/>
        <v>106498000</v>
      </c>
      <c r="AB31" s="119">
        <f t="shared" si="10"/>
        <v>0</v>
      </c>
      <c r="AC31" s="119">
        <f t="shared" si="10"/>
        <v>0</v>
      </c>
      <c r="AD31" s="119">
        <f t="shared" si="10"/>
        <v>0</v>
      </c>
      <c r="AE31" s="119">
        <f t="shared" si="10"/>
        <v>0</v>
      </c>
      <c r="AF31" s="119">
        <f t="shared" si="10"/>
        <v>0</v>
      </c>
      <c r="AG31" s="119">
        <f t="shared" si="10"/>
        <v>0</v>
      </c>
      <c r="AH31" s="119">
        <f t="shared" si="10"/>
        <v>0</v>
      </c>
      <c r="AI31" s="119">
        <f t="shared" si="10"/>
        <v>0</v>
      </c>
      <c r="AJ31" s="119">
        <f t="shared" si="10"/>
        <v>0</v>
      </c>
      <c r="AK31" s="119">
        <f t="shared" si="10"/>
        <v>0</v>
      </c>
      <c r="AL31" s="119">
        <f t="shared" si="10"/>
        <v>0</v>
      </c>
      <c r="AM31" s="119">
        <f t="shared" si="10"/>
        <v>0</v>
      </c>
      <c r="AN31" s="119">
        <f t="shared" si="10"/>
        <v>0</v>
      </c>
      <c r="AO31" s="119">
        <f t="shared" si="10"/>
        <v>0</v>
      </c>
      <c r="AP31" s="119">
        <f t="shared" si="10"/>
        <v>0</v>
      </c>
    </row>
    <row r="32" spans="1:42" x14ac:dyDescent="0.2">
      <c r="A32" s="22"/>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row>
    <row r="33" spans="1:42" x14ac:dyDescent="0.2">
      <c r="A33" s="20" t="s">
        <v>250</v>
      </c>
      <c r="C33" s="15"/>
      <c r="D33" s="15"/>
      <c r="E33" s="15"/>
      <c r="F33" s="15"/>
      <c r="G33" s="15"/>
      <c r="H33" s="15"/>
      <c r="I33" s="15"/>
      <c r="J33" s="15"/>
      <c r="K33" s="15"/>
      <c r="L33" s="15"/>
      <c r="M33" s="15"/>
      <c r="N33" s="15"/>
      <c r="O33" s="15"/>
      <c r="P33" s="15"/>
      <c r="Q33" s="15"/>
      <c r="R33" s="15"/>
      <c r="S33" s="15"/>
    </row>
    <row r="34" spans="1:42" x14ac:dyDescent="0.2">
      <c r="A34" s="4" t="s">
        <v>230</v>
      </c>
      <c r="C34" s="15"/>
      <c r="D34" s="15"/>
      <c r="E34" s="15"/>
      <c r="F34" s="15"/>
      <c r="G34" s="15"/>
      <c r="H34" s="15"/>
      <c r="I34" s="15"/>
      <c r="J34" s="15"/>
      <c r="K34" s="15"/>
      <c r="L34" s="15"/>
      <c r="M34" s="15"/>
      <c r="N34" s="15"/>
      <c r="O34" s="15"/>
      <c r="P34" s="15"/>
      <c r="Q34" s="15"/>
      <c r="R34" s="15"/>
      <c r="S34" s="15"/>
    </row>
    <row r="35" spans="1:42" x14ac:dyDescent="0.2">
      <c r="A35" s="88" t="s">
        <v>231</v>
      </c>
      <c r="C35" s="119">
        <f>IF(C$2&lt;=analysis_period,IF(om_fixed="n/a",Inputs!D175,om_fixed*(1+inflation_rate/100+om_fixed_escal/100)^B$2),0)</f>
        <v>0</v>
      </c>
      <c r="D35" s="119">
        <f>IF(D$2&lt;=analysis_period,IF(om_fixed="n/a",Inputs!E175,om_fixed*(1+inflation_rate/100+om_fixed_escal/100)^C$2),0)</f>
        <v>0</v>
      </c>
      <c r="E35" s="119">
        <f>IF(E$2&lt;=analysis_period,IF(om_fixed="n/a",Inputs!F175,om_fixed*(1+inflation_rate/100+om_fixed_escal/100)^D$2),0)</f>
        <v>0</v>
      </c>
      <c r="F35" s="119">
        <f>IF(F$2&lt;=analysis_period,IF(om_fixed="n/a",Inputs!G175,om_fixed*(1+inflation_rate/100+om_fixed_escal/100)^E$2),0)</f>
        <v>0</v>
      </c>
      <c r="G35" s="119">
        <f>IF(G$2&lt;=analysis_period,IF(om_fixed="n/a",Inputs!H175,om_fixed*(1+inflation_rate/100+om_fixed_escal/100)^F$2),0)</f>
        <v>0</v>
      </c>
      <c r="H35" s="119">
        <f>IF(H$2&lt;=analysis_period,IF(om_fixed="n/a",Inputs!I175,om_fixed*(1+inflation_rate/100+om_fixed_escal/100)^G$2),0)</f>
        <v>0</v>
      </c>
      <c r="I35" s="119">
        <f>IF(I$2&lt;=analysis_period,IF(om_fixed="n/a",Inputs!J175,om_fixed*(1+inflation_rate/100+om_fixed_escal/100)^H$2),0)</f>
        <v>0</v>
      </c>
      <c r="J35" s="119">
        <f>IF(J$2&lt;=analysis_period,IF(om_fixed="n/a",Inputs!K175,om_fixed*(1+inflation_rate/100+om_fixed_escal/100)^I$2),0)</f>
        <v>0</v>
      </c>
      <c r="K35" s="119">
        <f>IF(K$2&lt;=analysis_period,IF(om_fixed="n/a",Inputs!L175,om_fixed*(1+inflation_rate/100+om_fixed_escal/100)^J$2),0)</f>
        <v>0</v>
      </c>
      <c r="L35" s="119">
        <f>IF(L$2&lt;=analysis_period,IF(om_fixed="n/a",Inputs!M175,om_fixed*(1+inflation_rate/100+om_fixed_escal/100)^K$2),0)</f>
        <v>0</v>
      </c>
      <c r="M35" s="119">
        <f>IF(M$2&lt;=analysis_period,IF(om_fixed="n/a",Inputs!N175,om_fixed*(1+inflation_rate/100+om_fixed_escal/100)^L$2),0)</f>
        <v>0</v>
      </c>
      <c r="N35" s="119">
        <f>IF(N$2&lt;=analysis_period,IF(om_fixed="n/a",Inputs!O175,om_fixed*(1+inflation_rate/100+om_fixed_escal/100)^M$2),0)</f>
        <v>0</v>
      </c>
      <c r="O35" s="119">
        <f>IF(O$2&lt;=analysis_period,IF(om_fixed="n/a",Inputs!P175,om_fixed*(1+inflation_rate/100+om_fixed_escal/100)^N$2),0)</f>
        <v>0</v>
      </c>
      <c r="P35" s="119">
        <f>IF(P$2&lt;=analysis_period,IF(om_fixed="n/a",Inputs!Q175,om_fixed*(1+inflation_rate/100+om_fixed_escal/100)^O$2),0)</f>
        <v>0</v>
      </c>
      <c r="Q35" s="119">
        <f>IF(Q$2&lt;=analysis_period,IF(om_fixed="n/a",Inputs!R175,om_fixed*(1+inflation_rate/100+om_fixed_escal/100)^P$2),0)</f>
        <v>0</v>
      </c>
      <c r="R35" s="119">
        <f>IF(R$2&lt;=analysis_period,IF(om_fixed="n/a",Inputs!S175,om_fixed*(1+inflation_rate/100+om_fixed_escal/100)^Q$2),0)</f>
        <v>0</v>
      </c>
      <c r="S35" s="119">
        <f>IF(S$2&lt;=analysis_period,IF(om_fixed="n/a",Inputs!T175,om_fixed*(1+inflation_rate/100+om_fixed_escal/100)^R$2),0)</f>
        <v>0</v>
      </c>
      <c r="T35" s="119">
        <f>IF(T$2&lt;=analysis_period,IF(om_fixed="n/a",Inputs!U175,om_fixed*(1+inflation_rate/100+om_fixed_escal/100)^S$2),0)</f>
        <v>0</v>
      </c>
      <c r="U35" s="119">
        <f>IF(U$2&lt;=analysis_period,IF(om_fixed="n/a",Inputs!V175,om_fixed*(1+inflation_rate/100+om_fixed_escal/100)^T$2),0)</f>
        <v>0</v>
      </c>
      <c r="V35" s="119">
        <f>IF(V$2&lt;=analysis_period,IF(om_fixed="n/a",Inputs!W175,om_fixed*(1+inflation_rate/100+om_fixed_escal/100)^U$2),0)</f>
        <v>0</v>
      </c>
      <c r="W35" s="119">
        <f>IF(W$2&lt;=analysis_period,IF(om_fixed="n/a",Inputs!X175,om_fixed*(1+inflation_rate/100+om_fixed_escal/100)^V$2),0)</f>
        <v>0</v>
      </c>
      <c r="X35" s="119">
        <f>IF(X$2&lt;=analysis_period,IF(om_fixed="n/a",Inputs!Y175,om_fixed*(1+inflation_rate/100+om_fixed_escal/100)^W$2),0)</f>
        <v>0</v>
      </c>
      <c r="Y35" s="119">
        <f>IF(Y$2&lt;=analysis_period,IF(om_fixed="n/a",Inputs!Z175,om_fixed*(1+inflation_rate/100+om_fixed_escal/100)^X$2),0)</f>
        <v>0</v>
      </c>
      <c r="Z35" s="119">
        <f>IF(Z$2&lt;=analysis_period,IF(om_fixed="n/a",Inputs!AA175,om_fixed*(1+inflation_rate/100+om_fixed_escal/100)^Y$2),0)</f>
        <v>0</v>
      </c>
      <c r="AA35" s="119">
        <f>IF(AA$2&lt;=analysis_period,IF(om_fixed="n/a",Inputs!AB175,om_fixed*(1+inflation_rate/100+om_fixed_escal/100)^Z$2),0)</f>
        <v>0</v>
      </c>
      <c r="AB35" s="119">
        <f>IF(AB$2&lt;=analysis_period,IF(om_fixed="n/a",Inputs!AC175,om_fixed*(1+inflation_rate/100+om_fixed_escal/100)^AA$2),0)</f>
        <v>0</v>
      </c>
      <c r="AC35" s="119">
        <f>IF(AC$2&lt;=analysis_period,IF(om_fixed="n/a",Inputs!AD175,om_fixed*(1+inflation_rate/100+om_fixed_escal/100)^AB$2),0)</f>
        <v>0</v>
      </c>
      <c r="AD35" s="119">
        <f>IF(AD$2&lt;=analysis_period,IF(om_fixed="n/a",Inputs!AE175,om_fixed*(1+inflation_rate/100+om_fixed_escal/100)^AC$2),0)</f>
        <v>0</v>
      </c>
      <c r="AE35" s="119">
        <f>IF(AE$2&lt;=analysis_period,IF(om_fixed="n/a",Inputs!AF175,om_fixed*(1+inflation_rate/100+om_fixed_escal/100)^AD$2),0)</f>
        <v>0</v>
      </c>
      <c r="AF35" s="119">
        <f>IF(AF$2&lt;=analysis_period,IF(om_fixed="n/a",Inputs!AG175,om_fixed*(1+inflation_rate/100+om_fixed_escal/100)^AE$2),0)</f>
        <v>0</v>
      </c>
      <c r="AG35" s="119">
        <f>IF(AG$2&lt;=analysis_period,IF(om_fixed="n/a",Inputs!AH175,om_fixed*(1+inflation_rate/100+om_fixed_escal/100)^AF$2),0)</f>
        <v>0</v>
      </c>
      <c r="AH35" s="119">
        <f>IF(AH$2&lt;=analysis_period,IF(om_fixed="n/a",Inputs!AI175,om_fixed*(1+inflation_rate/100+om_fixed_escal/100)^AG$2),0)</f>
        <v>0</v>
      </c>
      <c r="AI35" s="119">
        <f>IF(AI$2&lt;=analysis_period,IF(om_fixed="n/a",Inputs!AJ175,om_fixed*(1+inflation_rate/100+om_fixed_escal/100)^AH$2),0)</f>
        <v>0</v>
      </c>
      <c r="AJ35" s="119">
        <f>IF(AJ$2&lt;=analysis_period,IF(om_fixed="n/a",Inputs!AK175,om_fixed*(1+inflation_rate/100+om_fixed_escal/100)^AI$2),0)</f>
        <v>0</v>
      </c>
      <c r="AK35" s="119">
        <f>IF(AK$2&lt;=analysis_period,IF(om_fixed="n/a",Inputs!AL175,om_fixed*(1+inflation_rate/100+om_fixed_escal/100)^AJ$2),0)</f>
        <v>0</v>
      </c>
      <c r="AL35" s="119">
        <f>IF(AL$2&lt;=analysis_period,IF(om_fixed="n/a",Inputs!AM175,om_fixed*(1+inflation_rate/100+om_fixed_escal/100)^AK$2),0)</f>
        <v>0</v>
      </c>
      <c r="AM35" s="119">
        <f>IF(AM$2&lt;=analysis_period,IF(om_fixed="n/a",Inputs!AN175,om_fixed*(1+inflation_rate/100+om_fixed_escal/100)^AL$2),0)</f>
        <v>0</v>
      </c>
      <c r="AN35" s="119">
        <f>IF(AN$2&lt;=analysis_period,IF(om_fixed="n/a",Inputs!AO175,om_fixed*(1+inflation_rate/100+om_fixed_escal/100)^AM$2),0)</f>
        <v>0</v>
      </c>
      <c r="AO35" s="119">
        <f>IF(AO$2&lt;=analysis_period,IF(om_fixed="n/a",Inputs!AP175,om_fixed*(1+inflation_rate/100+om_fixed_escal/100)^AN$2),0)</f>
        <v>0</v>
      </c>
      <c r="AP35" s="119">
        <f>IF(AP$2&lt;=analysis_period,IF(om_fixed="n/a",Inputs!AQ175,om_fixed*(1+inflation_rate/100+om_fixed_escal/100)^AO$2),0)</f>
        <v>0</v>
      </c>
    </row>
    <row r="36" spans="1:42" x14ac:dyDescent="0.2">
      <c r="A36" s="88" t="s">
        <v>232</v>
      </c>
    </row>
    <row r="37" spans="1:42" x14ac:dyDescent="0.2">
      <c r="A37" s="89" t="s">
        <v>11</v>
      </c>
      <c r="C37" s="153">
        <f t="shared" ref="C37:AP37" si="11">IF(C$2&lt;=analysis_period,system_capacity,0)</f>
        <v>100000</v>
      </c>
      <c r="D37" s="153">
        <f t="shared" si="11"/>
        <v>100000</v>
      </c>
      <c r="E37" s="153">
        <f t="shared" si="11"/>
        <v>100000</v>
      </c>
      <c r="F37" s="153">
        <f t="shared" si="11"/>
        <v>100000</v>
      </c>
      <c r="G37" s="153">
        <f t="shared" si="11"/>
        <v>100000</v>
      </c>
      <c r="H37" s="153">
        <f t="shared" si="11"/>
        <v>100000</v>
      </c>
      <c r="I37" s="153">
        <f t="shared" si="11"/>
        <v>100000</v>
      </c>
      <c r="J37" s="153">
        <f t="shared" si="11"/>
        <v>100000</v>
      </c>
      <c r="K37" s="153">
        <f t="shared" si="11"/>
        <v>100000</v>
      </c>
      <c r="L37" s="153">
        <f t="shared" si="11"/>
        <v>100000</v>
      </c>
      <c r="M37" s="153">
        <f t="shared" si="11"/>
        <v>100000</v>
      </c>
      <c r="N37" s="153">
        <f t="shared" si="11"/>
        <v>100000</v>
      </c>
      <c r="O37" s="153">
        <f t="shared" si="11"/>
        <v>100000</v>
      </c>
      <c r="P37" s="153">
        <f t="shared" si="11"/>
        <v>100000</v>
      </c>
      <c r="Q37" s="153">
        <f t="shared" si="11"/>
        <v>100000</v>
      </c>
      <c r="R37" s="153">
        <f t="shared" si="11"/>
        <v>100000</v>
      </c>
      <c r="S37" s="153">
        <f t="shared" si="11"/>
        <v>100000</v>
      </c>
      <c r="T37" s="153">
        <f t="shared" si="11"/>
        <v>100000</v>
      </c>
      <c r="U37" s="153">
        <f t="shared" si="11"/>
        <v>100000</v>
      </c>
      <c r="V37" s="153">
        <f t="shared" si="11"/>
        <v>100000</v>
      </c>
      <c r="W37" s="153">
        <f t="shared" si="11"/>
        <v>100000</v>
      </c>
      <c r="X37" s="153">
        <f t="shared" si="11"/>
        <v>100000</v>
      </c>
      <c r="Y37" s="153">
        <f t="shared" si="11"/>
        <v>100000</v>
      </c>
      <c r="Z37" s="153">
        <f t="shared" si="11"/>
        <v>100000</v>
      </c>
      <c r="AA37" s="153">
        <f t="shared" si="11"/>
        <v>100000</v>
      </c>
      <c r="AB37" s="153">
        <f t="shared" si="11"/>
        <v>0</v>
      </c>
      <c r="AC37" s="153">
        <f t="shared" si="11"/>
        <v>0</v>
      </c>
      <c r="AD37" s="153">
        <f t="shared" si="11"/>
        <v>0</v>
      </c>
      <c r="AE37" s="153">
        <f t="shared" si="11"/>
        <v>0</v>
      </c>
      <c r="AF37" s="153">
        <f t="shared" si="11"/>
        <v>0</v>
      </c>
      <c r="AG37" s="153">
        <f t="shared" si="11"/>
        <v>0</v>
      </c>
      <c r="AH37" s="153">
        <f t="shared" si="11"/>
        <v>0</v>
      </c>
      <c r="AI37" s="153">
        <f t="shared" si="11"/>
        <v>0</v>
      </c>
      <c r="AJ37" s="153">
        <f t="shared" si="11"/>
        <v>0</v>
      </c>
      <c r="AK37" s="153">
        <f t="shared" si="11"/>
        <v>0</v>
      </c>
      <c r="AL37" s="153">
        <f t="shared" si="11"/>
        <v>0</v>
      </c>
      <c r="AM37" s="153">
        <f t="shared" si="11"/>
        <v>0</v>
      </c>
      <c r="AN37" s="153">
        <f t="shared" si="11"/>
        <v>0</v>
      </c>
      <c r="AO37" s="153">
        <f t="shared" si="11"/>
        <v>0</v>
      </c>
      <c r="AP37" s="153">
        <f t="shared" si="11"/>
        <v>0</v>
      </c>
    </row>
    <row r="38" spans="1:42" x14ac:dyDescent="0.2">
      <c r="A38" s="89" t="s">
        <v>12</v>
      </c>
      <c r="C38" s="151">
        <f>IF(C$2&lt;=analysis_period,IF(om_capacity="n/a",Inputs!D176,om_capacity*(1+inflation_rate/100+om_capacity_escal/100)^B$2),0)</f>
        <v>15</v>
      </c>
      <c r="D38" s="151">
        <f>IF(D$2&lt;=analysis_period,IF(om_capacity="n/a",Inputs!E176,om_capacity*(1+inflation_rate/100+om_capacity_escal/100)^C$2),0)</f>
        <v>15.374999999999998</v>
      </c>
      <c r="E38" s="151">
        <f>IF(E$2&lt;=analysis_period,IF(om_capacity="n/a",Inputs!F176,om_capacity*(1+inflation_rate/100+om_capacity_escal/100)^D$2),0)</f>
        <v>15.759374999999999</v>
      </c>
      <c r="F38" s="151">
        <f>IF(F$2&lt;=analysis_period,IF(om_capacity="n/a",Inputs!G176,om_capacity*(1+inflation_rate/100+om_capacity_escal/100)^E$2),0)</f>
        <v>16.153359374999997</v>
      </c>
      <c r="G38" s="151">
        <f>IF(G$2&lt;=analysis_period,IF(om_capacity="n/a",Inputs!H176,om_capacity*(1+inflation_rate/100+om_capacity_escal/100)^F$2),0)</f>
        <v>16.557193359374995</v>
      </c>
      <c r="H38" s="151">
        <f>IF(H$2&lt;=analysis_period,IF(om_capacity="n/a",Inputs!I176,om_capacity*(1+inflation_rate/100+om_capacity_escal/100)^G$2),0)</f>
        <v>16.971123193359368</v>
      </c>
      <c r="I38" s="151">
        <f>IF(I$2&lt;=analysis_period,IF(om_capacity="n/a",Inputs!J176,om_capacity*(1+inflation_rate/100+om_capacity_escal/100)^H$2),0)</f>
        <v>17.395401273193354</v>
      </c>
      <c r="J38" s="151">
        <f>IF(J$2&lt;=analysis_period,IF(om_capacity="n/a",Inputs!K176,om_capacity*(1+inflation_rate/100+om_capacity_escal/100)^I$2),0)</f>
        <v>17.830286305023186</v>
      </c>
      <c r="K38" s="151">
        <f>IF(K$2&lt;=analysis_period,IF(om_capacity="n/a",Inputs!L176,om_capacity*(1+inflation_rate/100+om_capacity_escal/100)^J$2),0)</f>
        <v>18.276043462648765</v>
      </c>
      <c r="L38" s="151">
        <f>IF(L$2&lt;=analysis_period,IF(om_capacity="n/a",Inputs!M176,om_capacity*(1+inflation_rate/100+om_capacity_escal/100)^K$2),0)</f>
        <v>18.732944549214981</v>
      </c>
      <c r="M38" s="151">
        <f>IF(M$2&lt;=analysis_period,IF(om_capacity="n/a",Inputs!N176,om_capacity*(1+inflation_rate/100+om_capacity_escal/100)^L$2),0)</f>
        <v>19.201268162945357</v>
      </c>
      <c r="N38" s="151">
        <f>IF(N$2&lt;=analysis_period,IF(om_capacity="n/a",Inputs!O176,om_capacity*(1+inflation_rate/100+om_capacity_escal/100)^M$2),0)</f>
        <v>19.681299867018989</v>
      </c>
      <c r="O38" s="151">
        <f>IF(O$2&lt;=analysis_period,IF(om_capacity="n/a",Inputs!P176,om_capacity*(1+inflation_rate/100+om_capacity_escal/100)^N$2),0)</f>
        <v>20.173332363694463</v>
      </c>
      <c r="P38" s="151">
        <f>IF(P$2&lt;=analysis_period,IF(om_capacity="n/a",Inputs!Q176,om_capacity*(1+inflation_rate/100+om_capacity_escal/100)^O$2),0)</f>
        <v>20.677665672786823</v>
      </c>
      <c r="Q38" s="151">
        <f>IF(Q$2&lt;=analysis_period,IF(om_capacity="n/a",Inputs!R176,om_capacity*(1+inflation_rate/100+om_capacity_escal/100)^P$2),0)</f>
        <v>21.194607314606493</v>
      </c>
      <c r="R38" s="151">
        <f>IF(R$2&lt;=analysis_period,IF(om_capacity="n/a",Inputs!S176,om_capacity*(1+inflation_rate/100+om_capacity_escal/100)^Q$2),0)</f>
        <v>21.724472497471659</v>
      </c>
      <c r="S38" s="151">
        <f>IF(S$2&lt;=analysis_period,IF(om_capacity="n/a",Inputs!T176,om_capacity*(1+inflation_rate/100+om_capacity_escal/100)^R$2),0)</f>
        <v>22.267584309908447</v>
      </c>
      <c r="T38" s="151">
        <f>IF(T$2&lt;=analysis_period,IF(om_capacity="n/a",Inputs!U176,om_capacity*(1+inflation_rate/100+om_capacity_escal/100)^S$2),0)</f>
        <v>22.824273917656154</v>
      </c>
      <c r="U38" s="151">
        <f>IF(U$2&lt;=analysis_period,IF(om_capacity="n/a",Inputs!V176,om_capacity*(1+inflation_rate/100+om_capacity_escal/100)^T$2),0)</f>
        <v>23.394880765597559</v>
      </c>
      <c r="V38" s="151">
        <f>IF(V$2&lt;=analysis_period,IF(om_capacity="n/a",Inputs!W176,om_capacity*(1+inflation_rate/100+om_capacity_escal/100)^U$2),0)</f>
        <v>23.979752784737499</v>
      </c>
      <c r="W38" s="151">
        <f>IF(W$2&lt;=analysis_period,IF(om_capacity="n/a",Inputs!X176,om_capacity*(1+inflation_rate/100+om_capacity_escal/100)^V$2),0)</f>
        <v>24.579246604355934</v>
      </c>
      <c r="X38" s="151">
        <f>IF(X$2&lt;=analysis_period,IF(om_capacity="n/a",Inputs!Y176,om_capacity*(1+inflation_rate/100+om_capacity_escal/100)^W$2),0)</f>
        <v>25.193727769464829</v>
      </c>
      <c r="Y38" s="151">
        <f>IF(Y$2&lt;=analysis_period,IF(om_capacity="n/a",Inputs!Z176,om_capacity*(1+inflation_rate/100+om_capacity_escal/100)^X$2),0)</f>
        <v>25.823570963701449</v>
      </c>
      <c r="Z38" s="151">
        <f>IF(Z$2&lt;=analysis_period,IF(om_capacity="n/a",Inputs!AA176,om_capacity*(1+inflation_rate/100+om_capacity_escal/100)^Y$2),0)</f>
        <v>26.469160237793986</v>
      </c>
      <c r="AA38" s="151">
        <f>IF(AA$2&lt;=analysis_period,IF(om_capacity="n/a",Inputs!AB176,om_capacity*(1+inflation_rate/100+om_capacity_escal/100)^Z$2),0)</f>
        <v>27.130889243738835</v>
      </c>
      <c r="AB38" s="151">
        <f>IF(AB$2&lt;=analysis_period,IF(om_capacity="n/a",Inputs!AC176,om_capacity*(1+inflation_rate/100+om_capacity_escal/100)^AA$2),0)</f>
        <v>0</v>
      </c>
      <c r="AC38" s="151">
        <f>IF(AC$2&lt;=analysis_period,IF(om_capacity="n/a",Inputs!AD176,om_capacity*(1+inflation_rate/100+om_capacity_escal/100)^AB$2),0)</f>
        <v>0</v>
      </c>
      <c r="AD38" s="151">
        <f>IF(AD$2&lt;=analysis_period,IF(om_capacity="n/a",Inputs!AE176,om_capacity*(1+inflation_rate/100+om_capacity_escal/100)^AC$2),0)</f>
        <v>0</v>
      </c>
      <c r="AE38" s="151">
        <f>IF(AE$2&lt;=analysis_period,IF(om_capacity="n/a",Inputs!AF176,om_capacity*(1+inflation_rate/100+om_capacity_escal/100)^AD$2),0)</f>
        <v>0</v>
      </c>
      <c r="AF38" s="151">
        <f>IF(AF$2&lt;=analysis_period,IF(om_capacity="n/a",Inputs!AG176,om_capacity*(1+inflation_rate/100+om_capacity_escal/100)^AE$2),0)</f>
        <v>0</v>
      </c>
      <c r="AG38" s="151">
        <f>IF(AG$2&lt;=analysis_period,IF(om_capacity="n/a",Inputs!AH176,om_capacity*(1+inflation_rate/100+om_capacity_escal/100)^AF$2),0)</f>
        <v>0</v>
      </c>
      <c r="AH38" s="151">
        <f>IF(AH$2&lt;=analysis_period,IF(om_capacity="n/a",Inputs!AI176,om_capacity*(1+inflation_rate/100+om_capacity_escal/100)^AG$2),0)</f>
        <v>0</v>
      </c>
      <c r="AI38" s="151">
        <f>IF(AI$2&lt;=analysis_period,IF(om_capacity="n/a",Inputs!AJ176,om_capacity*(1+inflation_rate/100+om_capacity_escal/100)^AH$2),0)</f>
        <v>0</v>
      </c>
      <c r="AJ38" s="151">
        <f>IF(AJ$2&lt;=analysis_period,IF(om_capacity="n/a",Inputs!AK176,om_capacity*(1+inflation_rate/100+om_capacity_escal/100)^AI$2),0)</f>
        <v>0</v>
      </c>
      <c r="AK38" s="151">
        <f>IF(AK$2&lt;=analysis_period,IF(om_capacity="n/a",Inputs!AL176,om_capacity*(1+inflation_rate/100+om_capacity_escal/100)^AJ$2),0)</f>
        <v>0</v>
      </c>
      <c r="AL38" s="151">
        <f>IF(AL$2&lt;=analysis_period,IF(om_capacity="n/a",Inputs!AM176,om_capacity*(1+inflation_rate/100+om_capacity_escal/100)^AK$2),0)</f>
        <v>0</v>
      </c>
      <c r="AM38" s="151">
        <f>IF(AM$2&lt;=analysis_period,IF(om_capacity="n/a",Inputs!AN176,om_capacity*(1+inflation_rate/100+om_capacity_escal/100)^AL$2),0)</f>
        <v>0</v>
      </c>
      <c r="AN38" s="151">
        <f>IF(AN$2&lt;=analysis_period,IF(om_capacity="n/a",Inputs!AO176,om_capacity*(1+inflation_rate/100+om_capacity_escal/100)^AM$2),0)</f>
        <v>0</v>
      </c>
      <c r="AO38" s="151">
        <f>IF(AO$2&lt;=analysis_period,IF(om_capacity="n/a",Inputs!AP176,om_capacity*(1+inflation_rate/100+om_capacity_escal/100)^AN$2),0)</f>
        <v>0</v>
      </c>
      <c r="AP38" s="151">
        <f>IF(AP$2&lt;=analysis_period,IF(om_capacity="n/a",Inputs!AQ176,om_capacity*(1+inflation_rate/100+om_capacity_escal/100)^AO$2),0)</f>
        <v>0</v>
      </c>
    </row>
    <row r="39" spans="1:42" x14ac:dyDescent="0.2">
      <c r="A39" s="89" t="s">
        <v>121</v>
      </c>
      <c r="C39" s="119">
        <f>C37*C38</f>
        <v>1500000</v>
      </c>
      <c r="D39" s="119">
        <f t="shared" ref="D39:AP39" si="12">D37*D38</f>
        <v>1537499.9999999998</v>
      </c>
      <c r="E39" s="119">
        <f t="shared" si="12"/>
        <v>1575937.4999999998</v>
      </c>
      <c r="F39" s="119">
        <f t="shared" si="12"/>
        <v>1615335.9374999998</v>
      </c>
      <c r="G39" s="119">
        <f t="shared" si="12"/>
        <v>1655719.3359374995</v>
      </c>
      <c r="H39" s="119">
        <f t="shared" si="12"/>
        <v>1697112.3193359368</v>
      </c>
      <c r="I39" s="119">
        <f t="shared" si="12"/>
        <v>1739540.1273193355</v>
      </c>
      <c r="J39" s="119">
        <f t="shared" si="12"/>
        <v>1783028.6305023187</v>
      </c>
      <c r="K39" s="119">
        <f t="shared" si="12"/>
        <v>1827604.3462648764</v>
      </c>
      <c r="L39" s="119">
        <f t="shared" si="12"/>
        <v>1873294.4549214982</v>
      </c>
      <c r="M39" s="119">
        <f t="shared" si="12"/>
        <v>1920126.8162945358</v>
      </c>
      <c r="N39" s="119">
        <f t="shared" si="12"/>
        <v>1968129.986701899</v>
      </c>
      <c r="O39" s="119">
        <f t="shared" si="12"/>
        <v>2017333.2363694464</v>
      </c>
      <c r="P39" s="119">
        <f t="shared" si="12"/>
        <v>2067766.5672786823</v>
      </c>
      <c r="Q39" s="119">
        <f t="shared" si="12"/>
        <v>2119460.7314606495</v>
      </c>
      <c r="R39" s="119">
        <f t="shared" si="12"/>
        <v>2172447.2497471659</v>
      </c>
      <c r="S39" s="119">
        <f t="shared" si="12"/>
        <v>2226758.4309908445</v>
      </c>
      <c r="T39" s="119">
        <f t="shared" si="12"/>
        <v>2282427.3917656154</v>
      </c>
      <c r="U39" s="119">
        <f t="shared" si="12"/>
        <v>2339488.076559756</v>
      </c>
      <c r="V39" s="119">
        <f t="shared" si="12"/>
        <v>2397975.2784737498</v>
      </c>
      <c r="W39" s="119">
        <f t="shared" si="12"/>
        <v>2457924.6604355932</v>
      </c>
      <c r="X39" s="119">
        <f t="shared" si="12"/>
        <v>2519372.7769464827</v>
      </c>
      <c r="Y39" s="119">
        <f t="shared" si="12"/>
        <v>2582357.0963701447</v>
      </c>
      <c r="Z39" s="119">
        <f t="shared" si="12"/>
        <v>2646916.0237793988</v>
      </c>
      <c r="AA39" s="119">
        <f t="shared" si="12"/>
        <v>2713088.9243738833</v>
      </c>
      <c r="AB39" s="119">
        <f t="shared" si="12"/>
        <v>0</v>
      </c>
      <c r="AC39" s="119">
        <f t="shared" si="12"/>
        <v>0</v>
      </c>
      <c r="AD39" s="119">
        <f t="shared" si="12"/>
        <v>0</v>
      </c>
      <c r="AE39" s="119">
        <f t="shared" si="12"/>
        <v>0</v>
      </c>
      <c r="AF39" s="119">
        <f t="shared" si="12"/>
        <v>0</v>
      </c>
      <c r="AG39" s="119">
        <f t="shared" si="12"/>
        <v>0</v>
      </c>
      <c r="AH39" s="119">
        <f t="shared" si="12"/>
        <v>0</v>
      </c>
      <c r="AI39" s="119">
        <f t="shared" si="12"/>
        <v>0</v>
      </c>
      <c r="AJ39" s="119">
        <f t="shared" si="12"/>
        <v>0</v>
      </c>
      <c r="AK39" s="119">
        <f t="shared" si="12"/>
        <v>0</v>
      </c>
      <c r="AL39" s="119">
        <f t="shared" si="12"/>
        <v>0</v>
      </c>
      <c r="AM39" s="119">
        <f t="shared" si="12"/>
        <v>0</v>
      </c>
      <c r="AN39" s="119">
        <f t="shared" si="12"/>
        <v>0</v>
      </c>
      <c r="AO39" s="119">
        <f t="shared" si="12"/>
        <v>0</v>
      </c>
      <c r="AP39" s="119">
        <f t="shared" si="12"/>
        <v>0</v>
      </c>
    </row>
    <row r="40" spans="1:42" x14ac:dyDescent="0.2">
      <c r="A40" s="88" t="s">
        <v>233</v>
      </c>
    </row>
    <row r="41" spans="1:42" x14ac:dyDescent="0.2">
      <c r="A41" s="89" t="s">
        <v>14</v>
      </c>
      <c r="C41" s="119">
        <f>IF(C$8&gt;0,C$8,C$5)/1000</f>
        <v>211907</v>
      </c>
      <c r="D41" s="119">
        <f t="shared" ref="D41:AP41" si="13">IF(D$8&gt;0,D$8,D$5)/1000</f>
        <v>210848</v>
      </c>
      <c r="E41" s="119">
        <f t="shared" si="13"/>
        <v>209794</v>
      </c>
      <c r="F41" s="119">
        <f t="shared" si="13"/>
        <v>208745</v>
      </c>
      <c r="G41" s="119">
        <f t="shared" si="13"/>
        <v>207701</v>
      </c>
      <c r="H41" s="119">
        <f t="shared" si="13"/>
        <v>206662</v>
      </c>
      <c r="I41" s="119">
        <f t="shared" si="13"/>
        <v>205629</v>
      </c>
      <c r="J41" s="119">
        <f t="shared" si="13"/>
        <v>204601</v>
      </c>
      <c r="K41" s="119">
        <f t="shared" si="13"/>
        <v>203578</v>
      </c>
      <c r="L41" s="119">
        <f t="shared" si="13"/>
        <v>202560</v>
      </c>
      <c r="M41" s="119">
        <f t="shared" si="13"/>
        <v>201547</v>
      </c>
      <c r="N41" s="119">
        <f t="shared" si="13"/>
        <v>200540</v>
      </c>
      <c r="O41" s="119">
        <f t="shared" si="13"/>
        <v>199537</v>
      </c>
      <c r="P41" s="119">
        <f t="shared" si="13"/>
        <v>198539</v>
      </c>
      <c r="Q41" s="119">
        <f t="shared" si="13"/>
        <v>197547</v>
      </c>
      <c r="R41" s="119">
        <f t="shared" si="13"/>
        <v>196559</v>
      </c>
      <c r="S41" s="119">
        <f t="shared" si="13"/>
        <v>195576</v>
      </c>
      <c r="T41" s="119">
        <f t="shared" si="13"/>
        <v>194598</v>
      </c>
      <c r="U41" s="119">
        <f t="shared" si="13"/>
        <v>193625</v>
      </c>
      <c r="V41" s="119">
        <f t="shared" si="13"/>
        <v>192657</v>
      </c>
      <c r="W41" s="119">
        <f t="shared" si="13"/>
        <v>191694</v>
      </c>
      <c r="X41" s="119">
        <f t="shared" si="13"/>
        <v>190735</v>
      </c>
      <c r="Y41" s="119">
        <f t="shared" si="13"/>
        <v>189782</v>
      </c>
      <c r="Z41" s="119">
        <f t="shared" si="13"/>
        <v>188833</v>
      </c>
      <c r="AA41" s="119">
        <f t="shared" si="13"/>
        <v>187888</v>
      </c>
      <c r="AB41" s="119">
        <f t="shared" si="13"/>
        <v>0</v>
      </c>
      <c r="AC41" s="119">
        <f t="shared" si="13"/>
        <v>0</v>
      </c>
      <c r="AD41" s="119">
        <f t="shared" si="13"/>
        <v>0</v>
      </c>
      <c r="AE41" s="119">
        <f t="shared" si="13"/>
        <v>0</v>
      </c>
      <c r="AF41" s="119">
        <f t="shared" si="13"/>
        <v>0</v>
      </c>
      <c r="AG41" s="119">
        <f t="shared" si="13"/>
        <v>0</v>
      </c>
      <c r="AH41" s="119">
        <f t="shared" si="13"/>
        <v>0</v>
      </c>
      <c r="AI41" s="119">
        <f t="shared" si="13"/>
        <v>0</v>
      </c>
      <c r="AJ41" s="119">
        <f t="shared" si="13"/>
        <v>0</v>
      </c>
      <c r="AK41" s="119">
        <f t="shared" si="13"/>
        <v>0</v>
      </c>
      <c r="AL41" s="119">
        <f t="shared" si="13"/>
        <v>0</v>
      </c>
      <c r="AM41" s="119">
        <f t="shared" si="13"/>
        <v>0</v>
      </c>
      <c r="AN41" s="119">
        <f t="shared" si="13"/>
        <v>0</v>
      </c>
      <c r="AO41" s="119">
        <f t="shared" si="13"/>
        <v>0</v>
      </c>
      <c r="AP41" s="119">
        <f t="shared" si="13"/>
        <v>0</v>
      </c>
    </row>
    <row r="42" spans="1:42" x14ac:dyDescent="0.2">
      <c r="A42" s="89" t="s">
        <v>15</v>
      </c>
      <c r="C42" s="151">
        <f>IF(C$2&lt;=analysis_period,IF(om_production="n/a",Inputs!D177,om_production*(1+inflation_rate/100+om_production_escal/100)^B$2),0)</f>
        <v>0</v>
      </c>
      <c r="D42" s="151">
        <f>IF(D$2&lt;=analysis_period,IF(om_production="n/a",Inputs!E177,om_production*(1+inflation_rate/100+om_production_escal/100)^C$2),0)</f>
        <v>0</v>
      </c>
      <c r="E42" s="151">
        <f>IF(E$2&lt;=analysis_period,IF(om_production="n/a",Inputs!F177,om_production*(1+inflation_rate/100+om_production_escal/100)^D$2),0)</f>
        <v>0</v>
      </c>
      <c r="F42" s="151">
        <f>IF(F$2&lt;=analysis_period,IF(om_production="n/a",Inputs!G177,om_production*(1+inflation_rate/100+om_production_escal/100)^E$2),0)</f>
        <v>0</v>
      </c>
      <c r="G42" s="151">
        <f>IF(G$2&lt;=analysis_period,IF(om_production="n/a",Inputs!H177,om_production*(1+inflation_rate/100+om_production_escal/100)^F$2),0)</f>
        <v>0</v>
      </c>
      <c r="H42" s="151">
        <f>IF(H$2&lt;=analysis_period,IF(om_production="n/a",Inputs!I177,om_production*(1+inflation_rate/100+om_production_escal/100)^G$2),0)</f>
        <v>0</v>
      </c>
      <c r="I42" s="151">
        <f>IF(I$2&lt;=analysis_period,IF(om_production="n/a",Inputs!J177,om_production*(1+inflation_rate/100+om_production_escal/100)^H$2),0)</f>
        <v>0</v>
      </c>
      <c r="J42" s="151">
        <f>IF(J$2&lt;=analysis_period,IF(om_production="n/a",Inputs!K177,om_production*(1+inflation_rate/100+om_production_escal/100)^I$2),0)</f>
        <v>0</v>
      </c>
      <c r="K42" s="151">
        <f>IF(K$2&lt;=analysis_period,IF(om_production="n/a",Inputs!L177,om_production*(1+inflation_rate/100+om_production_escal/100)^J$2),0)</f>
        <v>0</v>
      </c>
      <c r="L42" s="151">
        <f>IF(L$2&lt;=analysis_period,IF(om_production="n/a",Inputs!M177,om_production*(1+inflation_rate/100+om_production_escal/100)^K$2),0)</f>
        <v>0</v>
      </c>
      <c r="M42" s="151">
        <f>IF(M$2&lt;=analysis_period,IF(om_production="n/a",Inputs!N177,om_production*(1+inflation_rate/100+om_production_escal/100)^L$2),0)</f>
        <v>0</v>
      </c>
      <c r="N42" s="151">
        <f>IF(N$2&lt;=analysis_period,IF(om_production="n/a",Inputs!O177,om_production*(1+inflation_rate/100+om_production_escal/100)^M$2),0)</f>
        <v>0</v>
      </c>
      <c r="O42" s="151">
        <f>IF(O$2&lt;=analysis_period,IF(om_production="n/a",Inputs!P177,om_production*(1+inflation_rate/100+om_production_escal/100)^N$2),0)</f>
        <v>0</v>
      </c>
      <c r="P42" s="151">
        <f>IF(P$2&lt;=analysis_period,IF(om_production="n/a",Inputs!Q177,om_production*(1+inflation_rate/100+om_production_escal/100)^O$2),0)</f>
        <v>0</v>
      </c>
      <c r="Q42" s="151">
        <f>IF(Q$2&lt;=analysis_period,IF(om_production="n/a",Inputs!R177,om_production*(1+inflation_rate/100+om_production_escal/100)^P$2),0)</f>
        <v>0</v>
      </c>
      <c r="R42" s="151">
        <f>IF(R$2&lt;=analysis_period,IF(om_production="n/a",Inputs!S177,om_production*(1+inflation_rate/100+om_production_escal/100)^Q$2),0)</f>
        <v>0</v>
      </c>
      <c r="S42" s="151">
        <f>IF(S$2&lt;=analysis_period,IF(om_production="n/a",Inputs!T177,om_production*(1+inflation_rate/100+om_production_escal/100)^R$2),0)</f>
        <v>0</v>
      </c>
      <c r="T42" s="151">
        <f>IF(T$2&lt;=analysis_period,IF(om_production="n/a",Inputs!U177,om_production*(1+inflation_rate/100+om_production_escal/100)^S$2),0)</f>
        <v>0</v>
      </c>
      <c r="U42" s="151">
        <f>IF(U$2&lt;=analysis_period,IF(om_production="n/a",Inputs!V177,om_production*(1+inflation_rate/100+om_production_escal/100)^T$2),0)</f>
        <v>0</v>
      </c>
      <c r="V42" s="151">
        <f>IF(V$2&lt;=analysis_period,IF(om_production="n/a",Inputs!W177,om_production*(1+inflation_rate/100+om_production_escal/100)^U$2),0)</f>
        <v>0</v>
      </c>
      <c r="W42" s="151">
        <f>IF(W$2&lt;=analysis_period,IF(om_production="n/a",Inputs!X177,om_production*(1+inflation_rate/100+om_production_escal/100)^V$2),0)</f>
        <v>0</v>
      </c>
      <c r="X42" s="151">
        <f>IF(X$2&lt;=analysis_period,IF(om_production="n/a",Inputs!Y177,om_production*(1+inflation_rate/100+om_production_escal/100)^W$2),0)</f>
        <v>0</v>
      </c>
      <c r="Y42" s="151">
        <f>IF(Y$2&lt;=analysis_period,IF(om_production="n/a",Inputs!Z177,om_production*(1+inflation_rate/100+om_production_escal/100)^X$2),0)</f>
        <v>0</v>
      </c>
      <c r="Z42" s="151">
        <f>IF(Z$2&lt;=analysis_period,IF(om_production="n/a",Inputs!AA177,om_production*(1+inflation_rate/100+om_production_escal/100)^Y$2),0)</f>
        <v>0</v>
      </c>
      <c r="AA42" s="151">
        <f>IF(AA$2&lt;=analysis_period,IF(om_production="n/a",Inputs!AB177,om_production*(1+inflation_rate/100+om_production_escal/100)^Z$2),0)</f>
        <v>0</v>
      </c>
      <c r="AB42" s="151">
        <f>IF(AB$2&lt;=analysis_period,IF(om_production="n/a",Inputs!AC177,om_production*(1+inflation_rate/100+om_production_escal/100)^AA$2),0)</f>
        <v>0</v>
      </c>
      <c r="AC42" s="151">
        <f>IF(AC$2&lt;=analysis_period,IF(om_production="n/a",Inputs!AD177,om_production*(1+inflation_rate/100+om_production_escal/100)^AB$2),0)</f>
        <v>0</v>
      </c>
      <c r="AD42" s="151">
        <f>IF(AD$2&lt;=analysis_period,IF(om_production="n/a",Inputs!AE177,om_production*(1+inflation_rate/100+om_production_escal/100)^AC$2),0)</f>
        <v>0</v>
      </c>
      <c r="AE42" s="151">
        <f>IF(AE$2&lt;=analysis_period,IF(om_production="n/a",Inputs!AF177,om_production*(1+inflation_rate/100+om_production_escal/100)^AD$2),0)</f>
        <v>0</v>
      </c>
      <c r="AF42" s="151">
        <f>IF(AF$2&lt;=analysis_period,IF(om_production="n/a",Inputs!AG177,om_production*(1+inflation_rate/100+om_production_escal/100)^AE$2),0)</f>
        <v>0</v>
      </c>
      <c r="AG42" s="151">
        <f>IF(AG$2&lt;=analysis_period,IF(om_production="n/a",Inputs!AH177,om_production*(1+inflation_rate/100+om_production_escal/100)^AF$2),0)</f>
        <v>0</v>
      </c>
      <c r="AH42" s="151">
        <f>IF(AH$2&lt;=analysis_period,IF(om_production="n/a",Inputs!AI177,om_production*(1+inflation_rate/100+om_production_escal/100)^AG$2),0)</f>
        <v>0</v>
      </c>
      <c r="AI42" s="151">
        <f>IF(AI$2&lt;=analysis_period,IF(om_production="n/a",Inputs!AJ177,om_production*(1+inflation_rate/100+om_production_escal/100)^AH$2),0)</f>
        <v>0</v>
      </c>
      <c r="AJ42" s="151">
        <f>IF(AJ$2&lt;=analysis_period,IF(om_production="n/a",Inputs!AK177,om_production*(1+inflation_rate/100+om_production_escal/100)^AI$2),0)</f>
        <v>0</v>
      </c>
      <c r="AK42" s="151">
        <f>IF(AK$2&lt;=analysis_period,IF(om_production="n/a",Inputs!AL177,om_production*(1+inflation_rate/100+om_production_escal/100)^AJ$2),0)</f>
        <v>0</v>
      </c>
      <c r="AL42" s="151">
        <f>IF(AL$2&lt;=analysis_period,IF(om_production="n/a",Inputs!AM177,om_production*(1+inflation_rate/100+om_production_escal/100)^AK$2),0)</f>
        <v>0</v>
      </c>
      <c r="AM42" s="151">
        <f>IF(AM$2&lt;=analysis_period,IF(om_production="n/a",Inputs!AN177,om_production*(1+inflation_rate/100+om_production_escal/100)^AL$2),0)</f>
        <v>0</v>
      </c>
      <c r="AN42" s="151">
        <f>IF(AN$2&lt;=analysis_period,IF(om_production="n/a",Inputs!AO177,om_production*(1+inflation_rate/100+om_production_escal/100)^AM$2),0)</f>
        <v>0</v>
      </c>
      <c r="AO42" s="151">
        <f>IF(AO$2&lt;=analysis_period,IF(om_production="n/a",Inputs!AP177,om_production*(1+inflation_rate/100+om_production_escal/100)^AN$2),0)</f>
        <v>0</v>
      </c>
      <c r="AP42" s="151">
        <f>IF(AP$2&lt;=analysis_period,IF(om_production="n/a",Inputs!AQ177,om_production*(1+inflation_rate/100+om_production_escal/100)^AO$2),0)</f>
        <v>0</v>
      </c>
    </row>
    <row r="43" spans="1:42" x14ac:dyDescent="0.2">
      <c r="A43" s="89" t="s">
        <v>120</v>
      </c>
      <c r="C43" s="154">
        <f>C41*C42</f>
        <v>0</v>
      </c>
      <c r="D43" s="154">
        <f t="shared" ref="D43:AP43" si="14">D41*D42</f>
        <v>0</v>
      </c>
      <c r="E43" s="154">
        <f t="shared" si="14"/>
        <v>0</v>
      </c>
      <c r="F43" s="154">
        <f t="shared" si="14"/>
        <v>0</v>
      </c>
      <c r="G43" s="154">
        <f t="shared" si="14"/>
        <v>0</v>
      </c>
      <c r="H43" s="154">
        <f t="shared" si="14"/>
        <v>0</v>
      </c>
      <c r="I43" s="154">
        <f t="shared" si="14"/>
        <v>0</v>
      </c>
      <c r="J43" s="154">
        <f t="shared" si="14"/>
        <v>0</v>
      </c>
      <c r="K43" s="154">
        <f t="shared" si="14"/>
        <v>0</v>
      </c>
      <c r="L43" s="154">
        <f t="shared" si="14"/>
        <v>0</v>
      </c>
      <c r="M43" s="154">
        <f t="shared" si="14"/>
        <v>0</v>
      </c>
      <c r="N43" s="154">
        <f t="shared" si="14"/>
        <v>0</v>
      </c>
      <c r="O43" s="154">
        <f t="shared" si="14"/>
        <v>0</v>
      </c>
      <c r="P43" s="154">
        <f t="shared" si="14"/>
        <v>0</v>
      </c>
      <c r="Q43" s="154">
        <f t="shared" si="14"/>
        <v>0</v>
      </c>
      <c r="R43" s="154">
        <f t="shared" si="14"/>
        <v>0</v>
      </c>
      <c r="S43" s="154">
        <f t="shared" si="14"/>
        <v>0</v>
      </c>
      <c r="T43" s="154">
        <f t="shared" si="14"/>
        <v>0</v>
      </c>
      <c r="U43" s="154">
        <f t="shared" si="14"/>
        <v>0</v>
      </c>
      <c r="V43" s="154">
        <f t="shared" si="14"/>
        <v>0</v>
      </c>
      <c r="W43" s="154">
        <f t="shared" si="14"/>
        <v>0</v>
      </c>
      <c r="X43" s="154">
        <f t="shared" si="14"/>
        <v>0</v>
      </c>
      <c r="Y43" s="154">
        <f t="shared" si="14"/>
        <v>0</v>
      </c>
      <c r="Z43" s="154">
        <f t="shared" si="14"/>
        <v>0</v>
      </c>
      <c r="AA43" s="154">
        <f t="shared" si="14"/>
        <v>0</v>
      </c>
      <c r="AB43" s="154">
        <f t="shared" si="14"/>
        <v>0</v>
      </c>
      <c r="AC43" s="154">
        <f t="shared" si="14"/>
        <v>0</v>
      </c>
      <c r="AD43" s="154">
        <f t="shared" si="14"/>
        <v>0</v>
      </c>
      <c r="AE43" s="154">
        <f t="shared" si="14"/>
        <v>0</v>
      </c>
      <c r="AF43" s="154">
        <f t="shared" si="14"/>
        <v>0</v>
      </c>
      <c r="AG43" s="154">
        <f t="shared" si="14"/>
        <v>0</v>
      </c>
      <c r="AH43" s="154">
        <f t="shared" si="14"/>
        <v>0</v>
      </c>
      <c r="AI43" s="154">
        <f t="shared" si="14"/>
        <v>0</v>
      </c>
      <c r="AJ43" s="154">
        <f t="shared" si="14"/>
        <v>0</v>
      </c>
      <c r="AK43" s="154">
        <f t="shared" si="14"/>
        <v>0</v>
      </c>
      <c r="AL43" s="154">
        <f t="shared" si="14"/>
        <v>0</v>
      </c>
      <c r="AM43" s="154">
        <f t="shared" si="14"/>
        <v>0</v>
      </c>
      <c r="AN43" s="154">
        <f t="shared" si="14"/>
        <v>0</v>
      </c>
      <c r="AO43" s="154">
        <f t="shared" si="14"/>
        <v>0</v>
      </c>
      <c r="AP43" s="154">
        <f t="shared" si="14"/>
        <v>0</v>
      </c>
    </row>
    <row r="44" spans="1:42" x14ac:dyDescent="0.2">
      <c r="A44" s="88" t="s">
        <v>319</v>
      </c>
      <c r="C44" s="119">
        <f t="array" ref="C44:AP44">Inputs!D197:AQ197</f>
        <v>0</v>
      </c>
      <c r="D44" s="119">
        <v>0</v>
      </c>
      <c r="E44" s="119">
        <v>0</v>
      </c>
      <c r="F44" s="119">
        <v>0</v>
      </c>
      <c r="G44" s="119">
        <v>0</v>
      </c>
      <c r="H44" s="119">
        <v>0</v>
      </c>
      <c r="I44" s="119">
        <v>0</v>
      </c>
      <c r="J44" s="119">
        <v>0</v>
      </c>
      <c r="K44" s="119">
        <v>0</v>
      </c>
      <c r="L44" s="119">
        <v>0</v>
      </c>
      <c r="M44" s="119">
        <v>0</v>
      </c>
      <c r="N44" s="119">
        <v>0</v>
      </c>
      <c r="O44" s="119">
        <v>0</v>
      </c>
      <c r="P44" s="119">
        <v>0</v>
      </c>
      <c r="Q44" s="119">
        <v>0</v>
      </c>
      <c r="R44" s="119">
        <v>0</v>
      </c>
      <c r="S44" s="119">
        <v>0</v>
      </c>
      <c r="T44" s="119">
        <v>0</v>
      </c>
      <c r="U44" s="119">
        <v>0</v>
      </c>
      <c r="V44" s="119">
        <v>0</v>
      </c>
      <c r="W44" s="119">
        <v>0</v>
      </c>
      <c r="X44" s="119">
        <v>0</v>
      </c>
      <c r="Y44" s="119">
        <v>0</v>
      </c>
      <c r="Z44" s="119">
        <v>0</v>
      </c>
      <c r="AA44" s="119">
        <v>0</v>
      </c>
      <c r="AB44" s="119">
        <v>0</v>
      </c>
      <c r="AC44" s="119">
        <v>0</v>
      </c>
      <c r="AD44" s="119">
        <v>0</v>
      </c>
      <c r="AE44" s="119">
        <v>0</v>
      </c>
      <c r="AF44" s="119">
        <v>0</v>
      </c>
      <c r="AG44" s="119">
        <v>0</v>
      </c>
      <c r="AH44" s="119">
        <v>0</v>
      </c>
      <c r="AI44" s="119">
        <v>0</v>
      </c>
      <c r="AJ44" s="119">
        <v>0</v>
      </c>
      <c r="AK44" s="119">
        <v>0</v>
      </c>
      <c r="AL44" s="119">
        <v>0</v>
      </c>
      <c r="AM44" s="119">
        <v>0</v>
      </c>
      <c r="AN44" s="119">
        <v>0</v>
      </c>
      <c r="AO44" s="119">
        <v>0</v>
      </c>
      <c r="AP44" s="119">
        <v>0</v>
      </c>
    </row>
    <row r="45" spans="1:42" x14ac:dyDescent="0.2">
      <c r="A45" s="88" t="s">
        <v>411</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row>
    <row r="46" spans="1:42" x14ac:dyDescent="0.2">
      <c r="A46" s="22" t="s">
        <v>412</v>
      </c>
      <c r="B46" s="4">
        <f t="array" ref="B46:AP49">Inputs!C199:AQ202</f>
        <v>0</v>
      </c>
      <c r="C46" s="119">
        <v>0</v>
      </c>
      <c r="D46" s="119">
        <v>0</v>
      </c>
      <c r="E46" s="119">
        <v>0</v>
      </c>
      <c r="F46" s="119">
        <v>0</v>
      </c>
      <c r="G46" s="119">
        <v>0</v>
      </c>
      <c r="H46" s="119">
        <v>0</v>
      </c>
      <c r="I46" s="119">
        <v>0</v>
      </c>
      <c r="J46" s="119">
        <v>0</v>
      </c>
      <c r="K46" s="119">
        <v>0</v>
      </c>
      <c r="L46" s="119">
        <v>0</v>
      </c>
      <c r="M46" s="119">
        <v>0</v>
      </c>
      <c r="N46" s="119">
        <v>0</v>
      </c>
      <c r="O46" s="119">
        <v>0</v>
      </c>
      <c r="P46" s="119">
        <v>0</v>
      </c>
      <c r="Q46" s="119">
        <v>0</v>
      </c>
      <c r="R46" s="119">
        <v>0</v>
      </c>
      <c r="S46" s="119">
        <v>0</v>
      </c>
      <c r="T46" s="119">
        <v>0</v>
      </c>
      <c r="U46" s="119">
        <v>0</v>
      </c>
      <c r="V46" s="119">
        <v>0</v>
      </c>
      <c r="W46" s="119">
        <v>0</v>
      </c>
      <c r="X46" s="119">
        <v>0</v>
      </c>
      <c r="Y46" s="119">
        <v>0</v>
      </c>
      <c r="Z46" s="119">
        <v>0</v>
      </c>
      <c r="AA46" s="119">
        <v>0</v>
      </c>
      <c r="AB46" s="119">
        <v>0</v>
      </c>
      <c r="AC46" s="119">
        <v>0</v>
      </c>
      <c r="AD46" s="119">
        <v>0</v>
      </c>
      <c r="AE46" s="119">
        <v>0</v>
      </c>
      <c r="AF46" s="119">
        <v>0</v>
      </c>
      <c r="AG46" s="119">
        <v>0</v>
      </c>
      <c r="AH46" s="119">
        <v>0</v>
      </c>
      <c r="AI46" s="119">
        <v>0</v>
      </c>
      <c r="AJ46" s="119">
        <v>0</v>
      </c>
      <c r="AK46" s="119">
        <v>0</v>
      </c>
      <c r="AL46" s="119">
        <v>0</v>
      </c>
      <c r="AM46" s="119">
        <v>0</v>
      </c>
      <c r="AN46" s="119">
        <v>0</v>
      </c>
      <c r="AO46" s="119">
        <v>0</v>
      </c>
      <c r="AP46" s="119">
        <v>0</v>
      </c>
    </row>
    <row r="47" spans="1:42" x14ac:dyDescent="0.2">
      <c r="A47" s="22" t="s">
        <v>413</v>
      </c>
      <c r="B47" s="4">
        <v>0</v>
      </c>
      <c r="C47" s="119">
        <v>0</v>
      </c>
      <c r="D47" s="119">
        <v>0</v>
      </c>
      <c r="E47" s="119">
        <v>0</v>
      </c>
      <c r="F47" s="119">
        <v>0</v>
      </c>
      <c r="G47" s="119">
        <v>0</v>
      </c>
      <c r="H47" s="119">
        <v>0</v>
      </c>
      <c r="I47" s="119">
        <v>0</v>
      </c>
      <c r="J47" s="119">
        <v>0</v>
      </c>
      <c r="K47" s="119">
        <v>0</v>
      </c>
      <c r="L47" s="119">
        <v>0</v>
      </c>
      <c r="M47" s="119">
        <v>0</v>
      </c>
      <c r="N47" s="119">
        <v>0</v>
      </c>
      <c r="O47" s="119">
        <v>0</v>
      </c>
      <c r="P47" s="119">
        <v>0</v>
      </c>
      <c r="Q47" s="119">
        <v>0</v>
      </c>
      <c r="R47" s="119">
        <v>0</v>
      </c>
      <c r="S47" s="119">
        <v>0</v>
      </c>
      <c r="T47" s="119">
        <v>0</v>
      </c>
      <c r="U47" s="119">
        <v>0</v>
      </c>
      <c r="V47" s="119">
        <v>0</v>
      </c>
      <c r="W47" s="119">
        <v>0</v>
      </c>
      <c r="X47" s="119">
        <v>0</v>
      </c>
      <c r="Y47" s="119">
        <v>0</v>
      </c>
      <c r="Z47" s="119">
        <v>0</v>
      </c>
      <c r="AA47" s="119">
        <v>0</v>
      </c>
      <c r="AB47" s="119">
        <v>0</v>
      </c>
      <c r="AC47" s="119">
        <v>0</v>
      </c>
      <c r="AD47" s="119">
        <v>0</v>
      </c>
      <c r="AE47" s="119">
        <v>0</v>
      </c>
      <c r="AF47" s="119">
        <v>0</v>
      </c>
      <c r="AG47" s="119">
        <v>0</v>
      </c>
      <c r="AH47" s="119">
        <v>0</v>
      </c>
      <c r="AI47" s="119">
        <v>0</v>
      </c>
      <c r="AJ47" s="119">
        <v>0</v>
      </c>
      <c r="AK47" s="119">
        <v>0</v>
      </c>
      <c r="AL47" s="119">
        <v>0</v>
      </c>
      <c r="AM47" s="119">
        <v>0</v>
      </c>
      <c r="AN47" s="119">
        <v>0</v>
      </c>
      <c r="AO47" s="119">
        <v>0</v>
      </c>
      <c r="AP47" s="119">
        <v>0</v>
      </c>
    </row>
    <row r="48" spans="1:42" x14ac:dyDescent="0.2">
      <c r="A48" s="22" t="s">
        <v>414</v>
      </c>
      <c r="B48" s="4">
        <v>0</v>
      </c>
      <c r="C48" s="119">
        <v>0</v>
      </c>
      <c r="D48" s="119">
        <v>0</v>
      </c>
      <c r="E48" s="119">
        <v>0</v>
      </c>
      <c r="F48" s="119">
        <v>0</v>
      </c>
      <c r="G48" s="119">
        <v>0</v>
      </c>
      <c r="H48" s="119">
        <v>0</v>
      </c>
      <c r="I48" s="119">
        <v>0</v>
      </c>
      <c r="J48" s="119">
        <v>0</v>
      </c>
      <c r="K48" s="119">
        <v>0</v>
      </c>
      <c r="L48" s="119">
        <v>0</v>
      </c>
      <c r="M48" s="119">
        <v>0</v>
      </c>
      <c r="N48" s="119">
        <v>0</v>
      </c>
      <c r="O48" s="119">
        <v>0</v>
      </c>
      <c r="P48" s="119">
        <v>0</v>
      </c>
      <c r="Q48" s="119">
        <v>0</v>
      </c>
      <c r="R48" s="119">
        <v>0</v>
      </c>
      <c r="S48" s="119">
        <v>0</v>
      </c>
      <c r="T48" s="119">
        <v>0</v>
      </c>
      <c r="U48" s="119">
        <v>0</v>
      </c>
      <c r="V48" s="119">
        <v>0</v>
      </c>
      <c r="W48" s="119">
        <v>0</v>
      </c>
      <c r="X48" s="119">
        <v>0</v>
      </c>
      <c r="Y48" s="119">
        <v>0</v>
      </c>
      <c r="Z48" s="119">
        <v>0</v>
      </c>
      <c r="AA48" s="119">
        <v>0</v>
      </c>
      <c r="AB48" s="119">
        <v>0</v>
      </c>
      <c r="AC48" s="119">
        <v>0</v>
      </c>
      <c r="AD48" s="119">
        <v>0</v>
      </c>
      <c r="AE48" s="119">
        <v>0</v>
      </c>
      <c r="AF48" s="119">
        <v>0</v>
      </c>
      <c r="AG48" s="119">
        <v>0</v>
      </c>
      <c r="AH48" s="119">
        <v>0</v>
      </c>
      <c r="AI48" s="119">
        <v>0</v>
      </c>
      <c r="AJ48" s="119">
        <v>0</v>
      </c>
      <c r="AK48" s="119">
        <v>0</v>
      </c>
      <c r="AL48" s="119">
        <v>0</v>
      </c>
      <c r="AM48" s="119">
        <v>0</v>
      </c>
      <c r="AN48" s="119">
        <v>0</v>
      </c>
      <c r="AO48" s="119">
        <v>0</v>
      </c>
      <c r="AP48" s="119">
        <v>0</v>
      </c>
    </row>
    <row r="49" spans="1:42" x14ac:dyDescent="0.2">
      <c r="A49" s="22" t="s">
        <v>314</v>
      </c>
      <c r="B49" s="4">
        <v>0</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c r="AD49" s="4">
        <v>0</v>
      </c>
      <c r="AE49" s="4">
        <v>0</v>
      </c>
      <c r="AF49" s="4">
        <v>0</v>
      </c>
      <c r="AG49" s="4">
        <v>0</v>
      </c>
      <c r="AH49" s="4">
        <v>0</v>
      </c>
      <c r="AI49" s="4">
        <v>0</v>
      </c>
      <c r="AJ49" s="4">
        <v>0</v>
      </c>
      <c r="AK49" s="4">
        <v>0</v>
      </c>
      <c r="AL49" s="4">
        <v>0</v>
      </c>
      <c r="AM49" s="4">
        <v>0</v>
      </c>
      <c r="AN49" s="4">
        <v>0</v>
      </c>
      <c r="AO49" s="4">
        <v>0</v>
      </c>
      <c r="AP49" s="4">
        <v>0</v>
      </c>
    </row>
    <row r="50" spans="1:42" x14ac:dyDescent="0.2">
      <c r="A50" s="88" t="s">
        <v>431</v>
      </c>
    </row>
    <row r="51" spans="1:42" x14ac:dyDescent="0.2">
      <c r="A51" s="22" t="s">
        <v>417</v>
      </c>
      <c r="B51" s="4">
        <f t="array" ref="B51:AP55">Inputs!C204:AQ208</f>
        <v>0</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c r="AD51" s="4">
        <v>0</v>
      </c>
      <c r="AE51" s="4">
        <v>0</v>
      </c>
      <c r="AF51" s="4">
        <v>0</v>
      </c>
      <c r="AG51" s="4">
        <v>0</v>
      </c>
      <c r="AH51" s="4">
        <v>0</v>
      </c>
      <c r="AI51" s="4">
        <v>0</v>
      </c>
      <c r="AJ51" s="4">
        <v>0</v>
      </c>
      <c r="AK51" s="4">
        <v>0</v>
      </c>
      <c r="AL51" s="4">
        <v>0</v>
      </c>
      <c r="AM51" s="4">
        <v>0</v>
      </c>
      <c r="AN51" s="4">
        <v>0</v>
      </c>
      <c r="AO51" s="4">
        <v>0</v>
      </c>
      <c r="AP51" s="4">
        <v>0</v>
      </c>
    </row>
    <row r="52" spans="1:42" x14ac:dyDescent="0.2">
      <c r="A52" s="22" t="s">
        <v>418</v>
      </c>
      <c r="B52" s="4">
        <v>0</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c r="AD52" s="4">
        <v>0</v>
      </c>
      <c r="AE52" s="4">
        <v>0</v>
      </c>
      <c r="AF52" s="4">
        <v>0</v>
      </c>
      <c r="AG52" s="4">
        <v>0</v>
      </c>
      <c r="AH52" s="4">
        <v>0</v>
      </c>
      <c r="AI52" s="4">
        <v>0</v>
      </c>
      <c r="AJ52" s="4">
        <v>0</v>
      </c>
      <c r="AK52" s="4">
        <v>0</v>
      </c>
      <c r="AL52" s="4">
        <v>0</v>
      </c>
      <c r="AM52" s="4">
        <v>0</v>
      </c>
      <c r="AN52" s="4">
        <v>0</v>
      </c>
      <c r="AO52" s="4">
        <v>0</v>
      </c>
      <c r="AP52" s="4">
        <v>0</v>
      </c>
    </row>
    <row r="53" spans="1:42" x14ac:dyDescent="0.2">
      <c r="A53" s="22" t="s">
        <v>419</v>
      </c>
      <c r="B53" s="4">
        <v>0</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c r="AD53" s="4">
        <v>0</v>
      </c>
      <c r="AE53" s="4">
        <v>0</v>
      </c>
      <c r="AF53" s="4">
        <v>0</v>
      </c>
      <c r="AG53" s="4">
        <v>0</v>
      </c>
      <c r="AH53" s="4">
        <v>0</v>
      </c>
      <c r="AI53" s="4">
        <v>0</v>
      </c>
      <c r="AJ53" s="4">
        <v>0</v>
      </c>
      <c r="AK53" s="4">
        <v>0</v>
      </c>
      <c r="AL53" s="4">
        <v>0</v>
      </c>
      <c r="AM53" s="4">
        <v>0</v>
      </c>
      <c r="AN53" s="4">
        <v>0</v>
      </c>
      <c r="AO53" s="4">
        <v>0</v>
      </c>
      <c r="AP53" s="4">
        <v>0</v>
      </c>
    </row>
    <row r="54" spans="1:42" x14ac:dyDescent="0.2">
      <c r="A54" s="22" t="s">
        <v>420</v>
      </c>
      <c r="B54" s="4">
        <v>0</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c r="AD54" s="4">
        <v>0</v>
      </c>
      <c r="AE54" s="4">
        <v>0</v>
      </c>
      <c r="AF54" s="4">
        <v>0</v>
      </c>
      <c r="AG54" s="4">
        <v>0</v>
      </c>
      <c r="AH54" s="4">
        <v>0</v>
      </c>
      <c r="AI54" s="4">
        <v>0</v>
      </c>
      <c r="AJ54" s="4">
        <v>0</v>
      </c>
      <c r="AK54" s="4">
        <v>0</v>
      </c>
      <c r="AL54" s="4">
        <v>0</v>
      </c>
      <c r="AM54" s="4">
        <v>0</v>
      </c>
      <c r="AN54" s="4">
        <v>0</v>
      </c>
      <c r="AO54" s="4">
        <v>0</v>
      </c>
      <c r="AP54" s="4">
        <v>0</v>
      </c>
    </row>
    <row r="55" spans="1:42" x14ac:dyDescent="0.2">
      <c r="A55" s="22" t="s">
        <v>421</v>
      </c>
      <c r="B55" s="4">
        <v>0</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c r="AD55" s="4">
        <v>0</v>
      </c>
      <c r="AE55" s="4">
        <v>0</v>
      </c>
      <c r="AF55" s="4">
        <v>0</v>
      </c>
      <c r="AG55" s="4">
        <v>0</v>
      </c>
      <c r="AH55" s="4">
        <v>0</v>
      </c>
      <c r="AI55" s="4">
        <v>0</v>
      </c>
      <c r="AJ55" s="4">
        <v>0</v>
      </c>
      <c r="AK55" s="4">
        <v>0</v>
      </c>
      <c r="AL55" s="4">
        <v>0</v>
      </c>
      <c r="AM55" s="4">
        <v>0</v>
      </c>
      <c r="AN55" s="4">
        <v>0</v>
      </c>
      <c r="AO55" s="4">
        <v>0</v>
      </c>
      <c r="AP55" s="4">
        <v>0</v>
      </c>
    </row>
    <row r="56" spans="1:42" x14ac:dyDescent="0.2">
      <c r="A56" s="88" t="s">
        <v>234</v>
      </c>
      <c r="B56" s="4">
        <f t="array" ref="B56:AP58">Inputs!C210:AQ212</f>
        <v>0</v>
      </c>
      <c r="C56" s="119">
        <v>0</v>
      </c>
      <c r="D56" s="119">
        <v>0</v>
      </c>
      <c r="E56" s="119">
        <v>0</v>
      </c>
      <c r="F56" s="119">
        <v>0</v>
      </c>
      <c r="G56" s="119">
        <v>0</v>
      </c>
      <c r="H56" s="119">
        <v>0</v>
      </c>
      <c r="I56" s="119">
        <v>0</v>
      </c>
      <c r="J56" s="119">
        <v>0</v>
      </c>
      <c r="K56" s="119">
        <v>0</v>
      </c>
      <c r="L56" s="119">
        <v>0</v>
      </c>
      <c r="M56" s="119">
        <v>0</v>
      </c>
      <c r="N56" s="119">
        <v>0</v>
      </c>
      <c r="O56" s="119">
        <v>0</v>
      </c>
      <c r="P56" s="119">
        <v>0</v>
      </c>
      <c r="Q56" s="119">
        <v>0</v>
      </c>
      <c r="R56" s="119">
        <v>0</v>
      </c>
      <c r="S56" s="119">
        <v>0</v>
      </c>
      <c r="T56" s="119">
        <v>0</v>
      </c>
      <c r="U56" s="119">
        <v>0</v>
      </c>
      <c r="V56" s="119">
        <v>0</v>
      </c>
      <c r="W56" s="119">
        <v>0</v>
      </c>
      <c r="X56" s="119">
        <v>0</v>
      </c>
      <c r="Y56" s="119">
        <v>0</v>
      </c>
      <c r="Z56" s="119">
        <v>0</v>
      </c>
      <c r="AA56" s="119">
        <v>0</v>
      </c>
      <c r="AB56" s="119">
        <v>0</v>
      </c>
      <c r="AC56" s="119">
        <v>0</v>
      </c>
      <c r="AD56" s="119">
        <v>0</v>
      </c>
      <c r="AE56" s="119">
        <v>0</v>
      </c>
      <c r="AF56" s="119">
        <v>0</v>
      </c>
      <c r="AG56" s="119">
        <v>0</v>
      </c>
      <c r="AH56" s="119">
        <v>0</v>
      </c>
      <c r="AI56" s="119">
        <v>0</v>
      </c>
      <c r="AJ56" s="119">
        <v>0</v>
      </c>
      <c r="AK56" s="119">
        <v>0</v>
      </c>
      <c r="AL56" s="119">
        <v>0</v>
      </c>
      <c r="AM56" s="119">
        <v>0</v>
      </c>
      <c r="AN56" s="119">
        <v>0</v>
      </c>
      <c r="AO56" s="119">
        <v>0</v>
      </c>
      <c r="AP56" s="119">
        <v>0</v>
      </c>
    </row>
    <row r="57" spans="1:42" x14ac:dyDescent="0.2">
      <c r="A57" s="88" t="s">
        <v>235</v>
      </c>
      <c r="B57" s="4">
        <v>0</v>
      </c>
      <c r="C57" s="119">
        <v>0</v>
      </c>
      <c r="D57" s="119">
        <v>0</v>
      </c>
      <c r="E57" s="119">
        <v>0</v>
      </c>
      <c r="F57" s="119">
        <v>0</v>
      </c>
      <c r="G57" s="119">
        <v>0</v>
      </c>
      <c r="H57" s="119">
        <v>0</v>
      </c>
      <c r="I57" s="119">
        <v>0</v>
      </c>
      <c r="J57" s="119">
        <v>0</v>
      </c>
      <c r="K57" s="119">
        <v>0</v>
      </c>
      <c r="L57" s="119">
        <v>0</v>
      </c>
      <c r="M57" s="119">
        <v>0</v>
      </c>
      <c r="N57" s="119">
        <v>0</v>
      </c>
      <c r="O57" s="119">
        <v>0</v>
      </c>
      <c r="P57" s="119">
        <v>0</v>
      </c>
      <c r="Q57" s="119">
        <v>0</v>
      </c>
      <c r="R57" s="119">
        <v>0</v>
      </c>
      <c r="S57" s="119">
        <v>0</v>
      </c>
      <c r="T57" s="119">
        <v>0</v>
      </c>
      <c r="U57" s="119">
        <v>0</v>
      </c>
      <c r="V57" s="119">
        <v>0</v>
      </c>
      <c r="W57" s="119">
        <v>0</v>
      </c>
      <c r="X57" s="119">
        <v>0</v>
      </c>
      <c r="Y57" s="119">
        <v>0</v>
      </c>
      <c r="Z57" s="119">
        <v>0</v>
      </c>
      <c r="AA57" s="119">
        <v>0</v>
      </c>
      <c r="AB57" s="119">
        <v>0</v>
      </c>
      <c r="AC57" s="119">
        <v>0</v>
      </c>
      <c r="AD57" s="119">
        <v>0</v>
      </c>
      <c r="AE57" s="119">
        <v>0</v>
      </c>
      <c r="AF57" s="119">
        <v>0</v>
      </c>
      <c r="AG57" s="119">
        <v>0</v>
      </c>
      <c r="AH57" s="119">
        <v>0</v>
      </c>
      <c r="AI57" s="119">
        <v>0</v>
      </c>
      <c r="AJ57" s="119">
        <v>0</v>
      </c>
      <c r="AK57" s="119">
        <v>0</v>
      </c>
      <c r="AL57" s="119">
        <v>0</v>
      </c>
      <c r="AM57" s="119">
        <v>0</v>
      </c>
      <c r="AN57" s="119">
        <v>0</v>
      </c>
      <c r="AO57" s="119">
        <v>0</v>
      </c>
      <c r="AP57" s="119">
        <v>0</v>
      </c>
    </row>
    <row r="58" spans="1:42" x14ac:dyDescent="0.2">
      <c r="A58" s="88" t="s">
        <v>236</v>
      </c>
      <c r="B58" s="4">
        <v>0</v>
      </c>
      <c r="C58" s="119">
        <v>0</v>
      </c>
      <c r="D58" s="119">
        <v>0</v>
      </c>
      <c r="E58" s="119">
        <v>0</v>
      </c>
      <c r="F58" s="119">
        <v>0</v>
      </c>
      <c r="G58" s="119">
        <v>0</v>
      </c>
      <c r="H58" s="119">
        <v>0</v>
      </c>
      <c r="I58" s="119">
        <v>0</v>
      </c>
      <c r="J58" s="119">
        <v>0</v>
      </c>
      <c r="K58" s="119">
        <v>0</v>
      </c>
      <c r="L58" s="119">
        <v>0</v>
      </c>
      <c r="M58" s="119">
        <v>0</v>
      </c>
      <c r="N58" s="119">
        <v>0</v>
      </c>
      <c r="O58" s="119">
        <v>0</v>
      </c>
      <c r="P58" s="119">
        <v>0</v>
      </c>
      <c r="Q58" s="119">
        <v>0</v>
      </c>
      <c r="R58" s="119">
        <v>0</v>
      </c>
      <c r="S58" s="119">
        <v>0</v>
      </c>
      <c r="T58" s="119">
        <v>0</v>
      </c>
      <c r="U58" s="119">
        <v>0</v>
      </c>
      <c r="V58" s="119">
        <v>0</v>
      </c>
      <c r="W58" s="119">
        <v>0</v>
      </c>
      <c r="X58" s="119">
        <v>0</v>
      </c>
      <c r="Y58" s="119">
        <v>0</v>
      </c>
      <c r="Z58" s="119">
        <v>0</v>
      </c>
      <c r="AA58" s="119">
        <v>0</v>
      </c>
      <c r="AB58" s="119">
        <v>0</v>
      </c>
      <c r="AC58" s="119">
        <v>0</v>
      </c>
      <c r="AD58" s="119">
        <v>0</v>
      </c>
      <c r="AE58" s="119">
        <v>0</v>
      </c>
      <c r="AF58" s="119">
        <v>0</v>
      </c>
      <c r="AG58" s="119">
        <v>0</v>
      </c>
      <c r="AH58" s="119">
        <v>0</v>
      </c>
      <c r="AI58" s="119">
        <v>0</v>
      </c>
      <c r="AJ58" s="119">
        <v>0</v>
      </c>
      <c r="AK58" s="119">
        <v>0</v>
      </c>
      <c r="AL58" s="119">
        <v>0</v>
      </c>
      <c r="AM58" s="119">
        <v>0</v>
      </c>
      <c r="AN58" s="119">
        <v>0</v>
      </c>
      <c r="AO58" s="119">
        <v>0</v>
      </c>
      <c r="AP58" s="119">
        <v>0</v>
      </c>
    </row>
    <row r="59" spans="1:42" x14ac:dyDescent="0.2">
      <c r="A59" s="88" t="s">
        <v>436</v>
      </c>
      <c r="B59" s="4">
        <f t="array" ref="B59:AP59">Inputs!C214:AQ214</f>
        <v>0</v>
      </c>
      <c r="C59" s="119">
        <v>0</v>
      </c>
      <c r="D59" s="119">
        <v>0</v>
      </c>
      <c r="E59" s="119">
        <v>0</v>
      </c>
      <c r="F59" s="119">
        <v>0</v>
      </c>
      <c r="G59" s="119">
        <v>0</v>
      </c>
      <c r="H59" s="119">
        <v>0</v>
      </c>
      <c r="I59" s="119">
        <v>0</v>
      </c>
      <c r="J59" s="119">
        <v>0</v>
      </c>
      <c r="K59" s="119">
        <v>0</v>
      </c>
      <c r="L59" s="119">
        <v>0</v>
      </c>
      <c r="M59" s="119">
        <v>0</v>
      </c>
      <c r="N59" s="119">
        <v>0</v>
      </c>
      <c r="O59" s="119">
        <v>0</v>
      </c>
      <c r="P59" s="119">
        <v>0</v>
      </c>
      <c r="Q59" s="119">
        <v>0</v>
      </c>
      <c r="R59" s="119">
        <v>0</v>
      </c>
      <c r="S59" s="119">
        <v>0</v>
      </c>
      <c r="T59" s="119">
        <v>0</v>
      </c>
      <c r="U59" s="119">
        <v>0</v>
      </c>
      <c r="V59" s="119">
        <v>0</v>
      </c>
      <c r="W59" s="119">
        <v>0</v>
      </c>
      <c r="X59" s="119">
        <v>0</v>
      </c>
      <c r="Y59" s="119">
        <v>0</v>
      </c>
      <c r="Z59" s="119">
        <v>0</v>
      </c>
      <c r="AA59" s="119">
        <v>0</v>
      </c>
      <c r="AB59" s="119">
        <v>0</v>
      </c>
      <c r="AC59" s="119">
        <v>0</v>
      </c>
      <c r="AD59" s="119">
        <v>0</v>
      </c>
      <c r="AE59" s="119">
        <v>0</v>
      </c>
      <c r="AF59" s="119">
        <v>0</v>
      </c>
      <c r="AG59" s="119">
        <v>0</v>
      </c>
      <c r="AH59" s="119">
        <v>0</v>
      </c>
      <c r="AI59" s="119">
        <v>0</v>
      </c>
      <c r="AJ59" s="119">
        <v>0</v>
      </c>
      <c r="AK59" s="119">
        <v>0</v>
      </c>
      <c r="AL59" s="119">
        <v>0</v>
      </c>
      <c r="AM59" s="119">
        <v>0</v>
      </c>
      <c r="AN59" s="119">
        <v>0</v>
      </c>
      <c r="AO59" s="119">
        <v>0</v>
      </c>
      <c r="AP59" s="119">
        <v>0</v>
      </c>
    </row>
    <row r="60" spans="1:42" x14ac:dyDescent="0.2">
      <c r="A60" s="18" t="s">
        <v>449</v>
      </c>
      <c r="C60" s="119">
        <f>IF(C$2&lt;=analysis_period,IF(om_land_lease="n/a",total_land_area*Inputs!D$225,total_land_area*om_land_lease*(1+inflation_rate/100+om_land_lease_escal/100)^B$2),0)</f>
        <v>0</v>
      </c>
      <c r="D60" s="119">
        <f>IF(D$2&lt;=analysis_period,IF(om_land_lease="n/a",total_land_area*Inputs!E$225,total_land_area*om_land_lease*(1+inflation_rate/100+om_land_lease_escal/100)^C$2),0)</f>
        <v>0</v>
      </c>
      <c r="E60" s="119">
        <f>IF(E$2&lt;=analysis_period,IF(om_land_lease="n/a",total_land_area*Inputs!F$225,total_land_area*om_land_lease*(1+inflation_rate/100+om_land_lease_escal/100)^D$2),0)</f>
        <v>0</v>
      </c>
      <c r="F60" s="119">
        <f>IF(F$2&lt;=analysis_period,IF(om_land_lease="n/a",total_land_area*Inputs!G$225,total_land_area*om_land_lease*(1+inflation_rate/100+om_land_lease_escal/100)^E$2),0)</f>
        <v>0</v>
      </c>
      <c r="G60" s="119">
        <f>IF(G$2&lt;=analysis_period,IF(om_land_lease="n/a",total_land_area*Inputs!H$225,total_land_area*om_land_lease*(1+inflation_rate/100+om_land_lease_escal/100)^F$2),0)</f>
        <v>0</v>
      </c>
      <c r="H60" s="119">
        <f>IF(H$2&lt;=analysis_period,IF(om_land_lease="n/a",total_land_area*Inputs!I$225,total_land_area*om_land_lease*(1+inflation_rate/100+om_land_lease_escal/100)^G$2),0)</f>
        <v>0</v>
      </c>
      <c r="I60" s="119">
        <f>IF(I$2&lt;=analysis_period,IF(om_land_lease="n/a",total_land_area*Inputs!J$225,total_land_area*om_land_lease*(1+inflation_rate/100+om_land_lease_escal/100)^H$2),0)</f>
        <v>0</v>
      </c>
      <c r="J60" s="119">
        <f>IF(J$2&lt;=analysis_period,IF(om_land_lease="n/a",total_land_area*Inputs!K$225,total_land_area*om_land_lease*(1+inflation_rate/100+om_land_lease_escal/100)^I$2),0)</f>
        <v>0</v>
      </c>
      <c r="K60" s="119">
        <f>IF(K$2&lt;=analysis_period,IF(om_land_lease="n/a",total_land_area*Inputs!L$225,total_land_area*om_land_lease*(1+inflation_rate/100+om_land_lease_escal/100)^J$2),0)</f>
        <v>0</v>
      </c>
      <c r="L60" s="119">
        <f>IF(L$2&lt;=analysis_period,IF(om_land_lease="n/a",total_land_area*Inputs!M$225,total_land_area*om_land_lease*(1+inflation_rate/100+om_land_lease_escal/100)^K$2),0)</f>
        <v>0</v>
      </c>
      <c r="M60" s="119">
        <f>IF(M$2&lt;=analysis_period,IF(om_land_lease="n/a",total_land_area*Inputs!N$225,total_land_area*om_land_lease*(1+inflation_rate/100+om_land_lease_escal/100)^L$2),0)</f>
        <v>0</v>
      </c>
      <c r="N60" s="119">
        <f>IF(N$2&lt;=analysis_period,IF(om_land_lease="n/a",total_land_area*Inputs!O$225,total_land_area*om_land_lease*(1+inflation_rate/100+om_land_lease_escal/100)^M$2),0)</f>
        <v>0</v>
      </c>
      <c r="O60" s="119">
        <f>IF(O$2&lt;=analysis_period,IF(om_land_lease="n/a",total_land_area*Inputs!P$225,total_land_area*om_land_lease*(1+inflation_rate/100+om_land_lease_escal/100)^N$2),0)</f>
        <v>0</v>
      </c>
      <c r="P60" s="119">
        <f>IF(P$2&lt;=analysis_period,IF(om_land_lease="n/a",total_land_area*Inputs!Q$225,total_land_area*om_land_lease*(1+inflation_rate/100+om_land_lease_escal/100)^O$2),0)</f>
        <v>0</v>
      </c>
      <c r="Q60" s="119">
        <f>IF(Q$2&lt;=analysis_period,IF(om_land_lease="n/a",total_land_area*Inputs!R$225,total_land_area*om_land_lease*(1+inflation_rate/100+om_land_lease_escal/100)^P$2),0)</f>
        <v>0</v>
      </c>
      <c r="R60" s="119">
        <f>IF(R$2&lt;=analysis_period,IF(om_land_lease="n/a",total_land_area*Inputs!S$225,total_land_area*om_land_lease*(1+inflation_rate/100+om_land_lease_escal/100)^Q$2),0)</f>
        <v>0</v>
      </c>
      <c r="S60" s="119">
        <f>IF(S$2&lt;=analysis_period,IF(om_land_lease="n/a",total_land_area*Inputs!T$225,total_land_area*om_land_lease*(1+inflation_rate/100+om_land_lease_escal/100)^R$2),0)</f>
        <v>0</v>
      </c>
      <c r="T60" s="119">
        <f>IF(T$2&lt;=analysis_period,IF(om_land_lease="n/a",total_land_area*Inputs!U$225,total_land_area*om_land_lease*(1+inflation_rate/100+om_land_lease_escal/100)^S$2),0)</f>
        <v>0</v>
      </c>
      <c r="U60" s="119">
        <f>IF(U$2&lt;=analysis_period,IF(om_land_lease="n/a",total_land_area*Inputs!V$225,total_land_area*om_land_lease*(1+inflation_rate/100+om_land_lease_escal/100)^T$2),0)</f>
        <v>0</v>
      </c>
      <c r="V60" s="119">
        <f>IF(V$2&lt;=analysis_period,IF(om_land_lease="n/a",total_land_area*Inputs!W$225,total_land_area*om_land_lease*(1+inflation_rate/100+om_land_lease_escal/100)^U$2),0)</f>
        <v>0</v>
      </c>
      <c r="W60" s="119">
        <f>IF(W$2&lt;=analysis_period,IF(om_land_lease="n/a",total_land_area*Inputs!X$225,total_land_area*om_land_lease*(1+inflation_rate/100+om_land_lease_escal/100)^V$2),0)</f>
        <v>0</v>
      </c>
      <c r="X60" s="119">
        <f>IF(X$2&lt;=analysis_period,IF(om_land_lease="n/a",total_land_area*Inputs!Y$225,total_land_area*om_land_lease*(1+inflation_rate/100+om_land_lease_escal/100)^W$2),0)</f>
        <v>0</v>
      </c>
      <c r="Y60" s="119">
        <f>IF(Y$2&lt;=analysis_period,IF(om_land_lease="n/a",total_land_area*Inputs!Z$225,total_land_area*om_land_lease*(1+inflation_rate/100+om_land_lease_escal/100)^X$2),0)</f>
        <v>0</v>
      </c>
      <c r="Z60" s="119">
        <f>IF(Z$2&lt;=analysis_period,IF(om_land_lease="n/a",total_land_area*Inputs!AA$225,total_land_area*om_land_lease*(1+inflation_rate/100+om_land_lease_escal/100)^Y$2),0)</f>
        <v>0</v>
      </c>
      <c r="AA60" s="119">
        <f>IF(AA$2&lt;=analysis_period,IF(om_land_lease="n/a",total_land_area*Inputs!AB$225,total_land_area*om_land_lease*(1+inflation_rate/100+om_land_lease_escal/100)^Z$2),0)</f>
        <v>0</v>
      </c>
      <c r="AB60" s="119">
        <f>IF(AB$2&lt;=analysis_period,IF(om_land_lease="n/a",total_land_area*Inputs!AC$225,total_land_area*om_land_lease*(1+inflation_rate/100+om_land_lease_escal/100)^AA$2),0)</f>
        <v>0</v>
      </c>
      <c r="AC60" s="119">
        <f>IF(AC$2&lt;=analysis_period,IF(om_land_lease="n/a",total_land_area*Inputs!AD$225,total_land_area*om_land_lease*(1+inflation_rate/100+om_land_lease_escal/100)^AB$2),0)</f>
        <v>0</v>
      </c>
      <c r="AD60" s="119">
        <f>IF(AD$2&lt;=analysis_period,IF(om_land_lease="n/a",total_land_area*Inputs!AE$225,total_land_area*om_land_lease*(1+inflation_rate/100+om_land_lease_escal/100)^AC$2),0)</f>
        <v>0</v>
      </c>
      <c r="AE60" s="119">
        <f>IF(AE$2&lt;=analysis_period,IF(om_land_lease="n/a",total_land_area*Inputs!AF$225,total_land_area*om_land_lease*(1+inflation_rate/100+om_land_lease_escal/100)^AD$2),0)</f>
        <v>0</v>
      </c>
      <c r="AF60" s="119">
        <f>IF(AF$2&lt;=analysis_period,IF(om_land_lease="n/a",total_land_area*Inputs!AG$225,total_land_area*om_land_lease*(1+inflation_rate/100+om_land_lease_escal/100)^AE$2),0)</f>
        <v>0</v>
      </c>
      <c r="AG60" s="119">
        <f>IF(AG$2&lt;=analysis_period,IF(om_land_lease="n/a",total_land_area*Inputs!AH$225,total_land_area*om_land_lease*(1+inflation_rate/100+om_land_lease_escal/100)^AF$2),0)</f>
        <v>0</v>
      </c>
      <c r="AH60" s="119">
        <f>IF(AH$2&lt;=analysis_period,IF(om_land_lease="n/a",total_land_area*Inputs!AI$225,total_land_area*om_land_lease*(1+inflation_rate/100+om_land_lease_escal/100)^AG$2),0)</f>
        <v>0</v>
      </c>
      <c r="AI60" s="119">
        <f>IF(AI$2&lt;=analysis_period,IF(om_land_lease="n/a",total_land_area*Inputs!AJ$225,total_land_area*om_land_lease*(1+inflation_rate/100+om_land_lease_escal/100)^AH$2),0)</f>
        <v>0</v>
      </c>
      <c r="AJ60" s="119">
        <f>IF(AJ$2&lt;=analysis_period,IF(om_land_lease="n/a",total_land_area*Inputs!AK$225,total_land_area*om_land_lease*(1+inflation_rate/100+om_land_lease_escal/100)^AI$2),0)</f>
        <v>0</v>
      </c>
      <c r="AK60" s="119">
        <f>IF(AK$2&lt;=analysis_period,IF(om_land_lease="n/a",total_land_area*Inputs!AL$225,total_land_area*om_land_lease*(1+inflation_rate/100+om_land_lease_escal/100)^AJ$2),0)</f>
        <v>0</v>
      </c>
      <c r="AL60" s="119">
        <f>IF(AL$2&lt;=analysis_period,IF(om_land_lease="n/a",total_land_area*Inputs!AM$225,total_land_area*om_land_lease*(1+inflation_rate/100+om_land_lease_escal/100)^AK$2),0)</f>
        <v>0</v>
      </c>
      <c r="AM60" s="119">
        <f>IF(AM$2&lt;=analysis_period,IF(om_land_lease="n/a",total_land_area*Inputs!AN$225,total_land_area*om_land_lease*(1+inflation_rate/100+om_land_lease_escal/100)^AL$2),0)</f>
        <v>0</v>
      </c>
      <c r="AN60" s="119">
        <f>IF(AN$2&lt;=analysis_period,IF(om_land_lease="n/a",total_land_area*Inputs!AO$225,total_land_area*om_land_lease*(1+inflation_rate/100+om_land_lease_escal/100)^AM$2),0)</f>
        <v>0</v>
      </c>
      <c r="AO60" s="119">
        <f>IF(AO$2&lt;=analysis_period,IF(om_land_lease="n/a",total_land_area*Inputs!AP$225,total_land_area*om_land_lease*(1+inflation_rate/100+om_land_lease_escal/100)^AN$2),0)</f>
        <v>0</v>
      </c>
      <c r="AP60" s="119">
        <f>IF(AP$2&lt;=analysis_period,IF(om_land_lease="n/a",total_land_area*Inputs!AQ$225,total_land_area*om_land_lease*(1+inflation_rate/100+om_land_lease_escal/100)^AO$2),0)</f>
        <v>0</v>
      </c>
    </row>
    <row r="61" spans="1:42" x14ac:dyDescent="0.2">
      <c r="A61" s="18" t="s">
        <v>0</v>
      </c>
      <c r="C61" s="119">
        <f t="shared" ref="C61:AP61" si="15">C31*property_tax_rate/100</f>
        <v>0</v>
      </c>
      <c r="D61" s="119">
        <f t="shared" si="15"/>
        <v>0</v>
      </c>
      <c r="E61" s="119">
        <f t="shared" si="15"/>
        <v>0</v>
      </c>
      <c r="F61" s="119">
        <f t="shared" si="15"/>
        <v>0</v>
      </c>
      <c r="G61" s="119">
        <f t="shared" si="15"/>
        <v>0</v>
      </c>
      <c r="H61" s="119">
        <f t="shared" si="15"/>
        <v>0</v>
      </c>
      <c r="I61" s="119">
        <f t="shared" si="15"/>
        <v>0</v>
      </c>
      <c r="J61" s="119">
        <f t="shared" si="15"/>
        <v>0</v>
      </c>
      <c r="K61" s="119">
        <f t="shared" si="15"/>
        <v>0</v>
      </c>
      <c r="L61" s="119">
        <f t="shared" si="15"/>
        <v>0</v>
      </c>
      <c r="M61" s="119">
        <f t="shared" si="15"/>
        <v>0</v>
      </c>
      <c r="N61" s="119">
        <f t="shared" si="15"/>
        <v>0</v>
      </c>
      <c r="O61" s="119">
        <f t="shared" si="15"/>
        <v>0</v>
      </c>
      <c r="P61" s="119">
        <f t="shared" si="15"/>
        <v>0</v>
      </c>
      <c r="Q61" s="119">
        <f t="shared" si="15"/>
        <v>0</v>
      </c>
      <c r="R61" s="119">
        <f t="shared" si="15"/>
        <v>0</v>
      </c>
      <c r="S61" s="119">
        <f t="shared" si="15"/>
        <v>0</v>
      </c>
      <c r="T61" s="119">
        <f t="shared" si="15"/>
        <v>0</v>
      </c>
      <c r="U61" s="119">
        <f t="shared" si="15"/>
        <v>0</v>
      </c>
      <c r="V61" s="119">
        <f t="shared" si="15"/>
        <v>0</v>
      </c>
      <c r="W61" s="119">
        <f t="shared" si="15"/>
        <v>0</v>
      </c>
      <c r="X61" s="119">
        <f t="shared" si="15"/>
        <v>0</v>
      </c>
      <c r="Y61" s="119">
        <f t="shared" si="15"/>
        <v>0</v>
      </c>
      <c r="Z61" s="119">
        <f t="shared" si="15"/>
        <v>0</v>
      </c>
      <c r="AA61" s="119">
        <f t="shared" si="15"/>
        <v>0</v>
      </c>
      <c r="AB61" s="119">
        <f t="shared" si="15"/>
        <v>0</v>
      </c>
      <c r="AC61" s="119">
        <f t="shared" si="15"/>
        <v>0</v>
      </c>
      <c r="AD61" s="119">
        <f t="shared" si="15"/>
        <v>0</v>
      </c>
      <c r="AE61" s="119">
        <f t="shared" si="15"/>
        <v>0</v>
      </c>
      <c r="AF61" s="119">
        <f t="shared" si="15"/>
        <v>0</v>
      </c>
      <c r="AG61" s="119">
        <f t="shared" si="15"/>
        <v>0</v>
      </c>
      <c r="AH61" s="119">
        <f t="shared" si="15"/>
        <v>0</v>
      </c>
      <c r="AI61" s="119">
        <f t="shared" si="15"/>
        <v>0</v>
      </c>
      <c r="AJ61" s="119">
        <f t="shared" si="15"/>
        <v>0</v>
      </c>
      <c r="AK61" s="119">
        <f t="shared" si="15"/>
        <v>0</v>
      </c>
      <c r="AL61" s="119">
        <f t="shared" si="15"/>
        <v>0</v>
      </c>
      <c r="AM61" s="119">
        <f t="shared" si="15"/>
        <v>0</v>
      </c>
      <c r="AN61" s="119">
        <f t="shared" si="15"/>
        <v>0</v>
      </c>
      <c r="AO61" s="119">
        <f t="shared" si="15"/>
        <v>0</v>
      </c>
      <c r="AP61" s="119">
        <f t="shared" si="15"/>
        <v>0</v>
      </c>
    </row>
    <row r="62" spans="1:42" x14ac:dyDescent="0.2">
      <c r="A62" s="18" t="s">
        <v>45</v>
      </c>
      <c r="C62" s="119">
        <f t="shared" ref="C62:AP62" si="16">IF(C$2&lt;=analysis_period,total_installed_cost*insurance_rate/100*(1+inflation_rate/100)^B$2,0)</f>
        <v>0</v>
      </c>
      <c r="D62" s="119">
        <f t="shared" si="16"/>
        <v>0</v>
      </c>
      <c r="E62" s="119">
        <f t="shared" si="16"/>
        <v>0</v>
      </c>
      <c r="F62" s="119">
        <f t="shared" si="16"/>
        <v>0</v>
      </c>
      <c r="G62" s="119">
        <f t="shared" si="16"/>
        <v>0</v>
      </c>
      <c r="H62" s="119">
        <f t="shared" si="16"/>
        <v>0</v>
      </c>
      <c r="I62" s="119">
        <f t="shared" si="16"/>
        <v>0</v>
      </c>
      <c r="J62" s="119">
        <f t="shared" si="16"/>
        <v>0</v>
      </c>
      <c r="K62" s="119">
        <f t="shared" si="16"/>
        <v>0</v>
      </c>
      <c r="L62" s="119">
        <f t="shared" si="16"/>
        <v>0</v>
      </c>
      <c r="M62" s="119">
        <f t="shared" si="16"/>
        <v>0</v>
      </c>
      <c r="N62" s="119">
        <f t="shared" si="16"/>
        <v>0</v>
      </c>
      <c r="O62" s="119">
        <f t="shared" si="16"/>
        <v>0</v>
      </c>
      <c r="P62" s="119">
        <f t="shared" si="16"/>
        <v>0</v>
      </c>
      <c r="Q62" s="119">
        <f t="shared" si="16"/>
        <v>0</v>
      </c>
      <c r="R62" s="119">
        <f t="shared" si="16"/>
        <v>0</v>
      </c>
      <c r="S62" s="119">
        <f t="shared" si="16"/>
        <v>0</v>
      </c>
      <c r="T62" s="119">
        <f t="shared" si="16"/>
        <v>0</v>
      </c>
      <c r="U62" s="119">
        <f t="shared" si="16"/>
        <v>0</v>
      </c>
      <c r="V62" s="119">
        <f t="shared" si="16"/>
        <v>0</v>
      </c>
      <c r="W62" s="119">
        <f t="shared" si="16"/>
        <v>0</v>
      </c>
      <c r="X62" s="119">
        <f t="shared" si="16"/>
        <v>0</v>
      </c>
      <c r="Y62" s="119">
        <f t="shared" si="16"/>
        <v>0</v>
      </c>
      <c r="Z62" s="119">
        <f t="shared" si="16"/>
        <v>0</v>
      </c>
      <c r="AA62" s="119">
        <f t="shared" si="16"/>
        <v>0</v>
      </c>
      <c r="AB62" s="119">
        <f t="shared" si="16"/>
        <v>0</v>
      </c>
      <c r="AC62" s="119">
        <f t="shared" si="16"/>
        <v>0</v>
      </c>
      <c r="AD62" s="119">
        <f t="shared" si="16"/>
        <v>0</v>
      </c>
      <c r="AE62" s="119">
        <f t="shared" si="16"/>
        <v>0</v>
      </c>
      <c r="AF62" s="119">
        <f t="shared" si="16"/>
        <v>0</v>
      </c>
      <c r="AG62" s="119">
        <f t="shared" si="16"/>
        <v>0</v>
      </c>
      <c r="AH62" s="119">
        <f t="shared" si="16"/>
        <v>0</v>
      </c>
      <c r="AI62" s="119">
        <f t="shared" si="16"/>
        <v>0</v>
      </c>
      <c r="AJ62" s="119">
        <f t="shared" si="16"/>
        <v>0</v>
      </c>
      <c r="AK62" s="119">
        <f t="shared" si="16"/>
        <v>0</v>
      </c>
      <c r="AL62" s="119">
        <f t="shared" si="16"/>
        <v>0</v>
      </c>
      <c r="AM62" s="119">
        <f t="shared" si="16"/>
        <v>0</v>
      </c>
      <c r="AN62" s="119">
        <f t="shared" si="16"/>
        <v>0</v>
      </c>
      <c r="AO62" s="119">
        <f t="shared" si="16"/>
        <v>0</v>
      </c>
      <c r="AP62" s="119">
        <f t="shared" si="16"/>
        <v>0</v>
      </c>
    </row>
    <row r="63" spans="1:42" x14ac:dyDescent="0.2">
      <c r="A63" s="30" t="s">
        <v>19</v>
      </c>
      <c r="B63" s="30"/>
      <c r="C63" s="137">
        <f>C$35+C$39+C$43+C$44++SUM(C$46:C$49)+SUM(C$51:C$62)</f>
        <v>1500000</v>
      </c>
      <c r="D63" s="137">
        <f>D$35+D$39+D$43+D$44++SUM(D46:D49)+SUM(D51:D62)</f>
        <v>1537499.9999999998</v>
      </c>
      <c r="E63" s="137">
        <f t="shared" ref="E63:AP63" si="17">E$35+E$39+E$43+E$44++SUM(E46:E49)+SUM(E51:E62)</f>
        <v>1575937.4999999998</v>
      </c>
      <c r="F63" s="137">
        <f t="shared" si="17"/>
        <v>1615335.9374999998</v>
      </c>
      <c r="G63" s="137">
        <f t="shared" si="17"/>
        <v>1655719.3359374995</v>
      </c>
      <c r="H63" s="137">
        <f t="shared" si="17"/>
        <v>1697112.3193359368</v>
      </c>
      <c r="I63" s="137">
        <f t="shared" si="17"/>
        <v>1739540.1273193355</v>
      </c>
      <c r="J63" s="137">
        <f t="shared" si="17"/>
        <v>1783028.6305023187</v>
      </c>
      <c r="K63" s="137">
        <f t="shared" si="17"/>
        <v>1827604.3462648764</v>
      </c>
      <c r="L63" s="137">
        <f t="shared" si="17"/>
        <v>1873294.4549214982</v>
      </c>
      <c r="M63" s="137">
        <f t="shared" si="17"/>
        <v>1920126.8162945358</v>
      </c>
      <c r="N63" s="137">
        <f t="shared" si="17"/>
        <v>1968129.986701899</v>
      </c>
      <c r="O63" s="137">
        <f t="shared" si="17"/>
        <v>2017333.2363694464</v>
      </c>
      <c r="P63" s="137">
        <f t="shared" si="17"/>
        <v>2067766.5672786823</v>
      </c>
      <c r="Q63" s="137">
        <f t="shared" si="17"/>
        <v>2119460.7314606495</v>
      </c>
      <c r="R63" s="137">
        <f t="shared" si="17"/>
        <v>2172447.2497471659</v>
      </c>
      <c r="S63" s="137">
        <f t="shared" si="17"/>
        <v>2226758.4309908445</v>
      </c>
      <c r="T63" s="137">
        <f t="shared" si="17"/>
        <v>2282427.3917656154</v>
      </c>
      <c r="U63" s="137">
        <f t="shared" si="17"/>
        <v>2339488.076559756</v>
      </c>
      <c r="V63" s="137">
        <f t="shared" si="17"/>
        <v>2397975.2784737498</v>
      </c>
      <c r="W63" s="137">
        <f t="shared" si="17"/>
        <v>2457924.6604355932</v>
      </c>
      <c r="X63" s="137">
        <f t="shared" si="17"/>
        <v>2519372.7769464827</v>
      </c>
      <c r="Y63" s="137">
        <f t="shared" si="17"/>
        <v>2582357.0963701447</v>
      </c>
      <c r="Z63" s="137">
        <f t="shared" si="17"/>
        <v>2646916.0237793988</v>
      </c>
      <c r="AA63" s="137">
        <f t="shared" si="17"/>
        <v>2713088.9243738833</v>
      </c>
      <c r="AB63" s="137">
        <f t="shared" si="17"/>
        <v>0</v>
      </c>
      <c r="AC63" s="137">
        <f t="shared" si="17"/>
        <v>0</v>
      </c>
      <c r="AD63" s="137">
        <f t="shared" si="17"/>
        <v>0</v>
      </c>
      <c r="AE63" s="137">
        <f t="shared" si="17"/>
        <v>0</v>
      </c>
      <c r="AF63" s="137">
        <f t="shared" si="17"/>
        <v>0</v>
      </c>
      <c r="AG63" s="137">
        <f t="shared" si="17"/>
        <v>0</v>
      </c>
      <c r="AH63" s="137">
        <f t="shared" si="17"/>
        <v>0</v>
      </c>
      <c r="AI63" s="137">
        <f t="shared" si="17"/>
        <v>0</v>
      </c>
      <c r="AJ63" s="137">
        <f t="shared" si="17"/>
        <v>0</v>
      </c>
      <c r="AK63" s="137">
        <f t="shared" si="17"/>
        <v>0</v>
      </c>
      <c r="AL63" s="137">
        <f t="shared" si="17"/>
        <v>0</v>
      </c>
      <c r="AM63" s="137">
        <f t="shared" si="17"/>
        <v>0</v>
      </c>
      <c r="AN63" s="137">
        <f t="shared" si="17"/>
        <v>0</v>
      </c>
      <c r="AO63" s="137">
        <f t="shared" si="17"/>
        <v>0</v>
      </c>
      <c r="AP63" s="137">
        <f t="shared" si="17"/>
        <v>0</v>
      </c>
    </row>
    <row r="65" spans="1:42" x14ac:dyDescent="0.2">
      <c r="A65" s="208" t="s">
        <v>32</v>
      </c>
      <c r="B65" s="30"/>
      <c r="C65" s="137">
        <f>C$29-C$63</f>
        <v>6976300</v>
      </c>
      <c r="D65" s="137">
        <f t="shared" ref="D65:AP65" si="18">D$29-D$63</f>
        <v>6980760</v>
      </c>
      <c r="E65" s="137">
        <f t="shared" si="18"/>
        <v>6984482.5</v>
      </c>
      <c r="F65" s="137">
        <f t="shared" si="18"/>
        <v>6987464.0625</v>
      </c>
      <c r="G65" s="137">
        <f t="shared" si="18"/>
        <v>6989660.6640625</v>
      </c>
      <c r="H65" s="137">
        <f t="shared" si="18"/>
        <v>6991057.6806640634</v>
      </c>
      <c r="I65" s="137">
        <f t="shared" si="18"/>
        <v>6991639.8726806641</v>
      </c>
      <c r="J65" s="137">
        <f t="shared" si="18"/>
        <v>6991371.369497681</v>
      </c>
      <c r="K65" s="137">
        <f t="shared" si="18"/>
        <v>6990225.6537351236</v>
      </c>
      <c r="L65" s="137">
        <f t="shared" si="18"/>
        <v>6988185.545078502</v>
      </c>
      <c r="M65" s="137">
        <f t="shared" si="18"/>
        <v>6985223.183705464</v>
      </c>
      <c r="N65" s="137">
        <f t="shared" si="18"/>
        <v>6981300.0132981008</v>
      </c>
      <c r="O65" s="137">
        <f t="shared" si="18"/>
        <v>6976396.7636305541</v>
      </c>
      <c r="P65" s="137">
        <f t="shared" si="18"/>
        <v>6970483.4327213177</v>
      </c>
      <c r="Q65" s="137">
        <f t="shared" si="18"/>
        <v>6963519.2685393505</v>
      </c>
      <c r="R65" s="137">
        <f t="shared" si="18"/>
        <v>6955502.7502528336</v>
      </c>
      <c r="S65" s="137">
        <f t="shared" si="18"/>
        <v>6946371.569009155</v>
      </c>
      <c r="T65" s="137">
        <f t="shared" si="18"/>
        <v>6936112.608234385</v>
      </c>
      <c r="U65" s="137">
        <f t="shared" si="18"/>
        <v>6924681.923440244</v>
      </c>
      <c r="V65" s="137">
        <f t="shared" si="18"/>
        <v>6912054.7215262502</v>
      </c>
      <c r="W65" s="137">
        <f t="shared" si="18"/>
        <v>6898185.3395644072</v>
      </c>
      <c r="X65" s="137">
        <f t="shared" si="18"/>
        <v>6883047.2230535168</v>
      </c>
      <c r="Y65" s="137">
        <f t="shared" si="18"/>
        <v>6866602.9036298553</v>
      </c>
      <c r="Z65" s="137">
        <f t="shared" si="18"/>
        <v>6848823.9762206012</v>
      </c>
      <c r="AA65" s="137">
        <f t="shared" si="18"/>
        <v>6829651.0756261162</v>
      </c>
      <c r="AB65" s="137">
        <f t="shared" si="18"/>
        <v>0</v>
      </c>
      <c r="AC65" s="137">
        <f t="shared" si="18"/>
        <v>0</v>
      </c>
      <c r="AD65" s="137">
        <f t="shared" si="18"/>
        <v>0</v>
      </c>
      <c r="AE65" s="137">
        <f t="shared" si="18"/>
        <v>0</v>
      </c>
      <c r="AF65" s="137">
        <f t="shared" si="18"/>
        <v>0</v>
      </c>
      <c r="AG65" s="137">
        <f t="shared" si="18"/>
        <v>0</v>
      </c>
      <c r="AH65" s="137">
        <f t="shared" si="18"/>
        <v>0</v>
      </c>
      <c r="AI65" s="137">
        <f t="shared" si="18"/>
        <v>0</v>
      </c>
      <c r="AJ65" s="137">
        <f t="shared" si="18"/>
        <v>0</v>
      </c>
      <c r="AK65" s="137">
        <f t="shared" si="18"/>
        <v>0</v>
      </c>
      <c r="AL65" s="137">
        <f t="shared" si="18"/>
        <v>0</v>
      </c>
      <c r="AM65" s="137">
        <f t="shared" si="18"/>
        <v>0</v>
      </c>
      <c r="AN65" s="137">
        <f t="shared" si="18"/>
        <v>0</v>
      </c>
      <c r="AO65" s="137">
        <f t="shared" si="18"/>
        <v>0</v>
      </c>
      <c r="AP65" s="137">
        <f t="shared" si="18"/>
        <v>0</v>
      </c>
    </row>
    <row r="66" spans="1:42" x14ac:dyDescent="0.2">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row>
    <row r="67" spans="1:42" x14ac:dyDescent="0.2">
      <c r="A67" s="84" t="s">
        <v>88</v>
      </c>
      <c r="B67" s="7"/>
      <c r="C67" s="216"/>
      <c r="D67" s="216"/>
      <c r="E67" s="216"/>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row>
    <row r="68" spans="1:42" x14ac:dyDescent="0.2">
      <c r="A68" s="20" t="s">
        <v>251</v>
      </c>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row>
    <row r="69" spans="1:42" x14ac:dyDescent="0.2">
      <c r="A69" s="18" t="s">
        <v>32</v>
      </c>
      <c r="B69" s="119"/>
      <c r="C69" s="119">
        <f>C65</f>
        <v>6976300</v>
      </c>
      <c r="D69" s="119">
        <f t="shared" ref="D69:AP69" si="19">D65</f>
        <v>6980760</v>
      </c>
      <c r="E69" s="119">
        <f t="shared" si="19"/>
        <v>6984482.5</v>
      </c>
      <c r="F69" s="119">
        <f t="shared" si="19"/>
        <v>6987464.0625</v>
      </c>
      <c r="G69" s="119">
        <f t="shared" si="19"/>
        <v>6989660.6640625</v>
      </c>
      <c r="H69" s="119">
        <f t="shared" si="19"/>
        <v>6991057.6806640634</v>
      </c>
      <c r="I69" s="119">
        <f t="shared" si="19"/>
        <v>6991639.8726806641</v>
      </c>
      <c r="J69" s="119">
        <f t="shared" si="19"/>
        <v>6991371.369497681</v>
      </c>
      <c r="K69" s="119">
        <f t="shared" si="19"/>
        <v>6990225.6537351236</v>
      </c>
      <c r="L69" s="119">
        <f t="shared" si="19"/>
        <v>6988185.545078502</v>
      </c>
      <c r="M69" s="119">
        <f t="shared" si="19"/>
        <v>6985223.183705464</v>
      </c>
      <c r="N69" s="119">
        <f t="shared" si="19"/>
        <v>6981300.0132981008</v>
      </c>
      <c r="O69" s="119">
        <f t="shared" si="19"/>
        <v>6976396.7636305541</v>
      </c>
      <c r="P69" s="119">
        <f t="shared" si="19"/>
        <v>6970483.4327213177</v>
      </c>
      <c r="Q69" s="119">
        <f t="shared" si="19"/>
        <v>6963519.2685393505</v>
      </c>
      <c r="R69" s="119">
        <f t="shared" si="19"/>
        <v>6955502.7502528336</v>
      </c>
      <c r="S69" s="119">
        <f t="shared" si="19"/>
        <v>6946371.569009155</v>
      </c>
      <c r="T69" s="119">
        <f t="shared" si="19"/>
        <v>6936112.608234385</v>
      </c>
      <c r="U69" s="119">
        <f t="shared" si="19"/>
        <v>6924681.923440244</v>
      </c>
      <c r="V69" s="119">
        <f t="shared" si="19"/>
        <v>6912054.7215262502</v>
      </c>
      <c r="W69" s="119">
        <f t="shared" si="19"/>
        <v>6898185.3395644072</v>
      </c>
      <c r="X69" s="119">
        <f t="shared" si="19"/>
        <v>6883047.2230535168</v>
      </c>
      <c r="Y69" s="119">
        <f t="shared" si="19"/>
        <v>6866602.9036298553</v>
      </c>
      <c r="Z69" s="119">
        <f t="shared" si="19"/>
        <v>6848823.9762206012</v>
      </c>
      <c r="AA69" s="119">
        <f t="shared" si="19"/>
        <v>6829651.0756261162</v>
      </c>
      <c r="AB69" s="119">
        <f t="shared" si="19"/>
        <v>0</v>
      </c>
      <c r="AC69" s="119">
        <f t="shared" si="19"/>
        <v>0</v>
      </c>
      <c r="AD69" s="119">
        <f t="shared" si="19"/>
        <v>0</v>
      </c>
      <c r="AE69" s="119">
        <f t="shared" si="19"/>
        <v>0</v>
      </c>
      <c r="AF69" s="119">
        <f t="shared" si="19"/>
        <v>0</v>
      </c>
      <c r="AG69" s="119">
        <f t="shared" si="19"/>
        <v>0</v>
      </c>
      <c r="AH69" s="119">
        <f t="shared" si="19"/>
        <v>0</v>
      </c>
      <c r="AI69" s="119">
        <f t="shared" si="19"/>
        <v>0</v>
      </c>
      <c r="AJ69" s="119">
        <f t="shared" si="19"/>
        <v>0</v>
      </c>
      <c r="AK69" s="119">
        <f t="shared" si="19"/>
        <v>0</v>
      </c>
      <c r="AL69" s="119">
        <f t="shared" si="19"/>
        <v>0</v>
      </c>
      <c r="AM69" s="119">
        <f t="shared" si="19"/>
        <v>0</v>
      </c>
      <c r="AN69" s="119">
        <f t="shared" si="19"/>
        <v>0</v>
      </c>
      <c r="AO69" s="119">
        <f t="shared" si="19"/>
        <v>0</v>
      </c>
      <c r="AP69" s="119">
        <f t="shared" si="19"/>
        <v>0</v>
      </c>
    </row>
    <row r="70" spans="1:42" x14ac:dyDescent="0.2">
      <c r="A70" s="18" t="s">
        <v>192</v>
      </c>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row>
    <row r="71" spans="1:42" x14ac:dyDescent="0.2">
      <c r="A71" s="22" t="str">
        <f>A23</f>
        <v>Federal</v>
      </c>
      <c r="B71" s="99"/>
      <c r="C71" s="119">
        <f t="shared" ref="C71:AP71" si="20">IF(pbi_fed_for_ds="Yes",0,C614)</f>
        <v>0</v>
      </c>
      <c r="D71" s="119">
        <f t="shared" si="20"/>
        <v>0</v>
      </c>
      <c r="E71" s="119">
        <f t="shared" si="20"/>
        <v>0</v>
      </c>
      <c r="F71" s="119">
        <f t="shared" si="20"/>
        <v>0</v>
      </c>
      <c r="G71" s="119">
        <f t="shared" si="20"/>
        <v>0</v>
      </c>
      <c r="H71" s="119">
        <f t="shared" si="20"/>
        <v>0</v>
      </c>
      <c r="I71" s="119">
        <f t="shared" si="20"/>
        <v>0</v>
      </c>
      <c r="J71" s="119">
        <f t="shared" si="20"/>
        <v>0</v>
      </c>
      <c r="K71" s="119">
        <f t="shared" si="20"/>
        <v>0</v>
      </c>
      <c r="L71" s="119">
        <f t="shared" si="20"/>
        <v>0</v>
      </c>
      <c r="M71" s="119">
        <f t="shared" si="20"/>
        <v>0</v>
      </c>
      <c r="N71" s="119">
        <f t="shared" si="20"/>
        <v>0</v>
      </c>
      <c r="O71" s="119">
        <f t="shared" si="20"/>
        <v>0</v>
      </c>
      <c r="P71" s="119">
        <f t="shared" si="20"/>
        <v>0</v>
      </c>
      <c r="Q71" s="119">
        <f t="shared" si="20"/>
        <v>0</v>
      </c>
      <c r="R71" s="119">
        <f t="shared" si="20"/>
        <v>0</v>
      </c>
      <c r="S71" s="119">
        <f t="shared" si="20"/>
        <v>0</v>
      </c>
      <c r="T71" s="119">
        <f t="shared" si="20"/>
        <v>0</v>
      </c>
      <c r="U71" s="119">
        <f t="shared" si="20"/>
        <v>0</v>
      </c>
      <c r="V71" s="119">
        <f t="shared" si="20"/>
        <v>0</v>
      </c>
      <c r="W71" s="119">
        <f t="shared" si="20"/>
        <v>0</v>
      </c>
      <c r="X71" s="119">
        <f t="shared" si="20"/>
        <v>0</v>
      </c>
      <c r="Y71" s="119">
        <f t="shared" si="20"/>
        <v>0</v>
      </c>
      <c r="Z71" s="119">
        <f t="shared" si="20"/>
        <v>0</v>
      </c>
      <c r="AA71" s="119">
        <f t="shared" si="20"/>
        <v>0</v>
      </c>
      <c r="AB71" s="119">
        <f t="shared" si="20"/>
        <v>0</v>
      </c>
      <c r="AC71" s="119">
        <f t="shared" si="20"/>
        <v>0</v>
      </c>
      <c r="AD71" s="119">
        <f t="shared" si="20"/>
        <v>0</v>
      </c>
      <c r="AE71" s="119">
        <f t="shared" si="20"/>
        <v>0</v>
      </c>
      <c r="AF71" s="119">
        <f t="shared" si="20"/>
        <v>0</v>
      </c>
      <c r="AG71" s="119">
        <f t="shared" si="20"/>
        <v>0</v>
      </c>
      <c r="AH71" s="119">
        <f t="shared" si="20"/>
        <v>0</v>
      </c>
      <c r="AI71" s="119">
        <f t="shared" si="20"/>
        <v>0</v>
      </c>
      <c r="AJ71" s="119">
        <f t="shared" si="20"/>
        <v>0</v>
      </c>
      <c r="AK71" s="119">
        <f t="shared" si="20"/>
        <v>0</v>
      </c>
      <c r="AL71" s="119">
        <f t="shared" si="20"/>
        <v>0</v>
      </c>
      <c r="AM71" s="119">
        <f t="shared" si="20"/>
        <v>0</v>
      </c>
      <c r="AN71" s="119">
        <f t="shared" si="20"/>
        <v>0</v>
      </c>
      <c r="AO71" s="119">
        <f t="shared" si="20"/>
        <v>0</v>
      </c>
      <c r="AP71" s="119">
        <f t="shared" si="20"/>
        <v>0</v>
      </c>
    </row>
    <row r="72" spans="1:42" x14ac:dyDescent="0.2">
      <c r="A72" s="22" t="str">
        <f>A24</f>
        <v>State</v>
      </c>
      <c r="B72" s="99"/>
      <c r="C72" s="119">
        <f t="shared" ref="C72:AP72" si="21">IF(pbi_sta_for_ds="Yes",0,C618)</f>
        <v>0</v>
      </c>
      <c r="D72" s="119">
        <f t="shared" si="21"/>
        <v>0</v>
      </c>
      <c r="E72" s="119">
        <f t="shared" si="21"/>
        <v>0</v>
      </c>
      <c r="F72" s="119">
        <f t="shared" si="21"/>
        <v>0</v>
      </c>
      <c r="G72" s="119">
        <f t="shared" si="21"/>
        <v>0</v>
      </c>
      <c r="H72" s="119">
        <f t="shared" si="21"/>
        <v>0</v>
      </c>
      <c r="I72" s="119">
        <f t="shared" si="21"/>
        <v>0</v>
      </c>
      <c r="J72" s="119">
        <f t="shared" si="21"/>
        <v>0</v>
      </c>
      <c r="K72" s="119">
        <f t="shared" si="21"/>
        <v>0</v>
      </c>
      <c r="L72" s="119">
        <f t="shared" si="21"/>
        <v>0</v>
      </c>
      <c r="M72" s="119">
        <f t="shared" si="21"/>
        <v>0</v>
      </c>
      <c r="N72" s="119">
        <f t="shared" si="21"/>
        <v>0</v>
      </c>
      <c r="O72" s="119">
        <f t="shared" si="21"/>
        <v>0</v>
      </c>
      <c r="P72" s="119">
        <f t="shared" si="21"/>
        <v>0</v>
      </c>
      <c r="Q72" s="119">
        <f t="shared" si="21"/>
        <v>0</v>
      </c>
      <c r="R72" s="119">
        <f t="shared" si="21"/>
        <v>0</v>
      </c>
      <c r="S72" s="119">
        <f t="shared" si="21"/>
        <v>0</v>
      </c>
      <c r="T72" s="119">
        <f t="shared" si="21"/>
        <v>0</v>
      </c>
      <c r="U72" s="119">
        <f t="shared" si="21"/>
        <v>0</v>
      </c>
      <c r="V72" s="119">
        <f t="shared" si="21"/>
        <v>0</v>
      </c>
      <c r="W72" s="119">
        <f t="shared" si="21"/>
        <v>0</v>
      </c>
      <c r="X72" s="119">
        <f t="shared" si="21"/>
        <v>0</v>
      </c>
      <c r="Y72" s="119">
        <f t="shared" si="21"/>
        <v>0</v>
      </c>
      <c r="Z72" s="119">
        <f t="shared" si="21"/>
        <v>0</v>
      </c>
      <c r="AA72" s="119">
        <f t="shared" si="21"/>
        <v>0</v>
      </c>
      <c r="AB72" s="119">
        <f t="shared" si="21"/>
        <v>0</v>
      </c>
      <c r="AC72" s="119">
        <f t="shared" si="21"/>
        <v>0</v>
      </c>
      <c r="AD72" s="119">
        <f t="shared" si="21"/>
        <v>0</v>
      </c>
      <c r="AE72" s="119">
        <f t="shared" si="21"/>
        <v>0</v>
      </c>
      <c r="AF72" s="119">
        <f t="shared" si="21"/>
        <v>0</v>
      </c>
      <c r="AG72" s="119">
        <f t="shared" si="21"/>
        <v>0</v>
      </c>
      <c r="AH72" s="119">
        <f t="shared" si="21"/>
        <v>0</v>
      </c>
      <c r="AI72" s="119">
        <f t="shared" si="21"/>
        <v>0</v>
      </c>
      <c r="AJ72" s="119">
        <f t="shared" si="21"/>
        <v>0</v>
      </c>
      <c r="AK72" s="119">
        <f t="shared" si="21"/>
        <v>0</v>
      </c>
      <c r="AL72" s="119">
        <f t="shared" si="21"/>
        <v>0</v>
      </c>
      <c r="AM72" s="119">
        <f t="shared" si="21"/>
        <v>0</v>
      </c>
      <c r="AN72" s="119">
        <f t="shared" si="21"/>
        <v>0</v>
      </c>
      <c r="AO72" s="119">
        <f t="shared" si="21"/>
        <v>0</v>
      </c>
      <c r="AP72" s="119">
        <f t="shared" si="21"/>
        <v>0</v>
      </c>
    </row>
    <row r="73" spans="1:42" x14ac:dyDescent="0.2">
      <c r="A73" s="22" t="str">
        <f>A25</f>
        <v>Utility</v>
      </c>
      <c r="B73" s="99"/>
      <c r="C73" s="119">
        <f t="shared" ref="C73:AP73" si="22">IF(pbi_uti_for_ds="Yes",0,C622)</f>
        <v>0</v>
      </c>
      <c r="D73" s="119">
        <f t="shared" si="22"/>
        <v>0</v>
      </c>
      <c r="E73" s="119">
        <f t="shared" si="22"/>
        <v>0</v>
      </c>
      <c r="F73" s="119">
        <f t="shared" si="22"/>
        <v>0</v>
      </c>
      <c r="G73" s="119">
        <f t="shared" si="22"/>
        <v>0</v>
      </c>
      <c r="H73" s="119">
        <f t="shared" si="22"/>
        <v>0</v>
      </c>
      <c r="I73" s="119">
        <f t="shared" si="22"/>
        <v>0</v>
      </c>
      <c r="J73" s="119">
        <f t="shared" si="22"/>
        <v>0</v>
      </c>
      <c r="K73" s="119">
        <f t="shared" si="22"/>
        <v>0</v>
      </c>
      <c r="L73" s="119">
        <f t="shared" si="22"/>
        <v>0</v>
      </c>
      <c r="M73" s="119">
        <f t="shared" si="22"/>
        <v>0</v>
      </c>
      <c r="N73" s="119">
        <f t="shared" si="22"/>
        <v>0</v>
      </c>
      <c r="O73" s="119">
        <f t="shared" si="22"/>
        <v>0</v>
      </c>
      <c r="P73" s="119">
        <f t="shared" si="22"/>
        <v>0</v>
      </c>
      <c r="Q73" s="119">
        <f t="shared" si="22"/>
        <v>0</v>
      </c>
      <c r="R73" s="119">
        <f t="shared" si="22"/>
        <v>0</v>
      </c>
      <c r="S73" s="119">
        <f t="shared" si="22"/>
        <v>0</v>
      </c>
      <c r="T73" s="119">
        <f t="shared" si="22"/>
        <v>0</v>
      </c>
      <c r="U73" s="119">
        <f t="shared" si="22"/>
        <v>0</v>
      </c>
      <c r="V73" s="119">
        <f t="shared" si="22"/>
        <v>0</v>
      </c>
      <c r="W73" s="119">
        <f t="shared" si="22"/>
        <v>0</v>
      </c>
      <c r="X73" s="119">
        <f t="shared" si="22"/>
        <v>0</v>
      </c>
      <c r="Y73" s="119">
        <f t="shared" si="22"/>
        <v>0</v>
      </c>
      <c r="Z73" s="119">
        <f t="shared" si="22"/>
        <v>0</v>
      </c>
      <c r="AA73" s="119">
        <f t="shared" si="22"/>
        <v>0</v>
      </c>
      <c r="AB73" s="119">
        <f t="shared" si="22"/>
        <v>0</v>
      </c>
      <c r="AC73" s="119">
        <f t="shared" si="22"/>
        <v>0</v>
      </c>
      <c r="AD73" s="119">
        <f t="shared" si="22"/>
        <v>0</v>
      </c>
      <c r="AE73" s="119">
        <f t="shared" si="22"/>
        <v>0</v>
      </c>
      <c r="AF73" s="119">
        <f t="shared" si="22"/>
        <v>0</v>
      </c>
      <c r="AG73" s="119">
        <f t="shared" si="22"/>
        <v>0</v>
      </c>
      <c r="AH73" s="119">
        <f t="shared" si="22"/>
        <v>0</v>
      </c>
      <c r="AI73" s="119">
        <f t="shared" si="22"/>
        <v>0</v>
      </c>
      <c r="AJ73" s="119">
        <f t="shared" si="22"/>
        <v>0</v>
      </c>
      <c r="AK73" s="119">
        <f t="shared" si="22"/>
        <v>0</v>
      </c>
      <c r="AL73" s="119">
        <f t="shared" si="22"/>
        <v>0</v>
      </c>
      <c r="AM73" s="119">
        <f t="shared" si="22"/>
        <v>0</v>
      </c>
      <c r="AN73" s="119">
        <f t="shared" si="22"/>
        <v>0</v>
      </c>
      <c r="AO73" s="119">
        <f t="shared" si="22"/>
        <v>0</v>
      </c>
      <c r="AP73" s="119">
        <f t="shared" si="22"/>
        <v>0</v>
      </c>
    </row>
    <row r="74" spans="1:42" x14ac:dyDescent="0.2">
      <c r="A74" s="22" t="str">
        <f>A26</f>
        <v>Other</v>
      </c>
      <c r="B74" s="99"/>
      <c r="C74" s="120">
        <f t="shared" ref="C74:AP74" si="23">IF(pbi_oth_for_ds="Yes",0,C626)</f>
        <v>0</v>
      </c>
      <c r="D74" s="120">
        <f t="shared" si="23"/>
        <v>0</v>
      </c>
      <c r="E74" s="120">
        <f t="shared" si="23"/>
        <v>0</v>
      </c>
      <c r="F74" s="120">
        <f t="shared" si="23"/>
        <v>0</v>
      </c>
      <c r="G74" s="120">
        <f t="shared" si="23"/>
        <v>0</v>
      </c>
      <c r="H74" s="120">
        <f t="shared" si="23"/>
        <v>0</v>
      </c>
      <c r="I74" s="120">
        <f t="shared" si="23"/>
        <v>0</v>
      </c>
      <c r="J74" s="120">
        <f t="shared" si="23"/>
        <v>0</v>
      </c>
      <c r="K74" s="120">
        <f t="shared" si="23"/>
        <v>0</v>
      </c>
      <c r="L74" s="120">
        <f t="shared" si="23"/>
        <v>0</v>
      </c>
      <c r="M74" s="120">
        <f t="shared" si="23"/>
        <v>0</v>
      </c>
      <c r="N74" s="120">
        <f t="shared" si="23"/>
        <v>0</v>
      </c>
      <c r="O74" s="120">
        <f t="shared" si="23"/>
        <v>0</v>
      </c>
      <c r="P74" s="120">
        <f t="shared" si="23"/>
        <v>0</v>
      </c>
      <c r="Q74" s="120">
        <f t="shared" si="23"/>
        <v>0</v>
      </c>
      <c r="R74" s="120">
        <f t="shared" si="23"/>
        <v>0</v>
      </c>
      <c r="S74" s="120">
        <f t="shared" si="23"/>
        <v>0</v>
      </c>
      <c r="T74" s="120">
        <f t="shared" si="23"/>
        <v>0</v>
      </c>
      <c r="U74" s="120">
        <f t="shared" si="23"/>
        <v>0</v>
      </c>
      <c r="V74" s="120">
        <f t="shared" si="23"/>
        <v>0</v>
      </c>
      <c r="W74" s="120">
        <f t="shared" si="23"/>
        <v>0</v>
      </c>
      <c r="X74" s="120">
        <f t="shared" si="23"/>
        <v>0</v>
      </c>
      <c r="Y74" s="120">
        <f t="shared" si="23"/>
        <v>0</v>
      </c>
      <c r="Z74" s="120">
        <f t="shared" si="23"/>
        <v>0</v>
      </c>
      <c r="AA74" s="120">
        <f t="shared" si="23"/>
        <v>0</v>
      </c>
      <c r="AB74" s="120">
        <f t="shared" si="23"/>
        <v>0</v>
      </c>
      <c r="AC74" s="120">
        <f t="shared" si="23"/>
        <v>0</v>
      </c>
      <c r="AD74" s="120">
        <f t="shared" si="23"/>
        <v>0</v>
      </c>
      <c r="AE74" s="120">
        <f t="shared" si="23"/>
        <v>0</v>
      </c>
      <c r="AF74" s="120">
        <f t="shared" si="23"/>
        <v>0</v>
      </c>
      <c r="AG74" s="120">
        <f t="shared" si="23"/>
        <v>0</v>
      </c>
      <c r="AH74" s="120">
        <f t="shared" si="23"/>
        <v>0</v>
      </c>
      <c r="AI74" s="120">
        <f t="shared" si="23"/>
        <v>0</v>
      </c>
      <c r="AJ74" s="120">
        <f t="shared" si="23"/>
        <v>0</v>
      </c>
      <c r="AK74" s="120">
        <f t="shared" si="23"/>
        <v>0</v>
      </c>
      <c r="AL74" s="120">
        <f t="shared" si="23"/>
        <v>0</v>
      </c>
      <c r="AM74" s="120">
        <f t="shared" si="23"/>
        <v>0</v>
      </c>
      <c r="AN74" s="120">
        <f t="shared" si="23"/>
        <v>0</v>
      </c>
      <c r="AO74" s="120">
        <f t="shared" si="23"/>
        <v>0</v>
      </c>
      <c r="AP74" s="120">
        <f t="shared" si="23"/>
        <v>0</v>
      </c>
    </row>
    <row r="75" spans="1:42" x14ac:dyDescent="0.2">
      <c r="A75" s="22" t="s">
        <v>13</v>
      </c>
      <c r="B75" s="99"/>
      <c r="C75" s="119">
        <f>SUM(C71:C74)</f>
        <v>0</v>
      </c>
      <c r="D75" s="119">
        <f t="shared" ref="D75:AP75" si="24">SUM(D71:D74)</f>
        <v>0</v>
      </c>
      <c r="E75" s="119">
        <f t="shared" si="24"/>
        <v>0</v>
      </c>
      <c r="F75" s="119">
        <f t="shared" si="24"/>
        <v>0</v>
      </c>
      <c r="G75" s="119">
        <f t="shared" si="24"/>
        <v>0</v>
      </c>
      <c r="H75" s="119">
        <f t="shared" si="24"/>
        <v>0</v>
      </c>
      <c r="I75" s="119">
        <f t="shared" si="24"/>
        <v>0</v>
      </c>
      <c r="J75" s="119">
        <f t="shared" si="24"/>
        <v>0</v>
      </c>
      <c r="K75" s="119">
        <f t="shared" si="24"/>
        <v>0</v>
      </c>
      <c r="L75" s="119">
        <f t="shared" si="24"/>
        <v>0</v>
      </c>
      <c r="M75" s="119">
        <f t="shared" si="24"/>
        <v>0</v>
      </c>
      <c r="N75" s="119">
        <f t="shared" si="24"/>
        <v>0</v>
      </c>
      <c r="O75" s="119">
        <f t="shared" si="24"/>
        <v>0</v>
      </c>
      <c r="P75" s="119">
        <f t="shared" si="24"/>
        <v>0</v>
      </c>
      <c r="Q75" s="119">
        <f t="shared" si="24"/>
        <v>0</v>
      </c>
      <c r="R75" s="119">
        <f t="shared" si="24"/>
        <v>0</v>
      </c>
      <c r="S75" s="119">
        <f t="shared" si="24"/>
        <v>0</v>
      </c>
      <c r="T75" s="119">
        <f t="shared" si="24"/>
        <v>0</v>
      </c>
      <c r="U75" s="119">
        <f t="shared" si="24"/>
        <v>0</v>
      </c>
      <c r="V75" s="119">
        <f t="shared" si="24"/>
        <v>0</v>
      </c>
      <c r="W75" s="119">
        <f t="shared" si="24"/>
        <v>0</v>
      </c>
      <c r="X75" s="119">
        <f t="shared" si="24"/>
        <v>0</v>
      </c>
      <c r="Y75" s="119">
        <f t="shared" si="24"/>
        <v>0</v>
      </c>
      <c r="Z75" s="119">
        <f t="shared" si="24"/>
        <v>0</v>
      </c>
      <c r="AA75" s="119">
        <f t="shared" si="24"/>
        <v>0</v>
      </c>
      <c r="AB75" s="119">
        <f t="shared" si="24"/>
        <v>0</v>
      </c>
      <c r="AC75" s="119">
        <f t="shared" si="24"/>
        <v>0</v>
      </c>
      <c r="AD75" s="119">
        <f t="shared" si="24"/>
        <v>0</v>
      </c>
      <c r="AE75" s="119">
        <f t="shared" si="24"/>
        <v>0</v>
      </c>
      <c r="AF75" s="119">
        <f t="shared" si="24"/>
        <v>0</v>
      </c>
      <c r="AG75" s="119">
        <f t="shared" si="24"/>
        <v>0</v>
      </c>
      <c r="AH75" s="119">
        <f t="shared" si="24"/>
        <v>0</v>
      </c>
      <c r="AI75" s="119">
        <f t="shared" si="24"/>
        <v>0</v>
      </c>
      <c r="AJ75" s="119">
        <f t="shared" si="24"/>
        <v>0</v>
      </c>
      <c r="AK75" s="119">
        <f t="shared" si="24"/>
        <v>0</v>
      </c>
      <c r="AL75" s="119">
        <f t="shared" si="24"/>
        <v>0</v>
      </c>
      <c r="AM75" s="119">
        <f t="shared" si="24"/>
        <v>0</v>
      </c>
      <c r="AN75" s="119">
        <f t="shared" si="24"/>
        <v>0</v>
      </c>
      <c r="AO75" s="119">
        <f t="shared" si="24"/>
        <v>0</v>
      </c>
      <c r="AP75" s="119">
        <f t="shared" si="24"/>
        <v>0</v>
      </c>
    </row>
    <row r="76" spans="1:42" x14ac:dyDescent="0.2">
      <c r="A76" s="18" t="s">
        <v>270</v>
      </c>
      <c r="B76" s="119">
        <v>0</v>
      </c>
      <c r="C76" s="119">
        <f t="shared" ref="C76:AP76" si="25">C774</f>
        <v>9375</v>
      </c>
      <c r="D76" s="119">
        <f t="shared" si="25"/>
        <v>21384.156841448046</v>
      </c>
      <c r="E76" s="119">
        <f t="shared" si="25"/>
        <v>33399.173057896092</v>
      </c>
      <c r="F76" s="119">
        <f t="shared" si="25"/>
        <v>45420.195133719149</v>
      </c>
      <c r="G76" s="119">
        <f t="shared" si="25"/>
        <v>57447.373215401567</v>
      </c>
      <c r="H76" s="119">
        <f t="shared" si="25"/>
        <v>69480.861203089866</v>
      </c>
      <c r="I76" s="119">
        <f t="shared" si="25"/>
        <v>81520.816844434157</v>
      </c>
      <c r="J76" s="119">
        <f t="shared" si="25"/>
        <v>93567.401830775852</v>
      </c>
      <c r="K76" s="119">
        <f t="shared" si="25"/>
        <v>105620.78189573988</v>
      </c>
      <c r="L76" s="119">
        <f t="shared" si="25"/>
        <v>117681.12691629183</v>
      </c>
      <c r="M76" s="119">
        <f t="shared" si="25"/>
        <v>129748.61101632135</v>
      </c>
      <c r="N76" s="119">
        <f t="shared" si="25"/>
        <v>141823.41267281541</v>
      </c>
      <c r="O76" s="119">
        <f t="shared" si="25"/>
        <v>153905.71482468562</v>
      </c>
      <c r="P76" s="119">
        <f t="shared" si="25"/>
        <v>165995.7049843164</v>
      </c>
      <c r="Q76" s="119">
        <f t="shared" si="25"/>
        <v>178093.57535190173</v>
      </c>
      <c r="R76" s="119">
        <f t="shared" si="25"/>
        <v>13577.795310919788</v>
      </c>
      <c r="S76" s="119">
        <f t="shared" si="25"/>
        <v>13917.240193692778</v>
      </c>
      <c r="T76" s="119">
        <f t="shared" si="25"/>
        <v>14265.171198535096</v>
      </c>
      <c r="U76" s="119">
        <f t="shared" si="25"/>
        <v>14621.800478498475</v>
      </c>
      <c r="V76" s="119">
        <f t="shared" si="25"/>
        <v>14987.345490460935</v>
      </c>
      <c r="W76" s="119">
        <f t="shared" si="25"/>
        <v>15362.029127722457</v>
      </c>
      <c r="X76" s="119">
        <f t="shared" si="25"/>
        <v>15746.079855915517</v>
      </c>
      <c r="Y76" s="119">
        <f t="shared" si="25"/>
        <v>16139.731852313405</v>
      </c>
      <c r="Z76" s="119">
        <f t="shared" si="25"/>
        <v>16543.225148621244</v>
      </c>
      <c r="AA76" s="119">
        <f t="shared" si="25"/>
        <v>16956.805777336773</v>
      </c>
      <c r="AB76" s="119">
        <f t="shared" si="25"/>
        <v>0</v>
      </c>
      <c r="AC76" s="119">
        <f t="shared" si="25"/>
        <v>0</v>
      </c>
      <c r="AD76" s="119">
        <f t="shared" si="25"/>
        <v>0</v>
      </c>
      <c r="AE76" s="119">
        <f t="shared" si="25"/>
        <v>0</v>
      </c>
      <c r="AF76" s="119">
        <f t="shared" si="25"/>
        <v>0</v>
      </c>
      <c r="AG76" s="119">
        <f t="shared" si="25"/>
        <v>0</v>
      </c>
      <c r="AH76" s="119">
        <f t="shared" si="25"/>
        <v>0</v>
      </c>
      <c r="AI76" s="119">
        <f t="shared" si="25"/>
        <v>0</v>
      </c>
      <c r="AJ76" s="119">
        <f t="shared" si="25"/>
        <v>0</v>
      </c>
      <c r="AK76" s="119">
        <f t="shared" si="25"/>
        <v>0</v>
      </c>
      <c r="AL76" s="119">
        <f t="shared" si="25"/>
        <v>0</v>
      </c>
      <c r="AM76" s="119">
        <f t="shared" si="25"/>
        <v>0</v>
      </c>
      <c r="AN76" s="119">
        <f t="shared" si="25"/>
        <v>0</v>
      </c>
      <c r="AO76" s="119">
        <f t="shared" si="25"/>
        <v>0</v>
      </c>
      <c r="AP76" s="119">
        <f t="shared" si="25"/>
        <v>0</v>
      </c>
    </row>
    <row r="77" spans="1:42" x14ac:dyDescent="0.2">
      <c r="A77" s="18" t="s">
        <v>271</v>
      </c>
      <c r="B77" s="120">
        <v>0</v>
      </c>
      <c r="C77" s="120">
        <f t="shared" ref="C77:AP77" si="26">-C633</f>
        <v>0</v>
      </c>
      <c r="D77" s="120">
        <f t="shared" si="26"/>
        <v>0</v>
      </c>
      <c r="E77" s="120">
        <f t="shared" si="26"/>
        <v>0</v>
      </c>
      <c r="F77" s="120">
        <f t="shared" si="26"/>
        <v>0</v>
      </c>
      <c r="G77" s="120">
        <f t="shared" si="26"/>
        <v>0</v>
      </c>
      <c r="H77" s="120">
        <f t="shared" si="26"/>
        <v>0</v>
      </c>
      <c r="I77" s="120">
        <f t="shared" si="26"/>
        <v>0</v>
      </c>
      <c r="J77" s="120">
        <f t="shared" si="26"/>
        <v>0</v>
      </c>
      <c r="K77" s="120">
        <f t="shared" si="26"/>
        <v>0</v>
      </c>
      <c r="L77" s="120">
        <f t="shared" si="26"/>
        <v>0</v>
      </c>
      <c r="M77" s="120">
        <f t="shared" si="26"/>
        <v>0</v>
      </c>
      <c r="N77" s="120">
        <f t="shared" si="26"/>
        <v>0</v>
      </c>
      <c r="O77" s="120">
        <f t="shared" si="26"/>
        <v>0</v>
      </c>
      <c r="P77" s="120">
        <f t="shared" si="26"/>
        <v>0</v>
      </c>
      <c r="Q77" s="120">
        <f t="shared" si="26"/>
        <v>0</v>
      </c>
      <c r="R77" s="120">
        <f t="shared" si="26"/>
        <v>0</v>
      </c>
      <c r="S77" s="120">
        <f t="shared" si="26"/>
        <v>0</v>
      </c>
      <c r="T77" s="120">
        <f t="shared" si="26"/>
        <v>0</v>
      </c>
      <c r="U77" s="120">
        <f t="shared" si="26"/>
        <v>0</v>
      </c>
      <c r="V77" s="120">
        <f t="shared" si="26"/>
        <v>0</v>
      </c>
      <c r="W77" s="120">
        <f t="shared" si="26"/>
        <v>0</v>
      </c>
      <c r="X77" s="120">
        <f t="shared" si="26"/>
        <v>0</v>
      </c>
      <c r="Y77" s="120">
        <f t="shared" si="26"/>
        <v>0</v>
      </c>
      <c r="Z77" s="120">
        <f t="shared" si="26"/>
        <v>0</v>
      </c>
      <c r="AA77" s="120">
        <f t="shared" si="26"/>
        <v>0</v>
      </c>
      <c r="AB77" s="120">
        <f t="shared" si="26"/>
        <v>0</v>
      </c>
      <c r="AC77" s="120">
        <f t="shared" si="26"/>
        <v>0</v>
      </c>
      <c r="AD77" s="120">
        <f t="shared" si="26"/>
        <v>0</v>
      </c>
      <c r="AE77" s="120">
        <f t="shared" si="26"/>
        <v>0</v>
      </c>
      <c r="AF77" s="120">
        <f t="shared" si="26"/>
        <v>0</v>
      </c>
      <c r="AG77" s="120">
        <f t="shared" si="26"/>
        <v>0</v>
      </c>
      <c r="AH77" s="120">
        <f t="shared" si="26"/>
        <v>0</v>
      </c>
      <c r="AI77" s="120">
        <f t="shared" si="26"/>
        <v>0</v>
      </c>
      <c r="AJ77" s="120">
        <f t="shared" si="26"/>
        <v>0</v>
      </c>
      <c r="AK77" s="120">
        <f t="shared" si="26"/>
        <v>0</v>
      </c>
      <c r="AL77" s="120">
        <f t="shared" si="26"/>
        <v>0</v>
      </c>
      <c r="AM77" s="120">
        <f t="shared" si="26"/>
        <v>0</v>
      </c>
      <c r="AN77" s="120">
        <f t="shared" si="26"/>
        <v>0</v>
      </c>
      <c r="AO77" s="120">
        <f t="shared" si="26"/>
        <v>0</v>
      </c>
      <c r="AP77" s="120">
        <f t="shared" si="26"/>
        <v>0</v>
      </c>
    </row>
    <row r="78" spans="1:42" x14ac:dyDescent="0.2">
      <c r="A78" s="206" t="s">
        <v>13</v>
      </c>
      <c r="B78" s="137">
        <f>B69+B75+B76+B77</f>
        <v>0</v>
      </c>
      <c r="C78" s="137">
        <f>C69+C75+C76+C77</f>
        <v>6985675</v>
      </c>
      <c r="D78" s="137">
        <f t="shared" ref="D78:AP78" si="27">D69+D75+D76+D77</f>
        <v>7002144.1568414485</v>
      </c>
      <c r="E78" s="137">
        <f t="shared" si="27"/>
        <v>7017881.6730578961</v>
      </c>
      <c r="F78" s="137">
        <f t="shared" si="27"/>
        <v>7032884.2576337196</v>
      </c>
      <c r="G78" s="137">
        <f t="shared" si="27"/>
        <v>7047108.0372779015</v>
      </c>
      <c r="H78" s="137">
        <f t="shared" si="27"/>
        <v>7060538.5418671537</v>
      </c>
      <c r="I78" s="137">
        <f t="shared" si="27"/>
        <v>7073160.6895250985</v>
      </c>
      <c r="J78" s="137">
        <f t="shared" si="27"/>
        <v>7084938.7713284567</v>
      </c>
      <c r="K78" s="137">
        <f t="shared" si="27"/>
        <v>7095846.4356308635</v>
      </c>
      <c r="L78" s="137">
        <f t="shared" si="27"/>
        <v>7105866.6719947942</v>
      </c>
      <c r="M78" s="137">
        <f t="shared" si="27"/>
        <v>7114971.794721785</v>
      </c>
      <c r="N78" s="137">
        <f t="shared" si="27"/>
        <v>7123123.4259709166</v>
      </c>
      <c r="O78" s="137">
        <f t="shared" si="27"/>
        <v>7130302.4784552399</v>
      </c>
      <c r="P78" s="137">
        <f t="shared" si="27"/>
        <v>7136479.1377056343</v>
      </c>
      <c r="Q78" s="137">
        <f t="shared" si="27"/>
        <v>7141612.8438912518</v>
      </c>
      <c r="R78" s="137">
        <f t="shared" si="27"/>
        <v>6969080.5455637537</v>
      </c>
      <c r="S78" s="137">
        <f t="shared" si="27"/>
        <v>6960288.809202848</v>
      </c>
      <c r="T78" s="137">
        <f t="shared" si="27"/>
        <v>6950377.7794329198</v>
      </c>
      <c r="U78" s="137">
        <f t="shared" si="27"/>
        <v>6939303.7239187425</v>
      </c>
      <c r="V78" s="137">
        <f t="shared" si="27"/>
        <v>6927042.0670167115</v>
      </c>
      <c r="W78" s="137">
        <f t="shared" si="27"/>
        <v>6913547.3686921299</v>
      </c>
      <c r="X78" s="137">
        <f t="shared" si="27"/>
        <v>6898793.302909432</v>
      </c>
      <c r="Y78" s="137">
        <f t="shared" si="27"/>
        <v>6882742.6354821688</v>
      </c>
      <c r="Z78" s="137">
        <f t="shared" si="27"/>
        <v>6865367.2013692223</v>
      </c>
      <c r="AA78" s="137">
        <f t="shared" si="27"/>
        <v>6846607.8814034527</v>
      </c>
      <c r="AB78" s="137">
        <f t="shared" si="27"/>
        <v>0</v>
      </c>
      <c r="AC78" s="137">
        <f t="shared" si="27"/>
        <v>0</v>
      </c>
      <c r="AD78" s="137">
        <f t="shared" si="27"/>
        <v>0</v>
      </c>
      <c r="AE78" s="137">
        <f t="shared" si="27"/>
        <v>0</v>
      </c>
      <c r="AF78" s="137">
        <f t="shared" si="27"/>
        <v>0</v>
      </c>
      <c r="AG78" s="137">
        <f t="shared" si="27"/>
        <v>0</v>
      </c>
      <c r="AH78" s="137">
        <f t="shared" si="27"/>
        <v>0</v>
      </c>
      <c r="AI78" s="137">
        <f t="shared" si="27"/>
        <v>0</v>
      </c>
      <c r="AJ78" s="137">
        <f t="shared" si="27"/>
        <v>0</v>
      </c>
      <c r="AK78" s="137">
        <f t="shared" si="27"/>
        <v>0</v>
      </c>
      <c r="AL78" s="137">
        <f t="shared" si="27"/>
        <v>0</v>
      </c>
      <c r="AM78" s="137">
        <f t="shared" si="27"/>
        <v>0</v>
      </c>
      <c r="AN78" s="137">
        <f t="shared" si="27"/>
        <v>0</v>
      </c>
      <c r="AO78" s="137">
        <f t="shared" si="27"/>
        <v>0</v>
      </c>
      <c r="AP78" s="137">
        <f t="shared" si="27"/>
        <v>0</v>
      </c>
    </row>
    <row r="79" spans="1:42" x14ac:dyDescent="0.2">
      <c r="A79" s="18"/>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row>
    <row r="80" spans="1:42" x14ac:dyDescent="0.2">
      <c r="A80" s="20" t="s">
        <v>72</v>
      </c>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row>
    <row r="81" spans="1:42" x14ac:dyDescent="0.2">
      <c r="A81" s="4" t="s">
        <v>198</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22" t="s">
        <v>199</v>
      </c>
      <c r="B82" s="119">
        <f>-total_installed_cost</f>
        <v>-106498000</v>
      </c>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row>
    <row r="83" spans="1:42" x14ac:dyDescent="0.2">
      <c r="A83" s="22" t="s">
        <v>372</v>
      </c>
      <c r="B83" s="119">
        <f>-cost_equity_closing</f>
        <v>-300000</v>
      </c>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row>
    <row r="84" spans="1:42" x14ac:dyDescent="0.2">
      <c r="A84" s="22" t="s">
        <v>361</v>
      </c>
      <c r="B84" s="119">
        <f>-Inputs!C85</f>
        <v>-3194940</v>
      </c>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row>
    <row r="85" spans="1:42" x14ac:dyDescent="0.2">
      <c r="A85" s="22" t="s">
        <v>261</v>
      </c>
      <c r="B85" s="119">
        <f>IF(cost_debt_closing="N/A",0,-cost_debt_closing)</f>
        <v>0</v>
      </c>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row>
    <row r="86" spans="1:42" x14ac:dyDescent="0.2">
      <c r="A86" s="22" t="s">
        <v>262</v>
      </c>
      <c r="B86" s="119">
        <f>IF(cost_debt_fee="N/A",0,-CostDebtUpfront)</f>
        <v>0</v>
      </c>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row>
    <row r="87" spans="1:42" x14ac:dyDescent="0.2">
      <c r="A87" s="22" t="s">
        <v>263</v>
      </c>
      <c r="B87" s="119">
        <f>-cost_other_financing</f>
        <v>0</v>
      </c>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row>
    <row r="88" spans="1:42" x14ac:dyDescent="0.2">
      <c r="A88" s="22" t="s">
        <v>200</v>
      </c>
      <c r="B88" s="119">
        <f>-Inputs!I98</f>
        <v>-1996837.5</v>
      </c>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row>
    <row r="89" spans="1:42" x14ac:dyDescent="0.2">
      <c r="A89" s="22" t="s">
        <v>268</v>
      </c>
      <c r="B89" s="119">
        <f>C595+C601</f>
        <v>0</v>
      </c>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row>
    <row r="90" spans="1:42" x14ac:dyDescent="0.2">
      <c r="A90" s="22" t="s">
        <v>269</v>
      </c>
      <c r="B90" s="120">
        <f>C608</f>
        <v>0</v>
      </c>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row>
    <row r="91" spans="1:42" x14ac:dyDescent="0.2">
      <c r="A91" s="22" t="s">
        <v>209</v>
      </c>
      <c r="B91" s="119">
        <f>SUM(B82:B90)</f>
        <v>-111989777.5</v>
      </c>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row>
    <row r="92" spans="1:42" x14ac:dyDescent="0.2">
      <c r="A92" s="18" t="s">
        <v>201</v>
      </c>
      <c r="B92" s="119"/>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row>
    <row r="93" spans="1:42" x14ac:dyDescent="0.2">
      <c r="A93" s="22" t="s">
        <v>296</v>
      </c>
      <c r="B93" s="119">
        <f>-B660-B661</f>
        <v>0</v>
      </c>
      <c r="C93" s="119">
        <f t="shared" ref="C93:AP93" si="28">-C660-C661</f>
        <v>0</v>
      </c>
      <c r="D93" s="119">
        <f t="shared" si="28"/>
        <v>0</v>
      </c>
      <c r="E93" s="119">
        <f t="shared" si="28"/>
        <v>0</v>
      </c>
      <c r="F93" s="119">
        <f t="shared" si="28"/>
        <v>0</v>
      </c>
      <c r="G93" s="119">
        <f t="shared" si="28"/>
        <v>0</v>
      </c>
      <c r="H93" s="119">
        <f t="shared" si="28"/>
        <v>0</v>
      </c>
      <c r="I93" s="119">
        <f t="shared" si="28"/>
        <v>0</v>
      </c>
      <c r="J93" s="119">
        <f t="shared" si="28"/>
        <v>0</v>
      </c>
      <c r="K93" s="119">
        <f t="shared" si="28"/>
        <v>0</v>
      </c>
      <c r="L93" s="119">
        <f t="shared" si="28"/>
        <v>0</v>
      </c>
      <c r="M93" s="119">
        <f t="shared" si="28"/>
        <v>0</v>
      </c>
      <c r="N93" s="119">
        <f t="shared" si="28"/>
        <v>0</v>
      </c>
      <c r="O93" s="119">
        <f t="shared" si="28"/>
        <v>0</v>
      </c>
      <c r="P93" s="119">
        <f t="shared" si="28"/>
        <v>0</v>
      </c>
      <c r="Q93" s="119">
        <f t="shared" si="28"/>
        <v>0</v>
      </c>
      <c r="R93" s="119">
        <f t="shared" si="28"/>
        <v>0</v>
      </c>
      <c r="S93" s="119">
        <f t="shared" si="28"/>
        <v>0</v>
      </c>
      <c r="T93" s="119">
        <f t="shared" si="28"/>
        <v>0</v>
      </c>
      <c r="U93" s="119">
        <f t="shared" si="28"/>
        <v>0</v>
      </c>
      <c r="V93" s="119">
        <f t="shared" si="28"/>
        <v>0</v>
      </c>
      <c r="W93" s="119">
        <f t="shared" si="28"/>
        <v>0</v>
      </c>
      <c r="X93" s="119">
        <f t="shared" si="28"/>
        <v>0</v>
      </c>
      <c r="Y93" s="119">
        <f t="shared" si="28"/>
        <v>0</v>
      </c>
      <c r="Z93" s="119">
        <f t="shared" si="28"/>
        <v>0</v>
      </c>
      <c r="AA93" s="119">
        <f t="shared" si="28"/>
        <v>0</v>
      </c>
      <c r="AB93" s="119">
        <f t="shared" si="28"/>
        <v>0</v>
      </c>
      <c r="AC93" s="119">
        <f t="shared" si="28"/>
        <v>0</v>
      </c>
      <c r="AD93" s="119">
        <f t="shared" si="28"/>
        <v>0</v>
      </c>
      <c r="AE93" s="119">
        <f t="shared" si="28"/>
        <v>0</v>
      </c>
      <c r="AF93" s="119">
        <f t="shared" si="28"/>
        <v>0</v>
      </c>
      <c r="AG93" s="119">
        <f t="shared" si="28"/>
        <v>0</v>
      </c>
      <c r="AH93" s="119">
        <f t="shared" si="28"/>
        <v>0</v>
      </c>
      <c r="AI93" s="119">
        <f t="shared" si="28"/>
        <v>0</v>
      </c>
      <c r="AJ93" s="119">
        <f t="shared" si="28"/>
        <v>0</v>
      </c>
      <c r="AK93" s="119">
        <f t="shared" si="28"/>
        <v>0</v>
      </c>
      <c r="AL93" s="119">
        <f t="shared" si="28"/>
        <v>0</v>
      </c>
      <c r="AM93" s="119">
        <f t="shared" si="28"/>
        <v>0</v>
      </c>
      <c r="AN93" s="119">
        <f t="shared" si="28"/>
        <v>0</v>
      </c>
      <c r="AO93" s="119">
        <f t="shared" si="28"/>
        <v>0</v>
      </c>
      <c r="AP93" s="119">
        <f t="shared" si="28"/>
        <v>0</v>
      </c>
    </row>
    <row r="94" spans="1:42" x14ac:dyDescent="0.2">
      <c r="A94" s="22" t="s">
        <v>295</v>
      </c>
      <c r="B94" s="119">
        <f t="shared" ref="B94:AP94" si="29">-B666-B667</f>
        <v>-750000</v>
      </c>
      <c r="C94" s="119">
        <f t="shared" si="29"/>
        <v>-18749.999999999884</v>
      </c>
      <c r="D94" s="119">
        <f t="shared" si="29"/>
        <v>-19218.75</v>
      </c>
      <c r="E94" s="119">
        <f t="shared" si="29"/>
        <v>-19699.21875</v>
      </c>
      <c r="F94" s="119">
        <f t="shared" si="29"/>
        <v>-20191.699218749884</v>
      </c>
      <c r="G94" s="119">
        <f t="shared" si="29"/>
        <v>-20696.491699218634</v>
      </c>
      <c r="H94" s="119">
        <f t="shared" si="29"/>
        <v>-21213.903991699335</v>
      </c>
      <c r="I94" s="119">
        <f t="shared" si="29"/>
        <v>-21744.251591491629</v>
      </c>
      <c r="J94" s="119">
        <f t="shared" si="29"/>
        <v>-22287.857881278847</v>
      </c>
      <c r="K94" s="119">
        <f t="shared" si="29"/>
        <v>-22845.054328310885</v>
      </c>
      <c r="L94" s="119">
        <f t="shared" si="29"/>
        <v>-23416.180686518783</v>
      </c>
      <c r="M94" s="119">
        <f t="shared" si="29"/>
        <v>-24001.585203681607</v>
      </c>
      <c r="N94" s="119">
        <f t="shared" si="29"/>
        <v>-24601.624833773705</v>
      </c>
      <c r="O94" s="119">
        <f t="shared" si="29"/>
        <v>-25216.665454617934</v>
      </c>
      <c r="P94" s="119">
        <f t="shared" si="29"/>
        <v>-25847.082090983633</v>
      </c>
      <c r="Q94" s="119">
        <f t="shared" si="29"/>
        <v>-26493.259143258212</v>
      </c>
      <c r="R94" s="119">
        <f t="shared" si="29"/>
        <v>-27155.590621839277</v>
      </c>
      <c r="S94" s="119">
        <f t="shared" si="29"/>
        <v>-27834.480387385469</v>
      </c>
      <c r="T94" s="119">
        <f t="shared" si="29"/>
        <v>-28530.342397070257</v>
      </c>
      <c r="U94" s="119">
        <f t="shared" si="29"/>
        <v>-29243.600956996903</v>
      </c>
      <c r="V94" s="119">
        <f t="shared" si="29"/>
        <v>-29974.690980921732</v>
      </c>
      <c r="W94" s="119">
        <f t="shared" si="29"/>
        <v>-30724.058255444746</v>
      </c>
      <c r="X94" s="119">
        <f t="shared" si="29"/>
        <v>-31492.159711831016</v>
      </c>
      <c r="Y94" s="119">
        <f t="shared" si="29"/>
        <v>-32279.463704627007</v>
      </c>
      <c r="Z94" s="119">
        <f t="shared" si="29"/>
        <v>-33086.450297242263</v>
      </c>
      <c r="AA94" s="119">
        <f t="shared" si="29"/>
        <v>1356544.4621869416</v>
      </c>
      <c r="AB94" s="119">
        <f t="shared" si="29"/>
        <v>0</v>
      </c>
      <c r="AC94" s="119">
        <f t="shared" si="29"/>
        <v>0</v>
      </c>
      <c r="AD94" s="119">
        <f t="shared" si="29"/>
        <v>0</v>
      </c>
      <c r="AE94" s="119">
        <f t="shared" si="29"/>
        <v>0</v>
      </c>
      <c r="AF94" s="119">
        <f t="shared" si="29"/>
        <v>0</v>
      </c>
      <c r="AG94" s="119">
        <f t="shared" si="29"/>
        <v>0</v>
      </c>
      <c r="AH94" s="119">
        <f t="shared" si="29"/>
        <v>0</v>
      </c>
      <c r="AI94" s="119">
        <f t="shared" si="29"/>
        <v>0</v>
      </c>
      <c r="AJ94" s="119">
        <f t="shared" si="29"/>
        <v>0</v>
      </c>
      <c r="AK94" s="119">
        <f t="shared" si="29"/>
        <v>0</v>
      </c>
      <c r="AL94" s="119">
        <f t="shared" si="29"/>
        <v>0</v>
      </c>
      <c r="AM94" s="119">
        <f t="shared" si="29"/>
        <v>0</v>
      </c>
      <c r="AN94" s="119">
        <f t="shared" si="29"/>
        <v>0</v>
      </c>
      <c r="AO94" s="119">
        <f t="shared" si="29"/>
        <v>0</v>
      </c>
      <c r="AP94" s="119">
        <f t="shared" si="29"/>
        <v>0</v>
      </c>
    </row>
    <row r="95" spans="1:42" x14ac:dyDescent="0.2">
      <c r="A95" s="22" t="s">
        <v>307</v>
      </c>
      <c r="B95" s="119">
        <f>-B672-B673</f>
        <v>0</v>
      </c>
      <c r="C95" s="119">
        <f t="shared" ref="C95:AP95" si="30">-C672-C673</f>
        <v>0</v>
      </c>
      <c r="D95" s="119">
        <f t="shared" si="30"/>
        <v>0</v>
      </c>
      <c r="E95" s="119">
        <f t="shared" si="30"/>
        <v>0</v>
      </c>
      <c r="F95" s="119">
        <f t="shared" si="30"/>
        <v>0</v>
      </c>
      <c r="G95" s="119">
        <f t="shared" si="30"/>
        <v>0</v>
      </c>
      <c r="H95" s="119">
        <f t="shared" si="30"/>
        <v>0</v>
      </c>
      <c r="I95" s="119">
        <f t="shared" si="30"/>
        <v>0</v>
      </c>
      <c r="J95" s="119">
        <f t="shared" si="30"/>
        <v>0</v>
      </c>
      <c r="K95" s="119">
        <f t="shared" si="30"/>
        <v>0</v>
      </c>
      <c r="L95" s="119">
        <f t="shared" si="30"/>
        <v>0</v>
      </c>
      <c r="M95" s="119">
        <f t="shared" si="30"/>
        <v>0</v>
      </c>
      <c r="N95" s="119">
        <f t="shared" si="30"/>
        <v>0</v>
      </c>
      <c r="O95" s="119">
        <f t="shared" si="30"/>
        <v>0</v>
      </c>
      <c r="P95" s="119">
        <f t="shared" si="30"/>
        <v>0</v>
      </c>
      <c r="Q95" s="119">
        <f t="shared" si="30"/>
        <v>0</v>
      </c>
      <c r="R95" s="119">
        <f t="shared" si="30"/>
        <v>0</v>
      </c>
      <c r="S95" s="119">
        <f t="shared" si="30"/>
        <v>0</v>
      </c>
      <c r="T95" s="119">
        <f t="shared" si="30"/>
        <v>0</v>
      </c>
      <c r="U95" s="119">
        <f t="shared" si="30"/>
        <v>0</v>
      </c>
      <c r="V95" s="119">
        <f t="shared" si="30"/>
        <v>0</v>
      </c>
      <c r="W95" s="119">
        <f t="shared" si="30"/>
        <v>0</v>
      </c>
      <c r="X95" s="119">
        <f t="shared" si="30"/>
        <v>0</v>
      </c>
      <c r="Y95" s="119">
        <f t="shared" si="30"/>
        <v>0</v>
      </c>
      <c r="Z95" s="119">
        <f t="shared" si="30"/>
        <v>0</v>
      </c>
      <c r="AA95" s="119">
        <f t="shared" si="30"/>
        <v>0</v>
      </c>
      <c r="AB95" s="119">
        <f t="shared" si="30"/>
        <v>0</v>
      </c>
      <c r="AC95" s="119">
        <f t="shared" si="30"/>
        <v>0</v>
      </c>
      <c r="AD95" s="119">
        <f t="shared" si="30"/>
        <v>0</v>
      </c>
      <c r="AE95" s="119">
        <f t="shared" si="30"/>
        <v>0</v>
      </c>
      <c r="AF95" s="119">
        <f t="shared" si="30"/>
        <v>0</v>
      </c>
      <c r="AG95" s="119">
        <f t="shared" si="30"/>
        <v>0</v>
      </c>
      <c r="AH95" s="119">
        <f t="shared" si="30"/>
        <v>0</v>
      </c>
      <c r="AI95" s="119">
        <f t="shared" si="30"/>
        <v>0</v>
      </c>
      <c r="AJ95" s="119">
        <f t="shared" si="30"/>
        <v>0</v>
      </c>
      <c r="AK95" s="119">
        <f t="shared" si="30"/>
        <v>0</v>
      </c>
      <c r="AL95" s="119">
        <f t="shared" si="30"/>
        <v>0</v>
      </c>
      <c r="AM95" s="119">
        <f t="shared" si="30"/>
        <v>0</v>
      </c>
      <c r="AN95" s="119">
        <f t="shared" si="30"/>
        <v>0</v>
      </c>
      <c r="AO95" s="119">
        <f t="shared" si="30"/>
        <v>0</v>
      </c>
      <c r="AP95" s="119">
        <f t="shared" si="30"/>
        <v>0</v>
      </c>
    </row>
    <row r="96" spans="1:42" x14ac:dyDescent="0.2">
      <c r="A96" s="22" t="s">
        <v>308</v>
      </c>
      <c r="B96" s="119">
        <f>-B678-B679</f>
        <v>0</v>
      </c>
      <c r="C96" s="119">
        <f t="shared" ref="C96:AP96" si="31">-C678-C679</f>
        <v>-941982.54731584399</v>
      </c>
      <c r="D96" s="119">
        <f t="shared" si="31"/>
        <v>-941982.54731584399</v>
      </c>
      <c r="E96" s="119">
        <f t="shared" si="31"/>
        <v>-941982.54731584399</v>
      </c>
      <c r="F96" s="119">
        <f t="shared" si="31"/>
        <v>-941982.54731584399</v>
      </c>
      <c r="G96" s="119">
        <f t="shared" si="31"/>
        <v>-941982.54731584399</v>
      </c>
      <c r="H96" s="119">
        <f t="shared" si="31"/>
        <v>-941982.54731584399</v>
      </c>
      <c r="I96" s="119">
        <f t="shared" si="31"/>
        <v>-941982.54731584399</v>
      </c>
      <c r="J96" s="119">
        <f t="shared" si="31"/>
        <v>-941982.54731584399</v>
      </c>
      <c r="K96" s="119">
        <f t="shared" si="31"/>
        <v>-941982.54731584399</v>
      </c>
      <c r="L96" s="119">
        <f t="shared" si="31"/>
        <v>-941982.54731584399</v>
      </c>
      <c r="M96" s="119">
        <f t="shared" si="31"/>
        <v>-941982.54731584399</v>
      </c>
      <c r="N96" s="119">
        <f t="shared" si="31"/>
        <v>-941982.54731584399</v>
      </c>
      <c r="O96" s="119">
        <f t="shared" si="31"/>
        <v>-941982.54731584399</v>
      </c>
      <c r="P96" s="119">
        <f t="shared" si="31"/>
        <v>-941982.54731584399</v>
      </c>
      <c r="Q96" s="119">
        <f t="shared" si="31"/>
        <v>13187755.662421817</v>
      </c>
      <c r="R96" s="119">
        <f t="shared" si="31"/>
        <v>0</v>
      </c>
      <c r="S96" s="119">
        <f t="shared" si="31"/>
        <v>0</v>
      </c>
      <c r="T96" s="119">
        <f t="shared" si="31"/>
        <v>0</v>
      </c>
      <c r="U96" s="119">
        <f t="shared" si="31"/>
        <v>0</v>
      </c>
      <c r="V96" s="119">
        <f t="shared" si="31"/>
        <v>0</v>
      </c>
      <c r="W96" s="119">
        <f t="shared" si="31"/>
        <v>0</v>
      </c>
      <c r="X96" s="119">
        <f t="shared" si="31"/>
        <v>0</v>
      </c>
      <c r="Y96" s="119">
        <f t="shared" si="31"/>
        <v>0</v>
      </c>
      <c r="Z96" s="119">
        <f t="shared" si="31"/>
        <v>0</v>
      </c>
      <c r="AA96" s="119">
        <f t="shared" si="31"/>
        <v>0</v>
      </c>
      <c r="AB96" s="119">
        <f t="shared" si="31"/>
        <v>0</v>
      </c>
      <c r="AC96" s="119">
        <f t="shared" si="31"/>
        <v>0</v>
      </c>
      <c r="AD96" s="119">
        <f t="shared" si="31"/>
        <v>0</v>
      </c>
      <c r="AE96" s="119">
        <f t="shared" si="31"/>
        <v>0</v>
      </c>
      <c r="AF96" s="119">
        <f t="shared" si="31"/>
        <v>0</v>
      </c>
      <c r="AG96" s="119">
        <f t="shared" si="31"/>
        <v>0</v>
      </c>
      <c r="AH96" s="119">
        <f t="shared" si="31"/>
        <v>0</v>
      </c>
      <c r="AI96" s="119">
        <f t="shared" si="31"/>
        <v>0</v>
      </c>
      <c r="AJ96" s="119">
        <f t="shared" si="31"/>
        <v>0</v>
      </c>
      <c r="AK96" s="119">
        <f t="shared" si="31"/>
        <v>0</v>
      </c>
      <c r="AL96" s="119">
        <f t="shared" si="31"/>
        <v>0</v>
      </c>
      <c r="AM96" s="119">
        <f t="shared" si="31"/>
        <v>0</v>
      </c>
      <c r="AN96" s="119">
        <f t="shared" si="31"/>
        <v>0</v>
      </c>
      <c r="AO96" s="119">
        <f t="shared" si="31"/>
        <v>0</v>
      </c>
      <c r="AP96" s="119">
        <f t="shared" si="31"/>
        <v>0</v>
      </c>
    </row>
    <row r="97" spans="1:42" x14ac:dyDescent="0.2">
      <c r="A97" s="22" t="s">
        <v>309</v>
      </c>
      <c r="B97" s="119">
        <f>-B710-B711</f>
        <v>0</v>
      </c>
      <c r="C97" s="119">
        <f t="shared" ref="C97:AP97" si="32">-C710-C711</f>
        <v>0</v>
      </c>
      <c r="D97" s="119">
        <f t="shared" si="32"/>
        <v>0</v>
      </c>
      <c r="E97" s="119">
        <f t="shared" si="32"/>
        <v>0</v>
      </c>
      <c r="F97" s="119">
        <f t="shared" si="32"/>
        <v>0</v>
      </c>
      <c r="G97" s="119">
        <f t="shared" si="32"/>
        <v>0</v>
      </c>
      <c r="H97" s="119">
        <f t="shared" si="32"/>
        <v>0</v>
      </c>
      <c r="I97" s="119">
        <f t="shared" si="32"/>
        <v>0</v>
      </c>
      <c r="J97" s="119">
        <f t="shared" si="32"/>
        <v>0</v>
      </c>
      <c r="K97" s="119">
        <f t="shared" si="32"/>
        <v>0</v>
      </c>
      <c r="L97" s="119">
        <f t="shared" si="32"/>
        <v>0</v>
      </c>
      <c r="M97" s="119">
        <f t="shared" si="32"/>
        <v>0</v>
      </c>
      <c r="N97" s="119">
        <f t="shared" si="32"/>
        <v>0</v>
      </c>
      <c r="O97" s="119">
        <f t="shared" si="32"/>
        <v>0</v>
      </c>
      <c r="P97" s="119">
        <f t="shared" si="32"/>
        <v>0</v>
      </c>
      <c r="Q97" s="119">
        <f t="shared" si="32"/>
        <v>0</v>
      </c>
      <c r="R97" s="119">
        <f t="shared" si="32"/>
        <v>0</v>
      </c>
      <c r="S97" s="119">
        <f t="shared" si="32"/>
        <v>0</v>
      </c>
      <c r="T97" s="119">
        <f t="shared" si="32"/>
        <v>0</v>
      </c>
      <c r="U97" s="119">
        <f t="shared" si="32"/>
        <v>0</v>
      </c>
      <c r="V97" s="119">
        <f t="shared" si="32"/>
        <v>0</v>
      </c>
      <c r="W97" s="119">
        <f t="shared" si="32"/>
        <v>0</v>
      </c>
      <c r="X97" s="119">
        <f t="shared" si="32"/>
        <v>0</v>
      </c>
      <c r="Y97" s="119">
        <f t="shared" si="32"/>
        <v>0</v>
      </c>
      <c r="Z97" s="119">
        <f t="shared" si="32"/>
        <v>0</v>
      </c>
      <c r="AA97" s="119">
        <f t="shared" si="32"/>
        <v>0</v>
      </c>
      <c r="AB97" s="119">
        <f t="shared" si="32"/>
        <v>0</v>
      </c>
      <c r="AC97" s="119">
        <f t="shared" si="32"/>
        <v>0</v>
      </c>
      <c r="AD97" s="119">
        <f t="shared" si="32"/>
        <v>0</v>
      </c>
      <c r="AE97" s="119">
        <f t="shared" si="32"/>
        <v>0</v>
      </c>
      <c r="AF97" s="119">
        <f t="shared" si="32"/>
        <v>0</v>
      </c>
      <c r="AG97" s="119">
        <f t="shared" si="32"/>
        <v>0</v>
      </c>
      <c r="AH97" s="119">
        <f t="shared" si="32"/>
        <v>0</v>
      </c>
      <c r="AI97" s="119">
        <f t="shared" si="32"/>
        <v>0</v>
      </c>
      <c r="AJ97" s="119">
        <f t="shared" si="32"/>
        <v>0</v>
      </c>
      <c r="AK97" s="119">
        <f t="shared" si="32"/>
        <v>0</v>
      </c>
      <c r="AL97" s="119">
        <f t="shared" si="32"/>
        <v>0</v>
      </c>
      <c r="AM97" s="119">
        <f t="shared" si="32"/>
        <v>0</v>
      </c>
      <c r="AN97" s="119">
        <f t="shared" si="32"/>
        <v>0</v>
      </c>
      <c r="AO97" s="119">
        <f t="shared" si="32"/>
        <v>0</v>
      </c>
      <c r="AP97" s="119">
        <f t="shared" si="32"/>
        <v>0</v>
      </c>
    </row>
    <row r="98" spans="1:42" x14ac:dyDescent="0.2">
      <c r="A98" s="22" t="s">
        <v>310</v>
      </c>
      <c r="B98" s="120">
        <f>-B742-B743</f>
        <v>0</v>
      </c>
      <c r="C98" s="120">
        <f t="shared" ref="C98:AP98" si="33">-C742-C743</f>
        <v>0</v>
      </c>
      <c r="D98" s="120">
        <f t="shared" si="33"/>
        <v>0</v>
      </c>
      <c r="E98" s="120">
        <f t="shared" si="33"/>
        <v>0</v>
      </c>
      <c r="F98" s="120">
        <f t="shared" si="33"/>
        <v>0</v>
      </c>
      <c r="G98" s="120">
        <f t="shared" si="33"/>
        <v>0</v>
      </c>
      <c r="H98" s="120">
        <f t="shared" si="33"/>
        <v>0</v>
      </c>
      <c r="I98" s="120">
        <f t="shared" si="33"/>
        <v>0</v>
      </c>
      <c r="J98" s="120">
        <f t="shared" si="33"/>
        <v>0</v>
      </c>
      <c r="K98" s="120">
        <f t="shared" si="33"/>
        <v>0</v>
      </c>
      <c r="L98" s="120">
        <f t="shared" si="33"/>
        <v>0</v>
      </c>
      <c r="M98" s="120">
        <f t="shared" si="33"/>
        <v>0</v>
      </c>
      <c r="N98" s="120">
        <f t="shared" si="33"/>
        <v>0</v>
      </c>
      <c r="O98" s="120">
        <f t="shared" si="33"/>
        <v>0</v>
      </c>
      <c r="P98" s="120">
        <f t="shared" si="33"/>
        <v>0</v>
      </c>
      <c r="Q98" s="120">
        <f t="shared" si="33"/>
        <v>0</v>
      </c>
      <c r="R98" s="120">
        <f t="shared" si="33"/>
        <v>0</v>
      </c>
      <c r="S98" s="120">
        <f t="shared" si="33"/>
        <v>0</v>
      </c>
      <c r="T98" s="120">
        <f t="shared" si="33"/>
        <v>0</v>
      </c>
      <c r="U98" s="120">
        <f t="shared" si="33"/>
        <v>0</v>
      </c>
      <c r="V98" s="120">
        <f t="shared" si="33"/>
        <v>0</v>
      </c>
      <c r="W98" s="120">
        <f t="shared" si="33"/>
        <v>0</v>
      </c>
      <c r="X98" s="120">
        <f t="shared" si="33"/>
        <v>0</v>
      </c>
      <c r="Y98" s="120">
        <f t="shared" si="33"/>
        <v>0</v>
      </c>
      <c r="Z98" s="120">
        <f t="shared" si="33"/>
        <v>0</v>
      </c>
      <c r="AA98" s="120">
        <f t="shared" si="33"/>
        <v>0</v>
      </c>
      <c r="AB98" s="120">
        <f t="shared" si="33"/>
        <v>0</v>
      </c>
      <c r="AC98" s="120">
        <f t="shared" si="33"/>
        <v>0</v>
      </c>
      <c r="AD98" s="120">
        <f t="shared" si="33"/>
        <v>0</v>
      </c>
      <c r="AE98" s="120">
        <f t="shared" si="33"/>
        <v>0</v>
      </c>
      <c r="AF98" s="120">
        <f t="shared" si="33"/>
        <v>0</v>
      </c>
      <c r="AG98" s="120">
        <f t="shared" si="33"/>
        <v>0</v>
      </c>
      <c r="AH98" s="120">
        <f t="shared" si="33"/>
        <v>0</v>
      </c>
      <c r="AI98" s="120">
        <f t="shared" si="33"/>
        <v>0</v>
      </c>
      <c r="AJ98" s="120">
        <f t="shared" si="33"/>
        <v>0</v>
      </c>
      <c r="AK98" s="120">
        <f t="shared" si="33"/>
        <v>0</v>
      </c>
      <c r="AL98" s="120">
        <f t="shared" si="33"/>
        <v>0</v>
      </c>
      <c r="AM98" s="120">
        <f t="shared" si="33"/>
        <v>0</v>
      </c>
      <c r="AN98" s="120">
        <f t="shared" si="33"/>
        <v>0</v>
      </c>
      <c r="AO98" s="120">
        <f t="shared" si="33"/>
        <v>0</v>
      </c>
      <c r="AP98" s="120">
        <f t="shared" si="33"/>
        <v>0</v>
      </c>
    </row>
    <row r="99" spans="1:42" x14ac:dyDescent="0.2">
      <c r="A99" s="22" t="s">
        <v>13</v>
      </c>
      <c r="B99" s="119">
        <f>SUM(B93:B98)</f>
        <v>-750000</v>
      </c>
      <c r="C99" s="119">
        <f t="shared" ref="C99:AP99" si="34">SUM(C93:C98)</f>
        <v>-960732.54731584387</v>
      </c>
      <c r="D99" s="119">
        <f t="shared" si="34"/>
        <v>-961201.29731584399</v>
      </c>
      <c r="E99" s="119">
        <f t="shared" si="34"/>
        <v>-961681.76606584399</v>
      </c>
      <c r="F99" s="119">
        <f t="shared" si="34"/>
        <v>-962174.24653459387</v>
      </c>
      <c r="G99" s="119">
        <f t="shared" si="34"/>
        <v>-962679.03901506262</v>
      </c>
      <c r="H99" s="119">
        <f t="shared" si="34"/>
        <v>-963196.45130754332</v>
      </c>
      <c r="I99" s="119">
        <f t="shared" si="34"/>
        <v>-963726.79890733561</v>
      </c>
      <c r="J99" s="119">
        <f t="shared" si="34"/>
        <v>-964270.40519712283</v>
      </c>
      <c r="K99" s="119">
        <f t="shared" si="34"/>
        <v>-964827.60164415487</v>
      </c>
      <c r="L99" s="119">
        <f t="shared" si="34"/>
        <v>-965398.72800236277</v>
      </c>
      <c r="M99" s="119">
        <f t="shared" si="34"/>
        <v>-965984.13251952559</v>
      </c>
      <c r="N99" s="119">
        <f t="shared" si="34"/>
        <v>-966584.17214961769</v>
      </c>
      <c r="O99" s="119">
        <f t="shared" si="34"/>
        <v>-967199.21277046192</v>
      </c>
      <c r="P99" s="119">
        <f t="shared" si="34"/>
        <v>-967829.62940682762</v>
      </c>
      <c r="Q99" s="119">
        <f t="shared" si="34"/>
        <v>13161262.403278559</v>
      </c>
      <c r="R99" s="119">
        <f t="shared" si="34"/>
        <v>-27155.590621839277</v>
      </c>
      <c r="S99" s="119">
        <f t="shared" si="34"/>
        <v>-27834.480387385469</v>
      </c>
      <c r="T99" s="119">
        <f t="shared" si="34"/>
        <v>-28530.342397070257</v>
      </c>
      <c r="U99" s="119">
        <f t="shared" si="34"/>
        <v>-29243.600956996903</v>
      </c>
      <c r="V99" s="119">
        <f t="shared" si="34"/>
        <v>-29974.690980921732</v>
      </c>
      <c r="W99" s="119">
        <f t="shared" si="34"/>
        <v>-30724.058255444746</v>
      </c>
      <c r="X99" s="119">
        <f t="shared" si="34"/>
        <v>-31492.159711831016</v>
      </c>
      <c r="Y99" s="119">
        <f t="shared" si="34"/>
        <v>-32279.463704627007</v>
      </c>
      <c r="Z99" s="119">
        <f t="shared" si="34"/>
        <v>-33086.450297242263</v>
      </c>
      <c r="AA99" s="119">
        <f t="shared" si="34"/>
        <v>1356544.4621869416</v>
      </c>
      <c r="AB99" s="119">
        <f t="shared" si="34"/>
        <v>0</v>
      </c>
      <c r="AC99" s="119">
        <f t="shared" si="34"/>
        <v>0</v>
      </c>
      <c r="AD99" s="119">
        <f t="shared" si="34"/>
        <v>0</v>
      </c>
      <c r="AE99" s="119">
        <f t="shared" si="34"/>
        <v>0</v>
      </c>
      <c r="AF99" s="119">
        <f t="shared" si="34"/>
        <v>0</v>
      </c>
      <c r="AG99" s="119">
        <f t="shared" si="34"/>
        <v>0</v>
      </c>
      <c r="AH99" s="119">
        <f t="shared" si="34"/>
        <v>0</v>
      </c>
      <c r="AI99" s="119">
        <f t="shared" si="34"/>
        <v>0</v>
      </c>
      <c r="AJ99" s="119">
        <f t="shared" si="34"/>
        <v>0</v>
      </c>
      <c r="AK99" s="119">
        <f t="shared" si="34"/>
        <v>0</v>
      </c>
      <c r="AL99" s="119">
        <f t="shared" si="34"/>
        <v>0</v>
      </c>
      <c r="AM99" s="119">
        <f t="shared" si="34"/>
        <v>0</v>
      </c>
      <c r="AN99" s="119">
        <f t="shared" si="34"/>
        <v>0</v>
      </c>
      <c r="AO99" s="119">
        <f t="shared" si="34"/>
        <v>0</v>
      </c>
      <c r="AP99" s="119">
        <f t="shared" si="34"/>
        <v>0</v>
      </c>
    </row>
    <row r="100" spans="1:42" x14ac:dyDescent="0.2">
      <c r="A100" s="18" t="s">
        <v>252</v>
      </c>
    </row>
    <row r="101" spans="1:42" x14ac:dyDescent="0.2">
      <c r="A101" s="22" t="s">
        <v>311</v>
      </c>
      <c r="B101" s="119">
        <f>B679</f>
        <v>0</v>
      </c>
      <c r="C101" s="119">
        <f t="shared" ref="C101:AP101" si="35">C679</f>
        <v>0</v>
      </c>
      <c r="D101" s="119">
        <f t="shared" si="35"/>
        <v>0</v>
      </c>
      <c r="E101" s="119">
        <f t="shared" si="35"/>
        <v>0</v>
      </c>
      <c r="F101" s="119">
        <f t="shared" si="35"/>
        <v>0</v>
      </c>
      <c r="G101" s="119">
        <f t="shared" si="35"/>
        <v>0</v>
      </c>
      <c r="H101" s="119">
        <f t="shared" si="35"/>
        <v>0</v>
      </c>
      <c r="I101" s="119">
        <f t="shared" si="35"/>
        <v>0</v>
      </c>
      <c r="J101" s="119">
        <f t="shared" si="35"/>
        <v>0</v>
      </c>
      <c r="K101" s="119">
        <f t="shared" si="35"/>
        <v>0</v>
      </c>
      <c r="L101" s="119">
        <f t="shared" si="35"/>
        <v>0</v>
      </c>
      <c r="M101" s="119">
        <f t="shared" si="35"/>
        <v>0</v>
      </c>
      <c r="N101" s="119">
        <f t="shared" si="35"/>
        <v>0</v>
      </c>
      <c r="O101" s="119">
        <f t="shared" si="35"/>
        <v>0</v>
      </c>
      <c r="P101" s="119">
        <f t="shared" si="35"/>
        <v>0</v>
      </c>
      <c r="Q101" s="119">
        <f t="shared" si="35"/>
        <v>-14129738.20973766</v>
      </c>
      <c r="R101" s="119">
        <f t="shared" si="35"/>
        <v>0</v>
      </c>
      <c r="S101" s="119">
        <f t="shared" si="35"/>
        <v>0</v>
      </c>
      <c r="T101" s="119">
        <f t="shared" si="35"/>
        <v>0</v>
      </c>
      <c r="U101" s="119">
        <f t="shared" si="35"/>
        <v>0</v>
      </c>
      <c r="V101" s="119">
        <f t="shared" si="35"/>
        <v>0</v>
      </c>
      <c r="W101" s="119">
        <f t="shared" si="35"/>
        <v>0</v>
      </c>
      <c r="X101" s="119">
        <f t="shared" si="35"/>
        <v>0</v>
      </c>
      <c r="Y101" s="119">
        <f t="shared" si="35"/>
        <v>0</v>
      </c>
      <c r="Z101" s="119">
        <f t="shared" si="35"/>
        <v>0</v>
      </c>
      <c r="AA101" s="119">
        <f t="shared" si="35"/>
        <v>0</v>
      </c>
      <c r="AB101" s="119">
        <f t="shared" si="35"/>
        <v>0</v>
      </c>
      <c r="AC101" s="119">
        <f t="shared" si="35"/>
        <v>0</v>
      </c>
      <c r="AD101" s="119">
        <f t="shared" si="35"/>
        <v>0</v>
      </c>
      <c r="AE101" s="119">
        <f t="shared" si="35"/>
        <v>0</v>
      </c>
      <c r="AF101" s="119">
        <f t="shared" si="35"/>
        <v>0</v>
      </c>
      <c r="AG101" s="119">
        <f t="shared" si="35"/>
        <v>0</v>
      </c>
      <c r="AH101" s="119">
        <f t="shared" si="35"/>
        <v>0</v>
      </c>
      <c r="AI101" s="119">
        <f t="shared" si="35"/>
        <v>0</v>
      </c>
      <c r="AJ101" s="119">
        <f t="shared" si="35"/>
        <v>0</v>
      </c>
      <c r="AK101" s="119">
        <f t="shared" si="35"/>
        <v>0</v>
      </c>
      <c r="AL101" s="119">
        <f t="shared" si="35"/>
        <v>0</v>
      </c>
      <c r="AM101" s="119">
        <f t="shared" si="35"/>
        <v>0</v>
      </c>
      <c r="AN101" s="119">
        <f t="shared" si="35"/>
        <v>0</v>
      </c>
      <c r="AO101" s="119">
        <f t="shared" si="35"/>
        <v>0</v>
      </c>
      <c r="AP101" s="119">
        <f t="shared" si="35"/>
        <v>0</v>
      </c>
    </row>
    <row r="102" spans="1:42" x14ac:dyDescent="0.2">
      <c r="A102" s="22" t="s">
        <v>312</v>
      </c>
      <c r="B102" s="119">
        <f>B711</f>
        <v>0</v>
      </c>
      <c r="C102" s="119">
        <f t="shared" ref="C102:AP102" si="36">C711</f>
        <v>0</v>
      </c>
      <c r="D102" s="119">
        <f t="shared" si="36"/>
        <v>0</v>
      </c>
      <c r="E102" s="119">
        <f t="shared" si="36"/>
        <v>0</v>
      </c>
      <c r="F102" s="119">
        <f t="shared" si="36"/>
        <v>0</v>
      </c>
      <c r="G102" s="119">
        <f t="shared" si="36"/>
        <v>0</v>
      </c>
      <c r="H102" s="119">
        <f t="shared" si="36"/>
        <v>0</v>
      </c>
      <c r="I102" s="119">
        <f t="shared" si="36"/>
        <v>0</v>
      </c>
      <c r="J102" s="119">
        <f t="shared" si="36"/>
        <v>0</v>
      </c>
      <c r="K102" s="119">
        <f t="shared" si="36"/>
        <v>0</v>
      </c>
      <c r="L102" s="119">
        <f t="shared" si="36"/>
        <v>0</v>
      </c>
      <c r="M102" s="119">
        <f t="shared" si="36"/>
        <v>0</v>
      </c>
      <c r="N102" s="119">
        <f t="shared" si="36"/>
        <v>0</v>
      </c>
      <c r="O102" s="119">
        <f t="shared" si="36"/>
        <v>0</v>
      </c>
      <c r="P102" s="119">
        <f t="shared" si="36"/>
        <v>0</v>
      </c>
      <c r="Q102" s="119">
        <f t="shared" si="36"/>
        <v>0</v>
      </c>
      <c r="R102" s="119">
        <f t="shared" si="36"/>
        <v>0</v>
      </c>
      <c r="S102" s="119">
        <f t="shared" si="36"/>
        <v>0</v>
      </c>
      <c r="T102" s="119">
        <f t="shared" si="36"/>
        <v>0</v>
      </c>
      <c r="U102" s="119">
        <f t="shared" si="36"/>
        <v>0</v>
      </c>
      <c r="V102" s="119">
        <f t="shared" si="36"/>
        <v>0</v>
      </c>
      <c r="W102" s="119">
        <f t="shared" si="36"/>
        <v>0</v>
      </c>
      <c r="X102" s="119">
        <f t="shared" si="36"/>
        <v>0</v>
      </c>
      <c r="Y102" s="119">
        <f t="shared" si="36"/>
        <v>0</v>
      </c>
      <c r="Z102" s="119">
        <f t="shared" si="36"/>
        <v>0</v>
      </c>
      <c r="AA102" s="119">
        <f t="shared" si="36"/>
        <v>0</v>
      </c>
      <c r="AB102" s="119">
        <f t="shared" si="36"/>
        <v>0</v>
      </c>
      <c r="AC102" s="119">
        <f t="shared" si="36"/>
        <v>0</v>
      </c>
      <c r="AD102" s="119">
        <f t="shared" si="36"/>
        <v>0</v>
      </c>
      <c r="AE102" s="119">
        <f t="shared" si="36"/>
        <v>0</v>
      </c>
      <c r="AF102" s="119">
        <f t="shared" si="36"/>
        <v>0</v>
      </c>
      <c r="AG102" s="119">
        <f t="shared" si="36"/>
        <v>0</v>
      </c>
      <c r="AH102" s="119">
        <f t="shared" si="36"/>
        <v>0</v>
      </c>
      <c r="AI102" s="119">
        <f t="shared" si="36"/>
        <v>0</v>
      </c>
      <c r="AJ102" s="119">
        <f t="shared" si="36"/>
        <v>0</v>
      </c>
      <c r="AK102" s="119">
        <f t="shared" si="36"/>
        <v>0</v>
      </c>
      <c r="AL102" s="119">
        <f t="shared" si="36"/>
        <v>0</v>
      </c>
      <c r="AM102" s="119">
        <f t="shared" si="36"/>
        <v>0</v>
      </c>
      <c r="AN102" s="119">
        <f t="shared" si="36"/>
        <v>0</v>
      </c>
      <c r="AO102" s="119">
        <f t="shared" si="36"/>
        <v>0</v>
      </c>
      <c r="AP102" s="119">
        <f t="shared" si="36"/>
        <v>0</v>
      </c>
    </row>
    <row r="103" spans="1:42" x14ac:dyDescent="0.2">
      <c r="A103" s="22" t="s">
        <v>313</v>
      </c>
      <c r="B103" s="120">
        <f>B743</f>
        <v>0</v>
      </c>
      <c r="C103" s="120">
        <f t="shared" ref="C103:AP103" si="37">C743</f>
        <v>0</v>
      </c>
      <c r="D103" s="120">
        <f t="shared" si="37"/>
        <v>0</v>
      </c>
      <c r="E103" s="120">
        <f t="shared" si="37"/>
        <v>0</v>
      </c>
      <c r="F103" s="120">
        <f t="shared" si="37"/>
        <v>0</v>
      </c>
      <c r="G103" s="120">
        <f t="shared" si="37"/>
        <v>0</v>
      </c>
      <c r="H103" s="120">
        <f t="shared" si="37"/>
        <v>0</v>
      </c>
      <c r="I103" s="120">
        <f t="shared" si="37"/>
        <v>0</v>
      </c>
      <c r="J103" s="120">
        <f t="shared" si="37"/>
        <v>0</v>
      </c>
      <c r="K103" s="120">
        <f t="shared" si="37"/>
        <v>0</v>
      </c>
      <c r="L103" s="120">
        <f t="shared" si="37"/>
        <v>0</v>
      </c>
      <c r="M103" s="120">
        <f t="shared" si="37"/>
        <v>0</v>
      </c>
      <c r="N103" s="120">
        <f t="shared" si="37"/>
        <v>0</v>
      </c>
      <c r="O103" s="120">
        <f t="shared" si="37"/>
        <v>0</v>
      </c>
      <c r="P103" s="120">
        <f t="shared" si="37"/>
        <v>0</v>
      </c>
      <c r="Q103" s="120">
        <f t="shared" si="37"/>
        <v>0</v>
      </c>
      <c r="R103" s="120">
        <f t="shared" si="37"/>
        <v>0</v>
      </c>
      <c r="S103" s="120">
        <f t="shared" si="37"/>
        <v>0</v>
      </c>
      <c r="T103" s="120">
        <f t="shared" si="37"/>
        <v>0</v>
      </c>
      <c r="U103" s="120">
        <f t="shared" si="37"/>
        <v>0</v>
      </c>
      <c r="V103" s="120">
        <f t="shared" si="37"/>
        <v>0</v>
      </c>
      <c r="W103" s="120">
        <f t="shared" si="37"/>
        <v>0</v>
      </c>
      <c r="X103" s="120">
        <f t="shared" si="37"/>
        <v>0</v>
      </c>
      <c r="Y103" s="120">
        <f t="shared" si="37"/>
        <v>0</v>
      </c>
      <c r="Z103" s="120">
        <f t="shared" si="37"/>
        <v>0</v>
      </c>
      <c r="AA103" s="120">
        <f t="shared" si="37"/>
        <v>0</v>
      </c>
      <c r="AB103" s="120">
        <f t="shared" si="37"/>
        <v>0</v>
      </c>
      <c r="AC103" s="120">
        <f t="shared" si="37"/>
        <v>0</v>
      </c>
      <c r="AD103" s="120">
        <f t="shared" si="37"/>
        <v>0</v>
      </c>
      <c r="AE103" s="120">
        <f t="shared" si="37"/>
        <v>0</v>
      </c>
      <c r="AF103" s="120">
        <f t="shared" si="37"/>
        <v>0</v>
      </c>
      <c r="AG103" s="120">
        <f t="shared" si="37"/>
        <v>0</v>
      </c>
      <c r="AH103" s="120">
        <f t="shared" si="37"/>
        <v>0</v>
      </c>
      <c r="AI103" s="120">
        <f t="shared" si="37"/>
        <v>0</v>
      </c>
      <c r="AJ103" s="120">
        <f t="shared" si="37"/>
        <v>0</v>
      </c>
      <c r="AK103" s="120">
        <f t="shared" si="37"/>
        <v>0</v>
      </c>
      <c r="AL103" s="120">
        <f t="shared" si="37"/>
        <v>0</v>
      </c>
      <c r="AM103" s="120">
        <f t="shared" si="37"/>
        <v>0</v>
      </c>
      <c r="AN103" s="120">
        <f t="shared" si="37"/>
        <v>0</v>
      </c>
      <c r="AO103" s="120">
        <f t="shared" si="37"/>
        <v>0</v>
      </c>
      <c r="AP103" s="120">
        <f t="shared" si="37"/>
        <v>0</v>
      </c>
    </row>
    <row r="104" spans="1:42" x14ac:dyDescent="0.2">
      <c r="A104" s="22" t="s">
        <v>13</v>
      </c>
      <c r="B104" s="125">
        <f>SUM(B101:B103)</f>
        <v>0</v>
      </c>
      <c r="C104" s="125">
        <f t="shared" ref="C104:AP104" si="38">SUM(C101:C103)</f>
        <v>0</v>
      </c>
      <c r="D104" s="125">
        <f t="shared" si="38"/>
        <v>0</v>
      </c>
      <c r="E104" s="125">
        <f t="shared" si="38"/>
        <v>0</v>
      </c>
      <c r="F104" s="125">
        <f t="shared" si="38"/>
        <v>0</v>
      </c>
      <c r="G104" s="125">
        <f t="shared" si="38"/>
        <v>0</v>
      </c>
      <c r="H104" s="125">
        <f t="shared" si="38"/>
        <v>0</v>
      </c>
      <c r="I104" s="125">
        <f t="shared" si="38"/>
        <v>0</v>
      </c>
      <c r="J104" s="125">
        <f t="shared" si="38"/>
        <v>0</v>
      </c>
      <c r="K104" s="125">
        <f t="shared" si="38"/>
        <v>0</v>
      </c>
      <c r="L104" s="125">
        <f t="shared" si="38"/>
        <v>0</v>
      </c>
      <c r="M104" s="125">
        <f t="shared" si="38"/>
        <v>0</v>
      </c>
      <c r="N104" s="125">
        <f t="shared" si="38"/>
        <v>0</v>
      </c>
      <c r="O104" s="125">
        <f t="shared" si="38"/>
        <v>0</v>
      </c>
      <c r="P104" s="125">
        <f t="shared" si="38"/>
        <v>0</v>
      </c>
      <c r="Q104" s="125">
        <f t="shared" si="38"/>
        <v>-14129738.20973766</v>
      </c>
      <c r="R104" s="125">
        <f t="shared" si="38"/>
        <v>0</v>
      </c>
      <c r="S104" s="125">
        <f t="shared" si="38"/>
        <v>0</v>
      </c>
      <c r="T104" s="125">
        <f t="shared" si="38"/>
        <v>0</v>
      </c>
      <c r="U104" s="125">
        <f t="shared" si="38"/>
        <v>0</v>
      </c>
      <c r="V104" s="125">
        <f t="shared" si="38"/>
        <v>0</v>
      </c>
      <c r="W104" s="125">
        <f t="shared" si="38"/>
        <v>0</v>
      </c>
      <c r="X104" s="125">
        <f t="shared" si="38"/>
        <v>0</v>
      </c>
      <c r="Y104" s="125">
        <f t="shared" si="38"/>
        <v>0</v>
      </c>
      <c r="Z104" s="125">
        <f t="shared" si="38"/>
        <v>0</v>
      </c>
      <c r="AA104" s="125">
        <f t="shared" si="38"/>
        <v>0</v>
      </c>
      <c r="AB104" s="125">
        <f t="shared" si="38"/>
        <v>0</v>
      </c>
      <c r="AC104" s="125">
        <f t="shared" si="38"/>
        <v>0</v>
      </c>
      <c r="AD104" s="125">
        <f t="shared" si="38"/>
        <v>0</v>
      </c>
      <c r="AE104" s="125">
        <f t="shared" si="38"/>
        <v>0</v>
      </c>
      <c r="AF104" s="125">
        <f t="shared" si="38"/>
        <v>0</v>
      </c>
      <c r="AG104" s="125">
        <f t="shared" si="38"/>
        <v>0</v>
      </c>
      <c r="AH104" s="125">
        <f t="shared" si="38"/>
        <v>0</v>
      </c>
      <c r="AI104" s="125">
        <f t="shared" si="38"/>
        <v>0</v>
      </c>
      <c r="AJ104" s="125">
        <f t="shared" si="38"/>
        <v>0</v>
      </c>
      <c r="AK104" s="125">
        <f t="shared" si="38"/>
        <v>0</v>
      </c>
      <c r="AL104" s="125">
        <f t="shared" si="38"/>
        <v>0</v>
      </c>
      <c r="AM104" s="125">
        <f t="shared" si="38"/>
        <v>0</v>
      </c>
      <c r="AN104" s="125">
        <f t="shared" si="38"/>
        <v>0</v>
      </c>
      <c r="AO104" s="125">
        <f t="shared" si="38"/>
        <v>0</v>
      </c>
      <c r="AP104" s="125">
        <f t="shared" si="38"/>
        <v>0</v>
      </c>
    </row>
    <row r="105" spans="1:42" x14ac:dyDescent="0.2">
      <c r="A105" s="206" t="s">
        <v>13</v>
      </c>
      <c r="B105" s="137">
        <f>B91+B99+B104</f>
        <v>-112739777.5</v>
      </c>
      <c r="C105" s="137">
        <f>C$99+C$104</f>
        <v>-960732.54731584387</v>
      </c>
      <c r="D105" s="137">
        <f t="shared" ref="D105:AP105" si="39">D$99+D$104</f>
        <v>-961201.29731584399</v>
      </c>
      <c r="E105" s="137">
        <f t="shared" si="39"/>
        <v>-961681.76606584399</v>
      </c>
      <c r="F105" s="137">
        <f t="shared" si="39"/>
        <v>-962174.24653459387</v>
      </c>
      <c r="G105" s="137">
        <f t="shared" si="39"/>
        <v>-962679.03901506262</v>
      </c>
      <c r="H105" s="137">
        <f t="shared" si="39"/>
        <v>-963196.45130754332</v>
      </c>
      <c r="I105" s="137">
        <f t="shared" si="39"/>
        <v>-963726.79890733561</v>
      </c>
      <c r="J105" s="137">
        <f t="shared" si="39"/>
        <v>-964270.40519712283</v>
      </c>
      <c r="K105" s="137">
        <f t="shared" si="39"/>
        <v>-964827.60164415487</v>
      </c>
      <c r="L105" s="137">
        <f t="shared" si="39"/>
        <v>-965398.72800236277</v>
      </c>
      <c r="M105" s="137">
        <f t="shared" si="39"/>
        <v>-965984.13251952559</v>
      </c>
      <c r="N105" s="137">
        <f t="shared" si="39"/>
        <v>-966584.17214961769</v>
      </c>
      <c r="O105" s="137">
        <f t="shared" si="39"/>
        <v>-967199.21277046192</v>
      </c>
      <c r="P105" s="137">
        <f t="shared" si="39"/>
        <v>-967829.62940682762</v>
      </c>
      <c r="Q105" s="137">
        <f t="shared" si="39"/>
        <v>-968475.80645910092</v>
      </c>
      <c r="R105" s="137">
        <f t="shared" si="39"/>
        <v>-27155.590621839277</v>
      </c>
      <c r="S105" s="137">
        <f t="shared" si="39"/>
        <v>-27834.480387385469</v>
      </c>
      <c r="T105" s="137">
        <f t="shared" si="39"/>
        <v>-28530.342397070257</v>
      </c>
      <c r="U105" s="137">
        <f t="shared" si="39"/>
        <v>-29243.600956996903</v>
      </c>
      <c r="V105" s="137">
        <f t="shared" si="39"/>
        <v>-29974.690980921732</v>
      </c>
      <c r="W105" s="137">
        <f t="shared" si="39"/>
        <v>-30724.058255444746</v>
      </c>
      <c r="X105" s="137">
        <f t="shared" si="39"/>
        <v>-31492.159711831016</v>
      </c>
      <c r="Y105" s="137">
        <f t="shared" si="39"/>
        <v>-32279.463704627007</v>
      </c>
      <c r="Z105" s="137">
        <f t="shared" si="39"/>
        <v>-33086.450297242263</v>
      </c>
      <c r="AA105" s="137">
        <f t="shared" si="39"/>
        <v>1356544.4621869416</v>
      </c>
      <c r="AB105" s="137">
        <f t="shared" si="39"/>
        <v>0</v>
      </c>
      <c r="AC105" s="137">
        <f t="shared" si="39"/>
        <v>0</v>
      </c>
      <c r="AD105" s="137">
        <f t="shared" si="39"/>
        <v>0</v>
      </c>
      <c r="AE105" s="137">
        <f t="shared" si="39"/>
        <v>0</v>
      </c>
      <c r="AF105" s="137">
        <f t="shared" si="39"/>
        <v>0</v>
      </c>
      <c r="AG105" s="137">
        <f t="shared" si="39"/>
        <v>0</v>
      </c>
      <c r="AH105" s="137">
        <f t="shared" si="39"/>
        <v>0</v>
      </c>
      <c r="AI105" s="137">
        <f t="shared" si="39"/>
        <v>0</v>
      </c>
      <c r="AJ105" s="137">
        <f t="shared" si="39"/>
        <v>0</v>
      </c>
      <c r="AK105" s="137">
        <f t="shared" si="39"/>
        <v>0</v>
      </c>
      <c r="AL105" s="137">
        <f t="shared" si="39"/>
        <v>0</v>
      </c>
      <c r="AM105" s="137">
        <f t="shared" si="39"/>
        <v>0</v>
      </c>
      <c r="AN105" s="137">
        <f t="shared" si="39"/>
        <v>0</v>
      </c>
      <c r="AO105" s="137">
        <f t="shared" si="39"/>
        <v>0</v>
      </c>
      <c r="AP105" s="137">
        <f t="shared" si="39"/>
        <v>0</v>
      </c>
    </row>
    <row r="106" spans="1:42" x14ac:dyDescent="0.2">
      <c r="A106" s="18"/>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row>
    <row r="107" spans="1:42" x14ac:dyDescent="0.2">
      <c r="A107" s="20" t="s">
        <v>73</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row>
    <row r="108" spans="1:42" x14ac:dyDescent="0.2">
      <c r="A108" s="18" t="s">
        <v>222</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row>
    <row r="109" spans="1:42" x14ac:dyDescent="0.2">
      <c r="A109" s="88" t="s">
        <v>268</v>
      </c>
      <c r="B109" s="119">
        <f>C595+C601</f>
        <v>0</v>
      </c>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row>
    <row r="110" spans="1:42" x14ac:dyDescent="0.2">
      <c r="A110" s="88" t="s">
        <v>269</v>
      </c>
      <c r="B110" s="119">
        <f>C608</f>
        <v>0</v>
      </c>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row>
    <row r="111" spans="1:42" x14ac:dyDescent="0.2">
      <c r="A111" s="88" t="s">
        <v>223</v>
      </c>
      <c r="B111" s="120">
        <f>$B$647</f>
        <v>0</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row>
    <row r="112" spans="1:42" x14ac:dyDescent="0.2">
      <c r="A112" s="88" t="s">
        <v>13</v>
      </c>
      <c r="B112" s="119">
        <f>SUM(B109:B111)</f>
        <v>0</v>
      </c>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row>
    <row r="113" spans="1:53" x14ac:dyDescent="0.2">
      <c r="A113" s="18" t="s">
        <v>221</v>
      </c>
      <c r="B113" s="119">
        <f>-B105-B111</f>
        <v>112739777.5</v>
      </c>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row>
    <row r="114" spans="1:53" x14ac:dyDescent="0.2">
      <c r="A114" s="18" t="s">
        <v>220</v>
      </c>
      <c r="B114" s="120">
        <v>0</v>
      </c>
      <c r="C114" s="120">
        <f>-C634</f>
        <v>0</v>
      </c>
      <c r="D114" s="120">
        <f t="shared" ref="D114:AP114" si="40">-D634</f>
        <v>0</v>
      </c>
      <c r="E114" s="120">
        <f t="shared" si="40"/>
        <v>0</v>
      </c>
      <c r="F114" s="120">
        <f t="shared" si="40"/>
        <v>0</v>
      </c>
      <c r="G114" s="120">
        <f t="shared" si="40"/>
        <v>0</v>
      </c>
      <c r="H114" s="120">
        <f t="shared" si="40"/>
        <v>0</v>
      </c>
      <c r="I114" s="120">
        <f t="shared" si="40"/>
        <v>0</v>
      </c>
      <c r="J114" s="120">
        <f t="shared" si="40"/>
        <v>0</v>
      </c>
      <c r="K114" s="120">
        <f t="shared" si="40"/>
        <v>0</v>
      </c>
      <c r="L114" s="120">
        <f t="shared" si="40"/>
        <v>0</v>
      </c>
      <c r="M114" s="120">
        <f t="shared" si="40"/>
        <v>0</v>
      </c>
      <c r="N114" s="120">
        <f t="shared" si="40"/>
        <v>0</v>
      </c>
      <c r="O114" s="120">
        <f t="shared" si="40"/>
        <v>0</v>
      </c>
      <c r="P114" s="120">
        <f t="shared" si="40"/>
        <v>0</v>
      </c>
      <c r="Q114" s="120">
        <f t="shared" si="40"/>
        <v>0</v>
      </c>
      <c r="R114" s="120">
        <f t="shared" si="40"/>
        <v>0</v>
      </c>
      <c r="S114" s="120">
        <f t="shared" si="40"/>
        <v>0</v>
      </c>
      <c r="T114" s="120">
        <f t="shared" si="40"/>
        <v>0</v>
      </c>
      <c r="U114" s="120">
        <f t="shared" si="40"/>
        <v>0</v>
      </c>
      <c r="V114" s="120">
        <f t="shared" si="40"/>
        <v>0</v>
      </c>
      <c r="W114" s="120">
        <f t="shared" si="40"/>
        <v>0</v>
      </c>
      <c r="X114" s="120">
        <f t="shared" si="40"/>
        <v>0</v>
      </c>
      <c r="Y114" s="120">
        <f t="shared" si="40"/>
        <v>0</v>
      </c>
      <c r="Z114" s="120">
        <f t="shared" si="40"/>
        <v>0</v>
      </c>
      <c r="AA114" s="120">
        <f t="shared" si="40"/>
        <v>0</v>
      </c>
      <c r="AB114" s="120">
        <f t="shared" si="40"/>
        <v>0</v>
      </c>
      <c r="AC114" s="120">
        <f t="shared" si="40"/>
        <v>0</v>
      </c>
      <c r="AD114" s="120">
        <f t="shared" si="40"/>
        <v>0</v>
      </c>
      <c r="AE114" s="120">
        <f t="shared" si="40"/>
        <v>0</v>
      </c>
      <c r="AF114" s="120">
        <f t="shared" si="40"/>
        <v>0</v>
      </c>
      <c r="AG114" s="120">
        <f t="shared" si="40"/>
        <v>0</v>
      </c>
      <c r="AH114" s="120">
        <f t="shared" si="40"/>
        <v>0</v>
      </c>
      <c r="AI114" s="120">
        <f t="shared" si="40"/>
        <v>0</v>
      </c>
      <c r="AJ114" s="120">
        <f t="shared" si="40"/>
        <v>0</v>
      </c>
      <c r="AK114" s="120">
        <f t="shared" si="40"/>
        <v>0</v>
      </c>
      <c r="AL114" s="120">
        <f t="shared" si="40"/>
        <v>0</v>
      </c>
      <c r="AM114" s="120">
        <f t="shared" si="40"/>
        <v>0</v>
      </c>
      <c r="AN114" s="120">
        <f t="shared" si="40"/>
        <v>0</v>
      </c>
      <c r="AO114" s="120">
        <f t="shared" si="40"/>
        <v>0</v>
      </c>
      <c r="AP114" s="120">
        <f t="shared" si="40"/>
        <v>0</v>
      </c>
    </row>
    <row r="115" spans="1:53" x14ac:dyDescent="0.2">
      <c r="A115" s="206" t="s">
        <v>13</v>
      </c>
      <c r="B115" s="137">
        <f>SUM(B112:B114)</f>
        <v>112739777.5</v>
      </c>
      <c r="C115" s="137">
        <f>SUM(C112:C114)</f>
        <v>0</v>
      </c>
      <c r="D115" s="137">
        <f t="shared" ref="D115:AP115" si="41">SUM(D112:D114)</f>
        <v>0</v>
      </c>
      <c r="E115" s="137">
        <f t="shared" si="41"/>
        <v>0</v>
      </c>
      <c r="F115" s="137">
        <f t="shared" si="41"/>
        <v>0</v>
      </c>
      <c r="G115" s="137">
        <f t="shared" si="41"/>
        <v>0</v>
      </c>
      <c r="H115" s="137">
        <f t="shared" si="41"/>
        <v>0</v>
      </c>
      <c r="I115" s="137">
        <f t="shared" si="41"/>
        <v>0</v>
      </c>
      <c r="J115" s="137">
        <f t="shared" si="41"/>
        <v>0</v>
      </c>
      <c r="K115" s="137">
        <f t="shared" si="41"/>
        <v>0</v>
      </c>
      <c r="L115" s="137">
        <f t="shared" si="41"/>
        <v>0</v>
      </c>
      <c r="M115" s="137">
        <f t="shared" si="41"/>
        <v>0</v>
      </c>
      <c r="N115" s="137">
        <f t="shared" si="41"/>
        <v>0</v>
      </c>
      <c r="O115" s="137">
        <f t="shared" si="41"/>
        <v>0</v>
      </c>
      <c r="P115" s="137">
        <f t="shared" si="41"/>
        <v>0</v>
      </c>
      <c r="Q115" s="137">
        <f t="shared" si="41"/>
        <v>0</v>
      </c>
      <c r="R115" s="137">
        <f t="shared" si="41"/>
        <v>0</v>
      </c>
      <c r="S115" s="137">
        <f t="shared" si="41"/>
        <v>0</v>
      </c>
      <c r="T115" s="137">
        <f t="shared" si="41"/>
        <v>0</v>
      </c>
      <c r="U115" s="137">
        <f t="shared" si="41"/>
        <v>0</v>
      </c>
      <c r="V115" s="137">
        <f t="shared" si="41"/>
        <v>0</v>
      </c>
      <c r="W115" s="137">
        <f t="shared" si="41"/>
        <v>0</v>
      </c>
      <c r="X115" s="137">
        <f t="shared" si="41"/>
        <v>0</v>
      </c>
      <c r="Y115" s="137">
        <f t="shared" si="41"/>
        <v>0</v>
      </c>
      <c r="Z115" s="137">
        <f t="shared" si="41"/>
        <v>0</v>
      </c>
      <c r="AA115" s="137">
        <f t="shared" si="41"/>
        <v>0</v>
      </c>
      <c r="AB115" s="137">
        <f t="shared" si="41"/>
        <v>0</v>
      </c>
      <c r="AC115" s="137">
        <f t="shared" si="41"/>
        <v>0</v>
      </c>
      <c r="AD115" s="137">
        <f t="shared" si="41"/>
        <v>0</v>
      </c>
      <c r="AE115" s="137">
        <f t="shared" si="41"/>
        <v>0</v>
      </c>
      <c r="AF115" s="137">
        <f t="shared" si="41"/>
        <v>0</v>
      </c>
      <c r="AG115" s="137">
        <f t="shared" si="41"/>
        <v>0</v>
      </c>
      <c r="AH115" s="137">
        <f t="shared" si="41"/>
        <v>0</v>
      </c>
      <c r="AI115" s="137">
        <f t="shared" si="41"/>
        <v>0</v>
      </c>
      <c r="AJ115" s="137">
        <f t="shared" si="41"/>
        <v>0</v>
      </c>
      <c r="AK115" s="137">
        <f t="shared" si="41"/>
        <v>0</v>
      </c>
      <c r="AL115" s="137">
        <f t="shared" si="41"/>
        <v>0</v>
      </c>
      <c r="AM115" s="137">
        <f t="shared" si="41"/>
        <v>0</v>
      </c>
      <c r="AN115" s="137">
        <f t="shared" si="41"/>
        <v>0</v>
      </c>
      <c r="AO115" s="137">
        <f t="shared" si="41"/>
        <v>0</v>
      </c>
      <c r="AP115" s="137">
        <f t="shared" si="41"/>
        <v>0</v>
      </c>
    </row>
    <row r="116" spans="1:53" s="207" customFormat="1" ht="13.5" thickBot="1" x14ac:dyDescent="0.25">
      <c r="A116" s="18"/>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294"/>
      <c r="AR116" s="294"/>
      <c r="AS116" s="294"/>
      <c r="AT116" s="294"/>
      <c r="AU116" s="294"/>
      <c r="AV116" s="294"/>
      <c r="AW116" s="294"/>
      <c r="AX116" s="294"/>
      <c r="AY116" s="294"/>
      <c r="AZ116" s="294"/>
      <c r="BA116" s="294"/>
    </row>
    <row r="117" spans="1:53" ht="13.5" thickTop="1" x14ac:dyDescent="0.2">
      <c r="A117" s="84" t="s">
        <v>273</v>
      </c>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row>
    <row r="118" spans="1:53" x14ac:dyDescent="0.2">
      <c r="A118" s="20" t="s">
        <v>274</v>
      </c>
    </row>
    <row r="119" spans="1:53" x14ac:dyDescent="0.2">
      <c r="A119" s="88" t="s">
        <v>221</v>
      </c>
      <c r="B119" s="119">
        <f t="shared" ref="B119:AP119" si="42">-B113</f>
        <v>-112739777.5</v>
      </c>
      <c r="C119" s="119">
        <f t="shared" si="42"/>
        <v>0</v>
      </c>
      <c r="D119" s="119">
        <f t="shared" si="42"/>
        <v>0</v>
      </c>
      <c r="E119" s="119">
        <f t="shared" si="42"/>
        <v>0</v>
      </c>
      <c r="F119" s="119">
        <f t="shared" si="42"/>
        <v>0</v>
      </c>
      <c r="G119" s="119">
        <f t="shared" si="42"/>
        <v>0</v>
      </c>
      <c r="H119" s="119">
        <f t="shared" si="42"/>
        <v>0</v>
      </c>
      <c r="I119" s="119">
        <f t="shared" si="42"/>
        <v>0</v>
      </c>
      <c r="J119" s="119">
        <f t="shared" si="42"/>
        <v>0</v>
      </c>
      <c r="K119" s="119">
        <f t="shared" si="42"/>
        <v>0</v>
      </c>
      <c r="L119" s="119">
        <f t="shared" si="42"/>
        <v>0</v>
      </c>
      <c r="M119" s="119">
        <f t="shared" si="42"/>
        <v>0</v>
      </c>
      <c r="N119" s="119">
        <f t="shared" si="42"/>
        <v>0</v>
      </c>
      <c r="O119" s="119">
        <f t="shared" si="42"/>
        <v>0</v>
      </c>
      <c r="P119" s="119">
        <f t="shared" si="42"/>
        <v>0</v>
      </c>
      <c r="Q119" s="119">
        <f t="shared" si="42"/>
        <v>0</v>
      </c>
      <c r="R119" s="119">
        <f t="shared" si="42"/>
        <v>0</v>
      </c>
      <c r="S119" s="119">
        <f t="shared" si="42"/>
        <v>0</v>
      </c>
      <c r="T119" s="119">
        <f t="shared" si="42"/>
        <v>0</v>
      </c>
      <c r="U119" s="119">
        <f t="shared" si="42"/>
        <v>0</v>
      </c>
      <c r="V119" s="119">
        <f t="shared" si="42"/>
        <v>0</v>
      </c>
      <c r="W119" s="119">
        <f t="shared" si="42"/>
        <v>0</v>
      </c>
      <c r="X119" s="119">
        <f t="shared" si="42"/>
        <v>0</v>
      </c>
      <c r="Y119" s="119">
        <f t="shared" si="42"/>
        <v>0</v>
      </c>
      <c r="Z119" s="119">
        <f t="shared" si="42"/>
        <v>0</v>
      </c>
      <c r="AA119" s="119">
        <f t="shared" si="42"/>
        <v>0</v>
      </c>
      <c r="AB119" s="119">
        <f t="shared" si="42"/>
        <v>0</v>
      </c>
      <c r="AC119" s="119">
        <f t="shared" si="42"/>
        <v>0</v>
      </c>
      <c r="AD119" s="119">
        <f t="shared" si="42"/>
        <v>0</v>
      </c>
      <c r="AE119" s="119">
        <f t="shared" si="42"/>
        <v>0</v>
      </c>
      <c r="AF119" s="119">
        <f t="shared" si="42"/>
        <v>0</v>
      </c>
      <c r="AG119" s="119">
        <f t="shared" si="42"/>
        <v>0</v>
      </c>
      <c r="AH119" s="119">
        <f t="shared" si="42"/>
        <v>0</v>
      </c>
      <c r="AI119" s="119">
        <f t="shared" si="42"/>
        <v>0</v>
      </c>
      <c r="AJ119" s="119">
        <f t="shared" si="42"/>
        <v>0</v>
      </c>
      <c r="AK119" s="119">
        <f t="shared" si="42"/>
        <v>0</v>
      </c>
      <c r="AL119" s="119">
        <f t="shared" si="42"/>
        <v>0</v>
      </c>
      <c r="AM119" s="119">
        <f t="shared" si="42"/>
        <v>0</v>
      </c>
      <c r="AN119" s="119">
        <f t="shared" si="42"/>
        <v>0</v>
      </c>
      <c r="AO119" s="119">
        <f t="shared" si="42"/>
        <v>0</v>
      </c>
      <c r="AP119" s="119">
        <f t="shared" si="42"/>
        <v>0</v>
      </c>
    </row>
    <row r="120" spans="1:53" x14ac:dyDescent="0.2">
      <c r="A120" s="88" t="s">
        <v>272</v>
      </c>
      <c r="B120" s="120">
        <f t="shared" ref="B120:AP120" si="43">B78+B105+B115</f>
        <v>0</v>
      </c>
      <c r="C120" s="120">
        <f t="shared" si="43"/>
        <v>6024942.4526841566</v>
      </c>
      <c r="D120" s="120">
        <f t="shared" si="43"/>
        <v>6040942.8595256042</v>
      </c>
      <c r="E120" s="120">
        <f t="shared" si="43"/>
        <v>6056199.9069920518</v>
      </c>
      <c r="F120" s="120">
        <f t="shared" si="43"/>
        <v>6070710.0110991262</v>
      </c>
      <c r="G120" s="120">
        <f t="shared" si="43"/>
        <v>6084428.9982628394</v>
      </c>
      <c r="H120" s="120">
        <f t="shared" si="43"/>
        <v>6097342.0905596102</v>
      </c>
      <c r="I120" s="120">
        <f t="shared" si="43"/>
        <v>6109433.8906177627</v>
      </c>
      <c r="J120" s="120">
        <f t="shared" si="43"/>
        <v>6120668.3661313336</v>
      </c>
      <c r="K120" s="120">
        <f t="shared" si="43"/>
        <v>6131018.8339867089</v>
      </c>
      <c r="L120" s="120">
        <f t="shared" si="43"/>
        <v>6140467.9439924313</v>
      </c>
      <c r="M120" s="120">
        <f t="shared" si="43"/>
        <v>6148987.6622022595</v>
      </c>
      <c r="N120" s="120">
        <f t="shared" si="43"/>
        <v>6156539.2538212985</v>
      </c>
      <c r="O120" s="120">
        <f t="shared" si="43"/>
        <v>6163103.2656847779</v>
      </c>
      <c r="P120" s="120">
        <f t="shared" si="43"/>
        <v>6168649.5082988068</v>
      </c>
      <c r="Q120" s="120">
        <f t="shared" si="43"/>
        <v>6173137.0374321509</v>
      </c>
      <c r="R120" s="120">
        <f t="shared" si="43"/>
        <v>6941924.9549419144</v>
      </c>
      <c r="S120" s="120">
        <f t="shared" si="43"/>
        <v>6932454.3288154621</v>
      </c>
      <c r="T120" s="120">
        <f t="shared" si="43"/>
        <v>6921847.4370358493</v>
      </c>
      <c r="U120" s="120">
        <f t="shared" si="43"/>
        <v>6910060.1229617456</v>
      </c>
      <c r="V120" s="120">
        <f t="shared" si="43"/>
        <v>6897067.37603579</v>
      </c>
      <c r="W120" s="120">
        <f t="shared" si="43"/>
        <v>6882823.3104366846</v>
      </c>
      <c r="X120" s="120">
        <f t="shared" si="43"/>
        <v>6867301.1431976007</v>
      </c>
      <c r="Y120" s="120">
        <f t="shared" si="43"/>
        <v>6850463.1717775417</v>
      </c>
      <c r="Z120" s="120">
        <f t="shared" si="43"/>
        <v>6832280.7510719802</v>
      </c>
      <c r="AA120" s="120">
        <f t="shared" si="43"/>
        <v>8203152.3435903946</v>
      </c>
      <c r="AB120" s="120">
        <f t="shared" si="43"/>
        <v>0</v>
      </c>
      <c r="AC120" s="120">
        <f t="shared" si="43"/>
        <v>0</v>
      </c>
      <c r="AD120" s="120">
        <f t="shared" si="43"/>
        <v>0</v>
      </c>
      <c r="AE120" s="120">
        <f t="shared" si="43"/>
        <v>0</v>
      </c>
      <c r="AF120" s="120">
        <f t="shared" si="43"/>
        <v>0</v>
      </c>
      <c r="AG120" s="120">
        <f t="shared" si="43"/>
        <v>0</v>
      </c>
      <c r="AH120" s="120">
        <f t="shared" si="43"/>
        <v>0</v>
      </c>
      <c r="AI120" s="120">
        <f t="shared" si="43"/>
        <v>0</v>
      </c>
      <c r="AJ120" s="120">
        <f t="shared" si="43"/>
        <v>0</v>
      </c>
      <c r="AK120" s="120">
        <f t="shared" si="43"/>
        <v>0</v>
      </c>
      <c r="AL120" s="120">
        <f t="shared" si="43"/>
        <v>0</v>
      </c>
      <c r="AM120" s="120">
        <f t="shared" si="43"/>
        <v>0</v>
      </c>
      <c r="AN120" s="120">
        <f t="shared" si="43"/>
        <v>0</v>
      </c>
      <c r="AO120" s="120">
        <f t="shared" si="43"/>
        <v>0</v>
      </c>
      <c r="AP120" s="120">
        <f t="shared" si="43"/>
        <v>0</v>
      </c>
    </row>
    <row r="121" spans="1:53" x14ac:dyDescent="0.2">
      <c r="A121" s="209" t="s">
        <v>13</v>
      </c>
      <c r="B121" s="137">
        <f>SUM(B119:B120)</f>
        <v>-112739777.5</v>
      </c>
      <c r="C121" s="137">
        <f t="shared" ref="C121:AP121" si="44">SUM(C119:C120)</f>
        <v>6024942.4526841566</v>
      </c>
      <c r="D121" s="137">
        <f t="shared" si="44"/>
        <v>6040942.8595256042</v>
      </c>
      <c r="E121" s="137">
        <f t="shared" si="44"/>
        <v>6056199.9069920518</v>
      </c>
      <c r="F121" s="137">
        <f t="shared" si="44"/>
        <v>6070710.0110991262</v>
      </c>
      <c r="G121" s="137">
        <f t="shared" si="44"/>
        <v>6084428.9982628394</v>
      </c>
      <c r="H121" s="137">
        <f t="shared" si="44"/>
        <v>6097342.0905596102</v>
      </c>
      <c r="I121" s="137">
        <f t="shared" si="44"/>
        <v>6109433.8906177627</v>
      </c>
      <c r="J121" s="137">
        <f t="shared" si="44"/>
        <v>6120668.3661313336</v>
      </c>
      <c r="K121" s="137">
        <f t="shared" si="44"/>
        <v>6131018.8339867089</v>
      </c>
      <c r="L121" s="137">
        <f t="shared" si="44"/>
        <v>6140467.9439924313</v>
      </c>
      <c r="M121" s="137">
        <f t="shared" si="44"/>
        <v>6148987.6622022595</v>
      </c>
      <c r="N121" s="137">
        <f t="shared" si="44"/>
        <v>6156539.2538212985</v>
      </c>
      <c r="O121" s="137">
        <f t="shared" si="44"/>
        <v>6163103.2656847779</v>
      </c>
      <c r="P121" s="137">
        <f t="shared" si="44"/>
        <v>6168649.5082988068</v>
      </c>
      <c r="Q121" s="137">
        <f t="shared" si="44"/>
        <v>6173137.0374321509</v>
      </c>
      <c r="R121" s="137">
        <f t="shared" si="44"/>
        <v>6941924.9549419144</v>
      </c>
      <c r="S121" s="137">
        <f t="shared" si="44"/>
        <v>6932454.3288154621</v>
      </c>
      <c r="T121" s="137">
        <f t="shared" si="44"/>
        <v>6921847.4370358493</v>
      </c>
      <c r="U121" s="137">
        <f t="shared" si="44"/>
        <v>6910060.1229617456</v>
      </c>
      <c r="V121" s="137">
        <f t="shared" si="44"/>
        <v>6897067.37603579</v>
      </c>
      <c r="W121" s="137">
        <f t="shared" si="44"/>
        <v>6882823.3104366846</v>
      </c>
      <c r="X121" s="137">
        <f t="shared" si="44"/>
        <v>6867301.1431976007</v>
      </c>
      <c r="Y121" s="137">
        <f t="shared" si="44"/>
        <v>6850463.1717775417</v>
      </c>
      <c r="Z121" s="137">
        <f t="shared" si="44"/>
        <v>6832280.7510719802</v>
      </c>
      <c r="AA121" s="137">
        <f t="shared" si="44"/>
        <v>8203152.3435903946</v>
      </c>
      <c r="AB121" s="137">
        <f t="shared" si="44"/>
        <v>0</v>
      </c>
      <c r="AC121" s="137">
        <f t="shared" si="44"/>
        <v>0</v>
      </c>
      <c r="AD121" s="137">
        <f t="shared" si="44"/>
        <v>0</v>
      </c>
      <c r="AE121" s="137">
        <f t="shared" si="44"/>
        <v>0</v>
      </c>
      <c r="AF121" s="137">
        <f t="shared" si="44"/>
        <v>0</v>
      </c>
      <c r="AG121" s="137">
        <f t="shared" si="44"/>
        <v>0</v>
      </c>
      <c r="AH121" s="137">
        <f t="shared" si="44"/>
        <v>0</v>
      </c>
      <c r="AI121" s="137">
        <f t="shared" si="44"/>
        <v>0</v>
      </c>
      <c r="AJ121" s="137">
        <f t="shared" si="44"/>
        <v>0</v>
      </c>
      <c r="AK121" s="137">
        <f t="shared" si="44"/>
        <v>0</v>
      </c>
      <c r="AL121" s="137">
        <f t="shared" si="44"/>
        <v>0</v>
      </c>
      <c r="AM121" s="137">
        <f t="shared" si="44"/>
        <v>0</v>
      </c>
      <c r="AN121" s="137">
        <f t="shared" si="44"/>
        <v>0</v>
      </c>
      <c r="AO121" s="137">
        <f t="shared" si="44"/>
        <v>0</v>
      </c>
      <c r="AP121" s="137">
        <f t="shared" si="44"/>
        <v>0</v>
      </c>
    </row>
    <row r="122" spans="1:53" x14ac:dyDescent="0.2">
      <c r="A122" s="18"/>
    </row>
    <row r="123" spans="1:53" x14ac:dyDescent="0.2">
      <c r="A123" s="20" t="s">
        <v>275</v>
      </c>
    </row>
    <row r="124" spans="1:53" x14ac:dyDescent="0.2">
      <c r="A124" s="88" t="s">
        <v>2</v>
      </c>
    </row>
    <row r="125" spans="1:53" x14ac:dyDescent="0.2">
      <c r="A125" s="89" t="s">
        <v>5</v>
      </c>
      <c r="B125" s="119">
        <v>0</v>
      </c>
      <c r="C125" s="119">
        <f>C$568</f>
        <v>0</v>
      </c>
      <c r="D125" s="119">
        <f t="shared" ref="D125:AP125" si="45">D$568</f>
        <v>0</v>
      </c>
      <c r="E125" s="119">
        <f t="shared" si="45"/>
        <v>0</v>
      </c>
      <c r="F125" s="119">
        <f t="shared" si="45"/>
        <v>0</v>
      </c>
      <c r="G125" s="119">
        <f t="shared" si="45"/>
        <v>0</v>
      </c>
      <c r="H125" s="119">
        <f t="shared" si="45"/>
        <v>0</v>
      </c>
      <c r="I125" s="119">
        <f t="shared" si="45"/>
        <v>0</v>
      </c>
      <c r="J125" s="119">
        <f t="shared" si="45"/>
        <v>0</v>
      </c>
      <c r="K125" s="119">
        <f t="shared" si="45"/>
        <v>0</v>
      </c>
      <c r="L125" s="119">
        <f t="shared" si="45"/>
        <v>0</v>
      </c>
      <c r="M125" s="119">
        <f t="shared" si="45"/>
        <v>0</v>
      </c>
      <c r="N125" s="119">
        <f t="shared" si="45"/>
        <v>0</v>
      </c>
      <c r="O125" s="119">
        <f t="shared" si="45"/>
        <v>0</v>
      </c>
      <c r="P125" s="119">
        <f t="shared" si="45"/>
        <v>0</v>
      </c>
      <c r="Q125" s="119">
        <f t="shared" si="45"/>
        <v>0</v>
      </c>
      <c r="R125" s="119">
        <f t="shared" si="45"/>
        <v>0</v>
      </c>
      <c r="S125" s="119">
        <f t="shared" si="45"/>
        <v>0</v>
      </c>
      <c r="T125" s="119">
        <f t="shared" si="45"/>
        <v>0</v>
      </c>
      <c r="U125" s="119">
        <f t="shared" si="45"/>
        <v>0</v>
      </c>
      <c r="V125" s="119">
        <f t="shared" si="45"/>
        <v>0</v>
      </c>
      <c r="W125" s="119">
        <f t="shared" si="45"/>
        <v>0</v>
      </c>
      <c r="X125" s="119">
        <f t="shared" si="45"/>
        <v>0</v>
      </c>
      <c r="Y125" s="119">
        <f t="shared" si="45"/>
        <v>0</v>
      </c>
      <c r="Z125" s="119">
        <f t="shared" si="45"/>
        <v>0</v>
      </c>
      <c r="AA125" s="119">
        <f t="shared" si="45"/>
        <v>0</v>
      </c>
      <c r="AB125" s="119">
        <f t="shared" si="45"/>
        <v>0</v>
      </c>
      <c r="AC125" s="119">
        <f t="shared" si="45"/>
        <v>0</v>
      </c>
      <c r="AD125" s="119">
        <f t="shared" si="45"/>
        <v>0</v>
      </c>
      <c r="AE125" s="119">
        <f t="shared" si="45"/>
        <v>0</v>
      </c>
      <c r="AF125" s="119">
        <f t="shared" si="45"/>
        <v>0</v>
      </c>
      <c r="AG125" s="119">
        <f t="shared" si="45"/>
        <v>0</v>
      </c>
      <c r="AH125" s="119">
        <f t="shared" si="45"/>
        <v>0</v>
      </c>
      <c r="AI125" s="119">
        <f t="shared" si="45"/>
        <v>0</v>
      </c>
      <c r="AJ125" s="119">
        <f t="shared" si="45"/>
        <v>0</v>
      </c>
      <c r="AK125" s="119">
        <f t="shared" si="45"/>
        <v>0</v>
      </c>
      <c r="AL125" s="119">
        <f t="shared" si="45"/>
        <v>0</v>
      </c>
      <c r="AM125" s="119">
        <f t="shared" si="45"/>
        <v>0</v>
      </c>
      <c r="AN125" s="119">
        <f t="shared" si="45"/>
        <v>0</v>
      </c>
      <c r="AO125" s="119">
        <f t="shared" si="45"/>
        <v>0</v>
      </c>
      <c r="AP125" s="119">
        <f t="shared" si="45"/>
        <v>0</v>
      </c>
    </row>
    <row r="126" spans="1:53" x14ac:dyDescent="0.2">
      <c r="A126" s="89" t="s">
        <v>4</v>
      </c>
      <c r="B126" s="120">
        <v>0</v>
      </c>
      <c r="C126" s="120">
        <f>C$574</f>
        <v>30439739.924999997</v>
      </c>
      <c r="D126" s="120">
        <f t="shared" ref="D126:AP126" si="46">D$574</f>
        <v>0</v>
      </c>
      <c r="E126" s="120">
        <f t="shared" si="46"/>
        <v>0</v>
      </c>
      <c r="F126" s="120">
        <f t="shared" si="46"/>
        <v>0</v>
      </c>
      <c r="G126" s="120">
        <f t="shared" si="46"/>
        <v>0</v>
      </c>
      <c r="H126" s="120">
        <f t="shared" si="46"/>
        <v>0</v>
      </c>
      <c r="I126" s="120">
        <f t="shared" si="46"/>
        <v>0</v>
      </c>
      <c r="J126" s="120">
        <f t="shared" si="46"/>
        <v>0</v>
      </c>
      <c r="K126" s="120">
        <f t="shared" si="46"/>
        <v>0</v>
      </c>
      <c r="L126" s="120">
        <f t="shared" si="46"/>
        <v>0</v>
      </c>
      <c r="M126" s="120">
        <f t="shared" si="46"/>
        <v>0</v>
      </c>
      <c r="N126" s="120">
        <f t="shared" si="46"/>
        <v>0</v>
      </c>
      <c r="O126" s="120">
        <f t="shared" si="46"/>
        <v>0</v>
      </c>
      <c r="P126" s="120">
        <f t="shared" si="46"/>
        <v>0</v>
      </c>
      <c r="Q126" s="120">
        <f t="shared" si="46"/>
        <v>0</v>
      </c>
      <c r="R126" s="120">
        <f t="shared" si="46"/>
        <v>0</v>
      </c>
      <c r="S126" s="120">
        <f t="shared" si="46"/>
        <v>0</v>
      </c>
      <c r="T126" s="120">
        <f t="shared" si="46"/>
        <v>0</v>
      </c>
      <c r="U126" s="120">
        <f t="shared" si="46"/>
        <v>0</v>
      </c>
      <c r="V126" s="120">
        <f t="shared" si="46"/>
        <v>0</v>
      </c>
      <c r="W126" s="120">
        <f t="shared" si="46"/>
        <v>0</v>
      </c>
      <c r="X126" s="120">
        <f t="shared" si="46"/>
        <v>0</v>
      </c>
      <c r="Y126" s="120">
        <f t="shared" si="46"/>
        <v>0</v>
      </c>
      <c r="Z126" s="120">
        <f t="shared" si="46"/>
        <v>0</v>
      </c>
      <c r="AA126" s="120">
        <f t="shared" si="46"/>
        <v>0</v>
      </c>
      <c r="AB126" s="120">
        <f t="shared" si="46"/>
        <v>0</v>
      </c>
      <c r="AC126" s="120">
        <f t="shared" si="46"/>
        <v>0</v>
      </c>
      <c r="AD126" s="120">
        <f t="shared" si="46"/>
        <v>0</v>
      </c>
      <c r="AE126" s="120">
        <f t="shared" si="46"/>
        <v>0</v>
      </c>
      <c r="AF126" s="120">
        <f t="shared" si="46"/>
        <v>0</v>
      </c>
      <c r="AG126" s="120">
        <f t="shared" si="46"/>
        <v>0</v>
      </c>
      <c r="AH126" s="120">
        <f t="shared" si="46"/>
        <v>0</v>
      </c>
      <c r="AI126" s="120">
        <f t="shared" si="46"/>
        <v>0</v>
      </c>
      <c r="AJ126" s="120">
        <f t="shared" si="46"/>
        <v>0</v>
      </c>
      <c r="AK126" s="120">
        <f t="shared" si="46"/>
        <v>0</v>
      </c>
      <c r="AL126" s="120">
        <f t="shared" si="46"/>
        <v>0</v>
      </c>
      <c r="AM126" s="120">
        <f t="shared" si="46"/>
        <v>0</v>
      </c>
      <c r="AN126" s="120">
        <f t="shared" si="46"/>
        <v>0</v>
      </c>
      <c r="AO126" s="120">
        <f t="shared" si="46"/>
        <v>0</v>
      </c>
      <c r="AP126" s="120">
        <f t="shared" si="46"/>
        <v>0</v>
      </c>
    </row>
    <row r="127" spans="1:53" x14ac:dyDescent="0.2">
      <c r="A127" s="89" t="s">
        <v>13</v>
      </c>
      <c r="B127" s="119">
        <f t="shared" ref="B127" si="47">SUM(B125:B126)</f>
        <v>0</v>
      </c>
      <c r="C127" s="119">
        <f>SUM(C125:C126)</f>
        <v>30439739.924999997</v>
      </c>
      <c r="D127" s="119">
        <f t="shared" ref="D127:AP127" si="48">SUM(D125:D126)</f>
        <v>0</v>
      </c>
      <c r="E127" s="119">
        <f t="shared" si="48"/>
        <v>0</v>
      </c>
      <c r="F127" s="119">
        <f t="shared" si="48"/>
        <v>0</v>
      </c>
      <c r="G127" s="119">
        <f t="shared" si="48"/>
        <v>0</v>
      </c>
      <c r="H127" s="119">
        <f t="shared" si="48"/>
        <v>0</v>
      </c>
      <c r="I127" s="119">
        <f t="shared" si="48"/>
        <v>0</v>
      </c>
      <c r="J127" s="119">
        <f t="shared" si="48"/>
        <v>0</v>
      </c>
      <c r="K127" s="119">
        <f t="shared" si="48"/>
        <v>0</v>
      </c>
      <c r="L127" s="119">
        <f t="shared" si="48"/>
        <v>0</v>
      </c>
      <c r="M127" s="119">
        <f t="shared" si="48"/>
        <v>0</v>
      </c>
      <c r="N127" s="119">
        <f t="shared" si="48"/>
        <v>0</v>
      </c>
      <c r="O127" s="119">
        <f t="shared" si="48"/>
        <v>0</v>
      </c>
      <c r="P127" s="119">
        <f t="shared" si="48"/>
        <v>0</v>
      </c>
      <c r="Q127" s="119">
        <f t="shared" si="48"/>
        <v>0</v>
      </c>
      <c r="R127" s="119">
        <f t="shared" si="48"/>
        <v>0</v>
      </c>
      <c r="S127" s="119">
        <f t="shared" si="48"/>
        <v>0</v>
      </c>
      <c r="T127" s="119">
        <f t="shared" si="48"/>
        <v>0</v>
      </c>
      <c r="U127" s="119">
        <f t="shared" si="48"/>
        <v>0</v>
      </c>
      <c r="V127" s="119">
        <f t="shared" si="48"/>
        <v>0</v>
      </c>
      <c r="W127" s="119">
        <f t="shared" si="48"/>
        <v>0</v>
      </c>
      <c r="X127" s="119">
        <f t="shared" si="48"/>
        <v>0</v>
      </c>
      <c r="Y127" s="119">
        <f t="shared" si="48"/>
        <v>0</v>
      </c>
      <c r="Z127" s="119">
        <f t="shared" si="48"/>
        <v>0</v>
      </c>
      <c r="AA127" s="119">
        <f t="shared" si="48"/>
        <v>0</v>
      </c>
      <c r="AB127" s="119">
        <f t="shared" si="48"/>
        <v>0</v>
      </c>
      <c r="AC127" s="119">
        <f t="shared" si="48"/>
        <v>0</v>
      </c>
      <c r="AD127" s="119">
        <f t="shared" si="48"/>
        <v>0</v>
      </c>
      <c r="AE127" s="119">
        <f t="shared" si="48"/>
        <v>0</v>
      </c>
      <c r="AF127" s="119">
        <f t="shared" si="48"/>
        <v>0</v>
      </c>
      <c r="AG127" s="119">
        <f t="shared" si="48"/>
        <v>0</v>
      </c>
      <c r="AH127" s="119">
        <f t="shared" si="48"/>
        <v>0</v>
      </c>
      <c r="AI127" s="119">
        <f t="shared" si="48"/>
        <v>0</v>
      </c>
      <c r="AJ127" s="119">
        <f t="shared" si="48"/>
        <v>0</v>
      </c>
      <c r="AK127" s="119">
        <f t="shared" si="48"/>
        <v>0</v>
      </c>
      <c r="AL127" s="119">
        <f t="shared" si="48"/>
        <v>0</v>
      </c>
      <c r="AM127" s="119">
        <f t="shared" si="48"/>
        <v>0</v>
      </c>
      <c r="AN127" s="119">
        <f t="shared" si="48"/>
        <v>0</v>
      </c>
      <c r="AO127" s="119">
        <f t="shared" si="48"/>
        <v>0</v>
      </c>
      <c r="AP127" s="119">
        <f t="shared" si="48"/>
        <v>0</v>
      </c>
    </row>
    <row r="128" spans="1:53" x14ac:dyDescent="0.2">
      <c r="A128" s="88" t="s">
        <v>6</v>
      </c>
    </row>
    <row r="129" spans="1:42" x14ac:dyDescent="0.2">
      <c r="A129" s="89" t="s">
        <v>5</v>
      </c>
      <c r="B129" s="119">
        <f>B581</f>
        <v>0</v>
      </c>
      <c r="C129" s="119">
        <f t="shared" ref="C129:AO129" si="49">C581</f>
        <v>0</v>
      </c>
      <c r="D129" s="119">
        <f t="shared" si="49"/>
        <v>0</v>
      </c>
      <c r="E129" s="119">
        <f t="shared" si="49"/>
        <v>0</v>
      </c>
      <c r="F129" s="119">
        <f t="shared" si="49"/>
        <v>0</v>
      </c>
      <c r="G129" s="119">
        <f t="shared" si="49"/>
        <v>0</v>
      </c>
      <c r="H129" s="119">
        <f t="shared" si="49"/>
        <v>0</v>
      </c>
      <c r="I129" s="119">
        <f t="shared" si="49"/>
        <v>0</v>
      </c>
      <c r="J129" s="119">
        <f t="shared" si="49"/>
        <v>0</v>
      </c>
      <c r="K129" s="119">
        <f t="shared" si="49"/>
        <v>0</v>
      </c>
      <c r="L129" s="119">
        <f t="shared" si="49"/>
        <v>0</v>
      </c>
      <c r="M129" s="119">
        <f t="shared" si="49"/>
        <v>0</v>
      </c>
      <c r="N129" s="119">
        <f t="shared" si="49"/>
        <v>0</v>
      </c>
      <c r="O129" s="119">
        <f t="shared" si="49"/>
        <v>0</v>
      </c>
      <c r="P129" s="119">
        <f t="shared" si="49"/>
        <v>0</v>
      </c>
      <c r="Q129" s="119">
        <f t="shared" si="49"/>
        <v>0</v>
      </c>
      <c r="R129" s="119">
        <f t="shared" si="49"/>
        <v>0</v>
      </c>
      <c r="S129" s="119">
        <f t="shared" si="49"/>
        <v>0</v>
      </c>
      <c r="T129" s="119">
        <f t="shared" si="49"/>
        <v>0</v>
      </c>
      <c r="U129" s="119">
        <f t="shared" si="49"/>
        <v>0</v>
      </c>
      <c r="V129" s="119">
        <f t="shared" si="49"/>
        <v>0</v>
      </c>
      <c r="W129" s="119">
        <f t="shared" si="49"/>
        <v>0</v>
      </c>
      <c r="X129" s="119">
        <f t="shared" si="49"/>
        <v>0</v>
      </c>
      <c r="Y129" s="119">
        <f t="shared" si="49"/>
        <v>0</v>
      </c>
      <c r="Z129" s="119">
        <f t="shared" si="49"/>
        <v>0</v>
      </c>
      <c r="AA129" s="119">
        <f t="shared" si="49"/>
        <v>0</v>
      </c>
      <c r="AB129" s="119">
        <f t="shared" si="49"/>
        <v>0</v>
      </c>
      <c r="AC129" s="119">
        <f t="shared" si="49"/>
        <v>0</v>
      </c>
      <c r="AD129" s="119">
        <f t="shared" si="49"/>
        <v>0</v>
      </c>
      <c r="AE129" s="119">
        <f t="shared" si="49"/>
        <v>0</v>
      </c>
      <c r="AF129" s="119">
        <f t="shared" si="49"/>
        <v>0</v>
      </c>
      <c r="AG129" s="119">
        <f t="shared" si="49"/>
        <v>0</v>
      </c>
      <c r="AH129" s="119">
        <f t="shared" si="49"/>
        <v>0</v>
      </c>
      <c r="AI129" s="119">
        <f t="shared" si="49"/>
        <v>0</v>
      </c>
      <c r="AJ129" s="119">
        <f t="shared" si="49"/>
        <v>0</v>
      </c>
      <c r="AK129" s="119">
        <f t="shared" si="49"/>
        <v>0</v>
      </c>
      <c r="AL129" s="119">
        <f t="shared" si="49"/>
        <v>0</v>
      </c>
      <c r="AM129" s="119">
        <f t="shared" si="49"/>
        <v>0</v>
      </c>
      <c r="AN129" s="119">
        <f t="shared" si="49"/>
        <v>0</v>
      </c>
      <c r="AO129" s="119">
        <f t="shared" si="49"/>
        <v>0</v>
      </c>
      <c r="AP129" s="119">
        <f>AP581</f>
        <v>0</v>
      </c>
    </row>
    <row r="130" spans="1:42" x14ac:dyDescent="0.2">
      <c r="A130" s="89" t="s">
        <v>4</v>
      </c>
      <c r="B130" s="120">
        <f>B587</f>
        <v>0</v>
      </c>
      <c r="C130" s="120">
        <f t="shared" ref="C130:AO130" si="50">C587</f>
        <v>0</v>
      </c>
      <c r="D130" s="120">
        <f t="shared" si="50"/>
        <v>0</v>
      </c>
      <c r="E130" s="120">
        <f t="shared" si="50"/>
        <v>0</v>
      </c>
      <c r="F130" s="120">
        <f t="shared" si="50"/>
        <v>0</v>
      </c>
      <c r="G130" s="120">
        <f t="shared" si="50"/>
        <v>0</v>
      </c>
      <c r="H130" s="120">
        <f t="shared" si="50"/>
        <v>0</v>
      </c>
      <c r="I130" s="120">
        <f t="shared" si="50"/>
        <v>0</v>
      </c>
      <c r="J130" s="120">
        <f t="shared" si="50"/>
        <v>0</v>
      </c>
      <c r="K130" s="120">
        <f t="shared" si="50"/>
        <v>0</v>
      </c>
      <c r="L130" s="120">
        <f t="shared" si="50"/>
        <v>0</v>
      </c>
      <c r="M130" s="120">
        <f t="shared" si="50"/>
        <v>0</v>
      </c>
      <c r="N130" s="120">
        <f t="shared" si="50"/>
        <v>0</v>
      </c>
      <c r="O130" s="120">
        <f t="shared" si="50"/>
        <v>0</v>
      </c>
      <c r="P130" s="120">
        <f t="shared" si="50"/>
        <v>0</v>
      </c>
      <c r="Q130" s="120">
        <f t="shared" si="50"/>
        <v>0</v>
      </c>
      <c r="R130" s="120">
        <f t="shared" si="50"/>
        <v>0</v>
      </c>
      <c r="S130" s="120">
        <f t="shared" si="50"/>
        <v>0</v>
      </c>
      <c r="T130" s="120">
        <f t="shared" si="50"/>
        <v>0</v>
      </c>
      <c r="U130" s="120">
        <f t="shared" si="50"/>
        <v>0</v>
      </c>
      <c r="V130" s="120">
        <f t="shared" si="50"/>
        <v>0</v>
      </c>
      <c r="W130" s="120">
        <f t="shared" si="50"/>
        <v>0</v>
      </c>
      <c r="X130" s="120">
        <f t="shared" si="50"/>
        <v>0</v>
      </c>
      <c r="Y130" s="120">
        <f t="shared" si="50"/>
        <v>0</v>
      </c>
      <c r="Z130" s="120">
        <f t="shared" si="50"/>
        <v>0</v>
      </c>
      <c r="AA130" s="120">
        <f t="shared" si="50"/>
        <v>0</v>
      </c>
      <c r="AB130" s="120">
        <f t="shared" si="50"/>
        <v>0</v>
      </c>
      <c r="AC130" s="120">
        <f t="shared" si="50"/>
        <v>0</v>
      </c>
      <c r="AD130" s="120">
        <f t="shared" si="50"/>
        <v>0</v>
      </c>
      <c r="AE130" s="120">
        <f t="shared" si="50"/>
        <v>0</v>
      </c>
      <c r="AF130" s="120">
        <f t="shared" si="50"/>
        <v>0</v>
      </c>
      <c r="AG130" s="120">
        <f t="shared" si="50"/>
        <v>0</v>
      </c>
      <c r="AH130" s="120">
        <f t="shared" si="50"/>
        <v>0</v>
      </c>
      <c r="AI130" s="120">
        <f t="shared" si="50"/>
        <v>0</v>
      </c>
      <c r="AJ130" s="120">
        <f t="shared" si="50"/>
        <v>0</v>
      </c>
      <c r="AK130" s="120">
        <f t="shared" si="50"/>
        <v>0</v>
      </c>
      <c r="AL130" s="120">
        <f t="shared" si="50"/>
        <v>0</v>
      </c>
      <c r="AM130" s="120">
        <f t="shared" si="50"/>
        <v>0</v>
      </c>
      <c r="AN130" s="120">
        <f t="shared" si="50"/>
        <v>0</v>
      </c>
      <c r="AO130" s="120">
        <f t="shared" si="50"/>
        <v>0</v>
      </c>
      <c r="AP130" s="120">
        <f>AP587</f>
        <v>0</v>
      </c>
    </row>
    <row r="131" spans="1:42" x14ac:dyDescent="0.2">
      <c r="A131" s="89" t="s">
        <v>13</v>
      </c>
      <c r="B131" s="119">
        <f>SUM(B129:B130)</f>
        <v>0</v>
      </c>
      <c r="C131" s="119">
        <f>SUM(C129:C130)</f>
        <v>0</v>
      </c>
      <c r="D131" s="119">
        <f>SUM(D129:D130)</f>
        <v>0</v>
      </c>
      <c r="E131" s="119">
        <f t="shared" ref="E131:AP131" si="51">SUM(E129:E130)</f>
        <v>0</v>
      </c>
      <c r="F131" s="119">
        <f t="shared" si="51"/>
        <v>0</v>
      </c>
      <c r="G131" s="119">
        <f t="shared" si="51"/>
        <v>0</v>
      </c>
      <c r="H131" s="119">
        <f t="shared" si="51"/>
        <v>0</v>
      </c>
      <c r="I131" s="119">
        <f t="shared" si="51"/>
        <v>0</v>
      </c>
      <c r="J131" s="119">
        <f t="shared" si="51"/>
        <v>0</v>
      </c>
      <c r="K131" s="119">
        <f t="shared" si="51"/>
        <v>0</v>
      </c>
      <c r="L131" s="119">
        <f t="shared" si="51"/>
        <v>0</v>
      </c>
      <c r="M131" s="119">
        <f t="shared" si="51"/>
        <v>0</v>
      </c>
      <c r="N131" s="119">
        <f t="shared" si="51"/>
        <v>0</v>
      </c>
      <c r="O131" s="119">
        <f t="shared" si="51"/>
        <v>0</v>
      </c>
      <c r="P131" s="119">
        <f t="shared" si="51"/>
        <v>0</v>
      </c>
      <c r="Q131" s="119">
        <f t="shared" si="51"/>
        <v>0</v>
      </c>
      <c r="R131" s="119">
        <f t="shared" si="51"/>
        <v>0</v>
      </c>
      <c r="S131" s="119">
        <f t="shared" si="51"/>
        <v>0</v>
      </c>
      <c r="T131" s="119">
        <f t="shared" si="51"/>
        <v>0</v>
      </c>
      <c r="U131" s="119">
        <f t="shared" si="51"/>
        <v>0</v>
      </c>
      <c r="V131" s="119">
        <f t="shared" si="51"/>
        <v>0</v>
      </c>
      <c r="W131" s="119">
        <f t="shared" si="51"/>
        <v>0</v>
      </c>
      <c r="X131" s="119">
        <f t="shared" si="51"/>
        <v>0</v>
      </c>
      <c r="Y131" s="119">
        <f t="shared" si="51"/>
        <v>0</v>
      </c>
      <c r="Z131" s="119">
        <f t="shared" si="51"/>
        <v>0</v>
      </c>
      <c r="AA131" s="119">
        <f t="shared" si="51"/>
        <v>0</v>
      </c>
      <c r="AB131" s="119">
        <f t="shared" si="51"/>
        <v>0</v>
      </c>
      <c r="AC131" s="119">
        <f t="shared" si="51"/>
        <v>0</v>
      </c>
      <c r="AD131" s="119">
        <f t="shared" si="51"/>
        <v>0</v>
      </c>
      <c r="AE131" s="119">
        <f t="shared" si="51"/>
        <v>0</v>
      </c>
      <c r="AF131" s="119">
        <f t="shared" si="51"/>
        <v>0</v>
      </c>
      <c r="AG131" s="119">
        <f t="shared" si="51"/>
        <v>0</v>
      </c>
      <c r="AH131" s="119">
        <f t="shared" si="51"/>
        <v>0</v>
      </c>
      <c r="AI131" s="119">
        <f t="shared" si="51"/>
        <v>0</v>
      </c>
      <c r="AJ131" s="119">
        <f t="shared" si="51"/>
        <v>0</v>
      </c>
      <c r="AK131" s="119">
        <f t="shared" si="51"/>
        <v>0</v>
      </c>
      <c r="AL131" s="119">
        <f t="shared" si="51"/>
        <v>0</v>
      </c>
      <c r="AM131" s="119">
        <f t="shared" si="51"/>
        <v>0</v>
      </c>
      <c r="AN131" s="119">
        <f t="shared" si="51"/>
        <v>0</v>
      </c>
      <c r="AO131" s="119">
        <f t="shared" si="51"/>
        <v>0</v>
      </c>
      <c r="AP131" s="119">
        <f t="shared" si="51"/>
        <v>0</v>
      </c>
    </row>
    <row r="132" spans="1:42" x14ac:dyDescent="0.2">
      <c r="A132" s="88" t="s">
        <v>82</v>
      </c>
    </row>
    <row r="133" spans="1:42" x14ac:dyDescent="0.2">
      <c r="A133" s="89" t="s">
        <v>5</v>
      </c>
      <c r="B133" s="119">
        <f>B245</f>
        <v>0</v>
      </c>
      <c r="C133" s="119">
        <f>C245</f>
        <v>736853.35419631237</v>
      </c>
      <c r="D133" s="119">
        <f t="shared" ref="D133:AP133" si="52">D245</f>
        <v>1478001.756232911</v>
      </c>
      <c r="E133" s="119">
        <f t="shared" si="52"/>
        <v>703012.01992119732</v>
      </c>
      <c r="F133" s="119">
        <f t="shared" si="52"/>
        <v>237297.51794910216</v>
      </c>
      <c r="G133" s="119">
        <f t="shared" si="52"/>
        <v>235390.35227292194</v>
      </c>
      <c r="H133" s="119">
        <f t="shared" si="52"/>
        <v>-114122.00931615081</v>
      </c>
      <c r="I133" s="119">
        <f t="shared" si="52"/>
        <v>-463139.79188444442</v>
      </c>
      <c r="J133" s="119">
        <f t="shared" si="52"/>
        <v>-463964.25761067949</v>
      </c>
      <c r="K133" s="119">
        <f t="shared" si="52"/>
        <v>-464715.95643521042</v>
      </c>
      <c r="L133" s="119">
        <f t="shared" si="52"/>
        <v>-465429.21065732313</v>
      </c>
      <c r="M133" s="119">
        <f t="shared" si="52"/>
        <v>-466054.73157157493</v>
      </c>
      <c r="N133" s="119">
        <f t="shared" si="52"/>
        <v>-466656.91289671412</v>
      </c>
      <c r="O133" s="119">
        <f t="shared" si="52"/>
        <v>-467127.87943291682</v>
      </c>
      <c r="P133" s="119">
        <f t="shared" si="52"/>
        <v>-467591.81271814439</v>
      </c>
      <c r="Q133" s="119">
        <f t="shared" si="52"/>
        <v>-270115.1077537479</v>
      </c>
      <c r="R133" s="119">
        <f t="shared" si="52"/>
        <v>-149429.80051196416</v>
      </c>
      <c r="S133" s="119">
        <f t="shared" si="52"/>
        <v>-285478.85846782516</v>
      </c>
      <c r="T133" s="119">
        <f t="shared" si="52"/>
        <v>-360746.55899947992</v>
      </c>
      <c r="U133" s="119">
        <f t="shared" si="52"/>
        <v>-359971.37511348753</v>
      </c>
      <c r="V133" s="119">
        <f t="shared" si="52"/>
        <v>-416084.16359200754</v>
      </c>
      <c r="W133" s="119">
        <f t="shared" si="52"/>
        <v>-478029.47748969914</v>
      </c>
      <c r="X133" s="119">
        <f t="shared" si="52"/>
        <v>-482915.53120366024</v>
      </c>
      <c r="Y133" s="119">
        <f t="shared" si="52"/>
        <v>-481791.98448375182</v>
      </c>
      <c r="Z133" s="119">
        <f t="shared" si="52"/>
        <v>-480575.70409584552</v>
      </c>
      <c r="AA133" s="119">
        <f t="shared" si="52"/>
        <v>-479262.55169824167</v>
      </c>
      <c r="AB133" s="119">
        <f t="shared" si="52"/>
        <v>0</v>
      </c>
      <c r="AC133" s="119">
        <f t="shared" si="52"/>
        <v>0</v>
      </c>
      <c r="AD133" s="119">
        <f t="shared" si="52"/>
        <v>0</v>
      </c>
      <c r="AE133" s="119">
        <f t="shared" si="52"/>
        <v>0</v>
      </c>
      <c r="AF133" s="119">
        <f t="shared" si="52"/>
        <v>0</v>
      </c>
      <c r="AG133" s="119">
        <f t="shared" si="52"/>
        <v>0</v>
      </c>
      <c r="AH133" s="119">
        <f t="shared" si="52"/>
        <v>0</v>
      </c>
      <c r="AI133" s="119">
        <f t="shared" si="52"/>
        <v>0</v>
      </c>
      <c r="AJ133" s="119">
        <f t="shared" si="52"/>
        <v>0</v>
      </c>
      <c r="AK133" s="119">
        <f t="shared" si="52"/>
        <v>0</v>
      </c>
      <c r="AL133" s="119">
        <f t="shared" si="52"/>
        <v>0</v>
      </c>
      <c r="AM133" s="119">
        <f t="shared" si="52"/>
        <v>0</v>
      </c>
      <c r="AN133" s="119">
        <f t="shared" si="52"/>
        <v>0</v>
      </c>
      <c r="AO133" s="119">
        <f t="shared" si="52"/>
        <v>0</v>
      </c>
      <c r="AP133" s="119">
        <f t="shared" si="52"/>
        <v>0</v>
      </c>
    </row>
    <row r="134" spans="1:42" x14ac:dyDescent="0.2">
      <c r="A134" s="89" t="s">
        <v>4</v>
      </c>
      <c r="B134" s="119">
        <f>B285</f>
        <v>0</v>
      </c>
      <c r="C134" s="119">
        <f>C285</f>
        <v>2055820.8582077115</v>
      </c>
      <c r="D134" s="119">
        <f t="shared" ref="D134:AP134" si="53">D285</f>
        <v>4123624.8998898221</v>
      </c>
      <c r="E134" s="119">
        <f t="shared" si="53"/>
        <v>1961403.535580141</v>
      </c>
      <c r="F134" s="119">
        <f t="shared" si="53"/>
        <v>662060.07507799508</v>
      </c>
      <c r="G134" s="119">
        <f t="shared" si="53"/>
        <v>656739.08284145221</v>
      </c>
      <c r="H134" s="119">
        <f t="shared" si="53"/>
        <v>-318400.40599206073</v>
      </c>
      <c r="I134" s="119">
        <f t="shared" si="53"/>
        <v>-1292160.0193576</v>
      </c>
      <c r="J134" s="119">
        <f t="shared" si="53"/>
        <v>-1294460.2787337957</v>
      </c>
      <c r="K134" s="119">
        <f t="shared" si="53"/>
        <v>-1296557.5184542371</v>
      </c>
      <c r="L134" s="119">
        <f t="shared" si="53"/>
        <v>-1298547.4977339315</v>
      </c>
      <c r="M134" s="119">
        <f t="shared" si="53"/>
        <v>-1300292.7010846941</v>
      </c>
      <c r="N134" s="119">
        <f t="shared" si="53"/>
        <v>-1301972.7869818325</v>
      </c>
      <c r="O134" s="119">
        <f t="shared" si="53"/>
        <v>-1303286.7836178378</v>
      </c>
      <c r="P134" s="119">
        <f t="shared" si="53"/>
        <v>-1304581.1574836229</v>
      </c>
      <c r="Q134" s="119">
        <f t="shared" si="53"/>
        <v>-753621.15063295653</v>
      </c>
      <c r="R134" s="119">
        <f t="shared" si="53"/>
        <v>-416909.14342837996</v>
      </c>
      <c r="S134" s="119">
        <f t="shared" si="53"/>
        <v>-796486.01512523217</v>
      </c>
      <c r="T134" s="119">
        <f t="shared" si="53"/>
        <v>-1006482.8996085491</v>
      </c>
      <c r="U134" s="119">
        <f t="shared" si="53"/>
        <v>-1004320.1365666303</v>
      </c>
      <c r="V134" s="119">
        <f t="shared" si="53"/>
        <v>-1160874.8164217011</v>
      </c>
      <c r="W134" s="119">
        <f t="shared" si="53"/>
        <v>-1333702.2421962605</v>
      </c>
      <c r="X134" s="119">
        <f t="shared" si="53"/>
        <v>-1347334.3320582123</v>
      </c>
      <c r="Y134" s="119">
        <f t="shared" si="53"/>
        <v>-1344199.6367096677</v>
      </c>
      <c r="Z134" s="119">
        <f t="shared" si="53"/>
        <v>-1340806.2144274092</v>
      </c>
      <c r="AA134" s="119">
        <f t="shared" si="53"/>
        <v>-1337142.5192380943</v>
      </c>
      <c r="AB134" s="119">
        <f t="shared" si="53"/>
        <v>0</v>
      </c>
      <c r="AC134" s="119">
        <f t="shared" si="53"/>
        <v>0</v>
      </c>
      <c r="AD134" s="119">
        <f t="shared" si="53"/>
        <v>0</v>
      </c>
      <c r="AE134" s="119">
        <f t="shared" si="53"/>
        <v>0</v>
      </c>
      <c r="AF134" s="119">
        <f t="shared" si="53"/>
        <v>0</v>
      </c>
      <c r="AG134" s="119">
        <f t="shared" si="53"/>
        <v>0</v>
      </c>
      <c r="AH134" s="119">
        <f t="shared" si="53"/>
        <v>0</v>
      </c>
      <c r="AI134" s="119">
        <f t="shared" si="53"/>
        <v>0</v>
      </c>
      <c r="AJ134" s="119">
        <f t="shared" si="53"/>
        <v>0</v>
      </c>
      <c r="AK134" s="119">
        <f t="shared" si="53"/>
        <v>0</v>
      </c>
      <c r="AL134" s="119">
        <f t="shared" si="53"/>
        <v>0</v>
      </c>
      <c r="AM134" s="119">
        <f t="shared" si="53"/>
        <v>0</v>
      </c>
      <c r="AN134" s="119">
        <f t="shared" si="53"/>
        <v>0</v>
      </c>
      <c r="AO134" s="119">
        <f t="shared" si="53"/>
        <v>0</v>
      </c>
      <c r="AP134" s="119">
        <f t="shared" si="53"/>
        <v>0</v>
      </c>
    </row>
    <row r="135" spans="1:42" x14ac:dyDescent="0.2">
      <c r="A135" s="89" t="s">
        <v>13</v>
      </c>
      <c r="B135" s="119">
        <f>SUM(B133:B134)</f>
        <v>0</v>
      </c>
      <c r="C135" s="119">
        <f>SUM(C133:C134)</f>
        <v>2792674.2124040239</v>
      </c>
      <c r="D135" s="119">
        <f>SUM(D133:D134)</f>
        <v>5601626.6561227329</v>
      </c>
      <c r="E135" s="119">
        <f t="shared" ref="E135:AP135" si="54">SUM(E133:E134)</f>
        <v>2664415.5555013381</v>
      </c>
      <c r="F135" s="119">
        <f t="shared" si="54"/>
        <v>899357.59302709717</v>
      </c>
      <c r="G135" s="119">
        <f t="shared" si="54"/>
        <v>892129.43511437415</v>
      </c>
      <c r="H135" s="119">
        <f t="shared" si="54"/>
        <v>-432522.41530821152</v>
      </c>
      <c r="I135" s="119">
        <f t="shared" si="54"/>
        <v>-1755299.8112420444</v>
      </c>
      <c r="J135" s="119">
        <f t="shared" si="54"/>
        <v>-1758424.5363444751</v>
      </c>
      <c r="K135" s="119">
        <f t="shared" si="54"/>
        <v>-1761273.4748894474</v>
      </c>
      <c r="L135" s="119">
        <f t="shared" si="54"/>
        <v>-1763976.7083912548</v>
      </c>
      <c r="M135" s="119">
        <f t="shared" si="54"/>
        <v>-1766347.4326562691</v>
      </c>
      <c r="N135" s="119">
        <f t="shared" si="54"/>
        <v>-1768629.6998785466</v>
      </c>
      <c r="O135" s="119">
        <f t="shared" si="54"/>
        <v>-1770414.6630507547</v>
      </c>
      <c r="P135" s="119">
        <f t="shared" si="54"/>
        <v>-1772172.9702017673</v>
      </c>
      <c r="Q135" s="119">
        <f t="shared" si="54"/>
        <v>-1023736.2583867044</v>
      </c>
      <c r="R135" s="119">
        <f t="shared" si="54"/>
        <v>-566338.94394034415</v>
      </c>
      <c r="S135" s="119">
        <f t="shared" si="54"/>
        <v>-1081964.8735930573</v>
      </c>
      <c r="T135" s="119">
        <f t="shared" si="54"/>
        <v>-1367229.4586080289</v>
      </c>
      <c r="U135" s="119">
        <f t="shared" si="54"/>
        <v>-1364291.5116801178</v>
      </c>
      <c r="V135" s="119">
        <f t="shared" si="54"/>
        <v>-1576958.9800137086</v>
      </c>
      <c r="W135" s="119">
        <f t="shared" si="54"/>
        <v>-1811731.7196859596</v>
      </c>
      <c r="X135" s="119">
        <f t="shared" si="54"/>
        <v>-1830249.8632618724</v>
      </c>
      <c r="Y135" s="119">
        <f t="shared" si="54"/>
        <v>-1825991.6211934197</v>
      </c>
      <c r="Z135" s="119">
        <f t="shared" si="54"/>
        <v>-1821381.9185232548</v>
      </c>
      <c r="AA135" s="119">
        <f t="shared" si="54"/>
        <v>-1816405.0709363359</v>
      </c>
      <c r="AB135" s="119">
        <f t="shared" si="54"/>
        <v>0</v>
      </c>
      <c r="AC135" s="119">
        <f t="shared" si="54"/>
        <v>0</v>
      </c>
      <c r="AD135" s="119">
        <f t="shared" si="54"/>
        <v>0</v>
      </c>
      <c r="AE135" s="119">
        <f t="shared" si="54"/>
        <v>0</v>
      </c>
      <c r="AF135" s="119">
        <f t="shared" si="54"/>
        <v>0</v>
      </c>
      <c r="AG135" s="119">
        <f t="shared" si="54"/>
        <v>0</v>
      </c>
      <c r="AH135" s="119">
        <f t="shared" si="54"/>
        <v>0</v>
      </c>
      <c r="AI135" s="119">
        <f t="shared" si="54"/>
        <v>0</v>
      </c>
      <c r="AJ135" s="119">
        <f t="shared" si="54"/>
        <v>0</v>
      </c>
      <c r="AK135" s="119">
        <f t="shared" si="54"/>
        <v>0</v>
      </c>
      <c r="AL135" s="119">
        <f t="shared" si="54"/>
        <v>0</v>
      </c>
      <c r="AM135" s="119">
        <f t="shared" si="54"/>
        <v>0</v>
      </c>
      <c r="AN135" s="119">
        <f t="shared" si="54"/>
        <v>0</v>
      </c>
      <c r="AO135" s="119">
        <f t="shared" si="54"/>
        <v>0</v>
      </c>
      <c r="AP135" s="119">
        <f t="shared" si="54"/>
        <v>0</v>
      </c>
    </row>
    <row r="136" spans="1:42" x14ac:dyDescent="0.2">
      <c r="A136" s="209" t="s">
        <v>13</v>
      </c>
      <c r="B136" s="137">
        <f t="shared" ref="B136:AP136" si="55">B121+B127+B131+B135</f>
        <v>-112739777.5</v>
      </c>
      <c r="C136" s="137">
        <f t="shared" si="55"/>
        <v>39257356.590088174</v>
      </c>
      <c r="D136" s="137">
        <f t="shared" si="55"/>
        <v>11642569.515648337</v>
      </c>
      <c r="E136" s="137">
        <f t="shared" si="55"/>
        <v>8720615.4624933898</v>
      </c>
      <c r="F136" s="137">
        <f t="shared" si="55"/>
        <v>6970067.6041262234</v>
      </c>
      <c r="G136" s="137">
        <f t="shared" si="55"/>
        <v>6976558.4333772138</v>
      </c>
      <c r="H136" s="137">
        <f t="shared" si="55"/>
        <v>5664819.6752513982</v>
      </c>
      <c r="I136" s="137">
        <f t="shared" si="55"/>
        <v>4354134.0793757178</v>
      </c>
      <c r="J136" s="137">
        <f t="shared" si="55"/>
        <v>4362243.8297868585</v>
      </c>
      <c r="K136" s="137">
        <f t="shared" si="55"/>
        <v>4369745.359097261</v>
      </c>
      <c r="L136" s="137">
        <f t="shared" si="55"/>
        <v>4376491.2356011765</v>
      </c>
      <c r="M136" s="137">
        <f t="shared" si="55"/>
        <v>4382640.22954599</v>
      </c>
      <c r="N136" s="137">
        <f t="shared" si="55"/>
        <v>4387909.5539427521</v>
      </c>
      <c r="O136" s="137">
        <f t="shared" si="55"/>
        <v>4392688.6026340229</v>
      </c>
      <c r="P136" s="137">
        <f t="shared" si="55"/>
        <v>4396476.5380970398</v>
      </c>
      <c r="Q136" s="137">
        <f t="shared" si="55"/>
        <v>5149400.7790454468</v>
      </c>
      <c r="R136" s="137">
        <f t="shared" si="55"/>
        <v>6375586.0110015702</v>
      </c>
      <c r="S136" s="137">
        <f t="shared" si="55"/>
        <v>5850489.4552224046</v>
      </c>
      <c r="T136" s="137">
        <f t="shared" si="55"/>
        <v>5554617.9784278199</v>
      </c>
      <c r="U136" s="137">
        <f t="shared" si="55"/>
        <v>5545768.6112816278</v>
      </c>
      <c r="V136" s="137">
        <f t="shared" si="55"/>
        <v>5320108.3960220814</v>
      </c>
      <c r="W136" s="137">
        <f t="shared" si="55"/>
        <v>5071091.590750725</v>
      </c>
      <c r="X136" s="137">
        <f t="shared" si="55"/>
        <v>5037051.2799357288</v>
      </c>
      <c r="Y136" s="137">
        <f t="shared" si="55"/>
        <v>5024471.5505841225</v>
      </c>
      <c r="Z136" s="137">
        <f t="shared" si="55"/>
        <v>5010898.8325487254</v>
      </c>
      <c r="AA136" s="137">
        <f t="shared" si="55"/>
        <v>6386747.2726540584</v>
      </c>
      <c r="AB136" s="137">
        <f t="shared" si="55"/>
        <v>0</v>
      </c>
      <c r="AC136" s="137">
        <f t="shared" si="55"/>
        <v>0</v>
      </c>
      <c r="AD136" s="137">
        <f t="shared" si="55"/>
        <v>0</v>
      </c>
      <c r="AE136" s="137">
        <f t="shared" si="55"/>
        <v>0</v>
      </c>
      <c r="AF136" s="137">
        <f t="shared" si="55"/>
        <v>0</v>
      </c>
      <c r="AG136" s="137">
        <f t="shared" si="55"/>
        <v>0</v>
      </c>
      <c r="AH136" s="137">
        <f t="shared" si="55"/>
        <v>0</v>
      </c>
      <c r="AI136" s="137">
        <f t="shared" si="55"/>
        <v>0</v>
      </c>
      <c r="AJ136" s="137">
        <f t="shared" si="55"/>
        <v>0</v>
      </c>
      <c r="AK136" s="137">
        <f t="shared" si="55"/>
        <v>0</v>
      </c>
      <c r="AL136" s="137">
        <f t="shared" si="55"/>
        <v>0</v>
      </c>
      <c r="AM136" s="137">
        <f t="shared" si="55"/>
        <v>0</v>
      </c>
      <c r="AN136" s="137">
        <f t="shared" si="55"/>
        <v>0</v>
      </c>
      <c r="AO136" s="137">
        <f t="shared" si="55"/>
        <v>0</v>
      </c>
      <c r="AP136" s="137">
        <f t="shared" si="55"/>
        <v>0</v>
      </c>
    </row>
    <row r="137" spans="1:42" x14ac:dyDescent="0.2">
      <c r="A137" s="88"/>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row>
    <row r="138" spans="1:42" x14ac:dyDescent="0.2">
      <c r="A138" s="88" t="s">
        <v>210</v>
      </c>
      <c r="B138" s="295">
        <v>0</v>
      </c>
      <c r="C138" s="295">
        <f>IF(ISERROR(IRR($B136:C136)),"NaN",ROUND(IRR($B136:C136)*100,4))</f>
        <v>-65.178799999999995</v>
      </c>
      <c r="D138" s="295">
        <f>IF(ISERROR(IRR($B136:D136)),"NaN",ROUND(IRR($B136:D136)*100,4))</f>
        <v>-46.040500000000002</v>
      </c>
      <c r="E138" s="295">
        <f>IF(ISERROR(IRR($B136:E136)),"NaN",ROUND(IRR($B136:E136)*100,4))</f>
        <v>-32.732300000000002</v>
      </c>
      <c r="F138" s="295">
        <f>IF(ISERROR(IRR($B136:F136)),"NaN",ROUND(IRR($B136:F136)*100,4))</f>
        <v>-24.055099999999999</v>
      </c>
      <c r="G138" s="295">
        <f>IF(ISERROR(IRR($B136:G136)),"NaN",ROUND(IRR($B136:G136)*100,4))</f>
        <v>-17.2681</v>
      </c>
      <c r="H138" s="295">
        <f>IF(ISERROR(IRR($B136:H136)),"NaN",ROUND(IRR($B136:H136)*100,4))</f>
        <v>-12.934200000000001</v>
      </c>
      <c r="I138" s="295">
        <f>IF(ISERROR(IRR($B136:I136)),"NaN",ROUND(IRR($B136:I136)*100,4))</f>
        <v>-10.1548</v>
      </c>
      <c r="J138" s="295">
        <f>IF(ISERROR(IRR($B136:J136)),"NaN",ROUND(IRR($B136:J136)*100,4))</f>
        <v>-7.7901999999999996</v>
      </c>
      <c r="K138" s="295">
        <f>IF(ISERROR(IRR($B136:K136)),"NaN",ROUND(IRR($B136:K136)*100,4))</f>
        <v>-5.8034999999999997</v>
      </c>
      <c r="L138" s="295">
        <f>IF(ISERROR(IRR($B136:L136)),"NaN",ROUND(IRR($B136:L136)*100,4))</f>
        <v>-4.1395999999999997</v>
      </c>
      <c r="M138" s="295">
        <f>IF(ISERROR(IRR($B136:M136)),"NaN",ROUND(IRR($B136:M136)*100,4))</f>
        <v>-2.7435999999999998</v>
      </c>
      <c r="N138" s="295">
        <f>IF(ISERROR(IRR($B136:N136)),"NaN",ROUND(IRR($B136:N136)*100,4))</f>
        <v>-1.5673999999999999</v>
      </c>
      <c r="O138" s="295">
        <f>IF(ISERROR(IRR($B136:O136)),"NaN",ROUND(IRR($B136:O136)*100,4))</f>
        <v>-0.57120000000000004</v>
      </c>
      <c r="P138" s="295">
        <f>IF(ISERROR(IRR($B136:P136)),"NaN",ROUND(IRR($B136:P136)*100,4))</f>
        <v>0.27729999999999999</v>
      </c>
      <c r="Q138" s="295">
        <f>IF(ISERROR(IRR($B136:Q136)),"NaN",ROUND(IRR($B136:Q136)*100,4))</f>
        <v>1.1178999999999999</v>
      </c>
      <c r="R138" s="295">
        <f>IF(ISERROR(IRR($B136:R136)),"NaN",ROUND(IRR($B136:R136)*100,4))</f>
        <v>1.9809000000000001</v>
      </c>
      <c r="S138" s="295">
        <f>IF(ISERROR(IRR($B136:S136)),"NaN",ROUND(IRR($B136:S136)*100,4))</f>
        <v>2.6395</v>
      </c>
      <c r="T138" s="295">
        <f>IF(ISERROR(IRR($B136:T136)),"NaN",ROUND(IRR($B136:T136)*100,4))</f>
        <v>3.1711999999999998</v>
      </c>
      <c r="U138" s="295">
        <f>IF(ISERROR(IRR($B136:U136)),"NaN",ROUND(IRR($B136:U136)*100,4))</f>
        <v>3.6276999999999999</v>
      </c>
      <c r="V138" s="295">
        <f>IF(ISERROR(IRR($B136:V136)),"NaN",ROUND(IRR($B136:V136)*100,4))</f>
        <v>4.0075000000000003</v>
      </c>
      <c r="W138" s="295">
        <f>IF(ISERROR(IRR($B136:W136)),"NaN",ROUND(IRR($B136:W136)*100,4))</f>
        <v>4.3243999999999998</v>
      </c>
      <c r="X138" s="295">
        <f>IF(ISERROR(IRR($B136:X136)),"NaN",ROUND(IRR($B136:X136)*100,4))</f>
        <v>4.6018999999999997</v>
      </c>
      <c r="Y138" s="295">
        <f>IF(ISERROR(IRR($B136:Y136)),"NaN",ROUND(IRR($B136:Y136)*100,4))</f>
        <v>4.8467000000000002</v>
      </c>
      <c r="Z138" s="295">
        <f>IF(ISERROR(IRR($B136:Z136)),"NaN",ROUND(IRR($B136:Z136)*100,4))</f>
        <v>5.0633999999999997</v>
      </c>
      <c r="AA138" s="295">
        <f>IF(ISERROR(IRR($B136:AA136)),"NaN",ROUND(IRR($B136:AA136)*100,4))</f>
        <v>5.3071999999999999</v>
      </c>
      <c r="AB138" s="295">
        <f>IF(ISERROR(IRR($B136:AB136)),"NaN",ROUND(IRR($B136:AB136)*100,4))</f>
        <v>5.3071999999999999</v>
      </c>
      <c r="AC138" s="295">
        <f>IF(ISERROR(IRR($B136:AC136)),"NaN",ROUND(IRR($B136:AC136)*100,4))</f>
        <v>5.3071999999999999</v>
      </c>
      <c r="AD138" s="295">
        <f>IF(ISERROR(IRR($B136:AD136)),"NaN",ROUND(IRR($B136:AD136)*100,4))</f>
        <v>5.3071999999999999</v>
      </c>
      <c r="AE138" s="295">
        <f>IF(ISERROR(IRR($B136:AE136)),"NaN",ROUND(IRR($B136:AE136)*100,4))</f>
        <v>5.3071999999999999</v>
      </c>
      <c r="AF138" s="295">
        <f>IF(ISERROR(IRR($B136:AF136)),"NaN",ROUND(IRR($B136:AF136)*100,4))</f>
        <v>5.3071999999999999</v>
      </c>
      <c r="AG138" s="295">
        <f>IF(ISERROR(IRR($B136:AG136)),"NaN",ROUND(IRR($B136:AG136)*100,4))</f>
        <v>5.3071999999999999</v>
      </c>
      <c r="AH138" s="295">
        <f>IF(ISERROR(IRR($B136:AH136)),"NaN",ROUND(IRR($B136:AH136)*100,4))</f>
        <v>5.3071999999999999</v>
      </c>
      <c r="AI138" s="295">
        <f>IF(ISERROR(IRR($B136:AI136)),"NaN",ROUND(IRR($B136:AI136)*100,4))</f>
        <v>5.3071999999999999</v>
      </c>
      <c r="AJ138" s="295">
        <f>IF(ISERROR(IRR($B136:AJ136)),"NaN",ROUND(IRR($B136:AJ136)*100,4))</f>
        <v>5.3071999999999999</v>
      </c>
      <c r="AK138" s="295">
        <f>IF(ISERROR(IRR($B136:AK136)),"NaN",ROUND(IRR($B136:AK136)*100,4))</f>
        <v>5.3071999999999999</v>
      </c>
      <c r="AL138" s="295">
        <f>IF(ISERROR(IRR($B136:AL136)),"NaN",ROUND(IRR($B136:AL136)*100,4))</f>
        <v>5.3071999999999999</v>
      </c>
      <c r="AM138" s="295">
        <f>IF(ISERROR(IRR($B136:AM136)),"NaN",ROUND(IRR($B136:AM136)*100,4))</f>
        <v>5.3071999999999999</v>
      </c>
      <c r="AN138" s="295">
        <f>IF(ISERROR(IRR($B136:AN136)),"NaN",ROUND(IRR($B136:AN136)*100,4))</f>
        <v>5.3071999999999999</v>
      </c>
      <c r="AO138" s="295">
        <f>IF(ISERROR(IRR($B136:AO136)),"NaN",ROUND(IRR($B136:AO136)*100,4))</f>
        <v>5.3071999999999999</v>
      </c>
      <c r="AP138" s="295">
        <f>IF(ISERROR(IRR($B136:AP136)),"NaN",ROUND(IRR($B136:AP136)*100,4))</f>
        <v>5.3071999999999999</v>
      </c>
    </row>
    <row r="139" spans="1:42" x14ac:dyDescent="0.2">
      <c r="A139" s="22" t="s">
        <v>8</v>
      </c>
      <c r="B139" s="295">
        <v>0</v>
      </c>
      <c r="C139" s="295">
        <f>MAX($B$138:C138)</f>
        <v>0</v>
      </c>
      <c r="D139" s="295">
        <f>MAX($B$138:D138)</f>
        <v>0</v>
      </c>
      <c r="E139" s="295">
        <f>MAX($B$138:E138)</f>
        <v>0</v>
      </c>
      <c r="F139" s="295">
        <f>MAX($B$138:F138)</f>
        <v>0</v>
      </c>
      <c r="G139" s="295">
        <f>MAX($B$138:G138)</f>
        <v>0</v>
      </c>
      <c r="H139" s="295">
        <f>MAX($B$138:H138)</f>
        <v>0</v>
      </c>
      <c r="I139" s="295">
        <f>MAX($B$138:I138)</f>
        <v>0</v>
      </c>
      <c r="J139" s="295">
        <f>MAX($B$138:J138)</f>
        <v>0</v>
      </c>
      <c r="K139" s="295">
        <f>MAX($B$138:K138)</f>
        <v>0</v>
      </c>
      <c r="L139" s="295">
        <f>MAX($B$138:L138)</f>
        <v>0</v>
      </c>
      <c r="M139" s="295">
        <f>MAX($B$138:M138)</f>
        <v>0</v>
      </c>
      <c r="N139" s="295">
        <f>MAX($B$138:N138)</f>
        <v>0</v>
      </c>
      <c r="O139" s="295">
        <f>MAX($B$138:O138)</f>
        <v>0</v>
      </c>
      <c r="P139" s="295">
        <f>MAX($B$138:P138)</f>
        <v>0.27729999999999999</v>
      </c>
      <c r="Q139" s="295">
        <f>MAX($B$138:Q138)</f>
        <v>1.1178999999999999</v>
      </c>
      <c r="R139" s="295">
        <f>MAX($B$138:R138)</f>
        <v>1.9809000000000001</v>
      </c>
      <c r="S139" s="295">
        <f>MAX($B$138:S138)</f>
        <v>2.6395</v>
      </c>
      <c r="T139" s="295">
        <f>MAX($B$138:T138)</f>
        <v>3.1711999999999998</v>
      </c>
      <c r="U139" s="295">
        <f>MAX($B$138:U138)</f>
        <v>3.6276999999999999</v>
      </c>
      <c r="V139" s="295">
        <f>MAX($B$138:V138)</f>
        <v>4.0075000000000003</v>
      </c>
      <c r="W139" s="295">
        <f>MAX($B$138:W138)</f>
        <v>4.3243999999999998</v>
      </c>
      <c r="X139" s="295">
        <f>MAX($B$138:X138)</f>
        <v>4.6018999999999997</v>
      </c>
      <c r="Y139" s="295">
        <f>MAX($B$138:Y138)</f>
        <v>4.8467000000000002</v>
      </c>
      <c r="Z139" s="295">
        <f>MAX($B$138:Z138)</f>
        <v>5.0633999999999997</v>
      </c>
      <c r="AA139" s="295">
        <f>MAX($B$138:AA138)</f>
        <v>5.3071999999999999</v>
      </c>
      <c r="AB139" s="295">
        <f>MAX($B$138:AB138)</f>
        <v>5.3071999999999999</v>
      </c>
      <c r="AC139" s="295">
        <f>MAX($B$138:AC138)</f>
        <v>5.3071999999999999</v>
      </c>
      <c r="AD139" s="295">
        <f>MAX($B$138:AD138)</f>
        <v>5.3071999999999999</v>
      </c>
      <c r="AE139" s="295">
        <f>MAX($B$138:AE138)</f>
        <v>5.3071999999999999</v>
      </c>
      <c r="AF139" s="295">
        <f>MAX($B$138:AF138)</f>
        <v>5.3071999999999999</v>
      </c>
      <c r="AG139" s="295">
        <f>MAX($B$138:AG138)</f>
        <v>5.3071999999999999</v>
      </c>
      <c r="AH139" s="295">
        <f>MAX($B$138:AH138)</f>
        <v>5.3071999999999999</v>
      </c>
      <c r="AI139" s="295">
        <f>MAX($B$138:AI138)</f>
        <v>5.3071999999999999</v>
      </c>
      <c r="AJ139" s="295">
        <f>MAX($B$138:AJ138)</f>
        <v>5.3071999999999999</v>
      </c>
      <c r="AK139" s="295">
        <f>MAX($B$138:AK138)</f>
        <v>5.3071999999999999</v>
      </c>
      <c r="AL139" s="295">
        <f>MAX($B$138:AL138)</f>
        <v>5.3071999999999999</v>
      </c>
      <c r="AM139" s="295">
        <f>MAX($B$138:AM138)</f>
        <v>5.3071999999999999</v>
      </c>
      <c r="AN139" s="295">
        <f>MAX($B$138:AN138)</f>
        <v>5.3071999999999999</v>
      </c>
      <c r="AO139" s="295">
        <f>MAX($B$138:AO138)</f>
        <v>5.3071999999999999</v>
      </c>
      <c r="AP139" s="295">
        <f>MAX($B$138:AP138)</f>
        <v>5.3071999999999999</v>
      </c>
    </row>
    <row r="140" spans="1:42" x14ac:dyDescent="0.2">
      <c r="A140" s="88"/>
      <c r="B140" s="152"/>
      <c r="C140" s="152"/>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2"/>
      <c r="AE140" s="152"/>
      <c r="AF140" s="152"/>
      <c r="AG140" s="152"/>
      <c r="AH140" s="152"/>
      <c r="AI140" s="152"/>
      <c r="AJ140" s="152"/>
      <c r="AK140" s="152"/>
      <c r="AL140" s="152"/>
      <c r="AM140" s="152"/>
      <c r="AN140" s="152"/>
      <c r="AO140" s="152"/>
      <c r="AP140" s="152"/>
    </row>
    <row r="141" spans="1:42" x14ac:dyDescent="0.2">
      <c r="A141" s="88" t="s">
        <v>212</v>
      </c>
      <c r="B141" s="180">
        <f>B136+NPV(NominalDiscountRate/100,C136:AP136)</f>
        <v>-21945521.405367509</v>
      </c>
      <c r="C141" s="152"/>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row>
    <row r="143" spans="1:42" x14ac:dyDescent="0.2">
      <c r="A143" s="84" t="s">
        <v>441</v>
      </c>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row>
    <row r="144" spans="1:42" x14ac:dyDescent="0.2">
      <c r="A144" s="18" t="s">
        <v>208</v>
      </c>
      <c r="B144" s="123">
        <f>B119</f>
        <v>-112739777.5</v>
      </c>
      <c r="C144" s="119">
        <f t="shared" ref="C144:AP144" si="56">C628+C245+C285-C63-C633-C634+C127+C131-C666-C660-C661-C672-C678-C710-C742+C774-C667+C28</f>
        <v>30781056.590088177</v>
      </c>
      <c r="D144" s="119">
        <f t="shared" si="56"/>
        <v>3124309.5156483371</v>
      </c>
      <c r="E144" s="119">
        <f t="shared" si="56"/>
        <v>160195.46249339043</v>
      </c>
      <c r="F144" s="119">
        <f t="shared" si="56"/>
        <v>-1632732.3958737773</v>
      </c>
      <c r="G144" s="119">
        <f t="shared" si="56"/>
        <v>-1668821.5666227865</v>
      </c>
      <c r="H144" s="119">
        <f t="shared" si="56"/>
        <v>-3023350.3247486018</v>
      </c>
      <c r="I144" s="119">
        <f t="shared" si="56"/>
        <v>-4377045.9206242813</v>
      </c>
      <c r="J144" s="119">
        <f t="shared" si="56"/>
        <v>-4412156.1702131415</v>
      </c>
      <c r="K144" s="119">
        <f t="shared" si="56"/>
        <v>-4448084.640902739</v>
      </c>
      <c r="L144" s="119">
        <f t="shared" si="56"/>
        <v>-4484988.7643988235</v>
      </c>
      <c r="M144" s="119">
        <f t="shared" si="56"/>
        <v>-4522709.7704540091</v>
      </c>
      <c r="N144" s="119">
        <f t="shared" si="56"/>
        <v>-4561520.4460572479</v>
      </c>
      <c r="O144" s="119">
        <f t="shared" si="56"/>
        <v>-4601041.3973659771</v>
      </c>
      <c r="P144" s="119">
        <f t="shared" si="56"/>
        <v>-4641773.4619029602</v>
      </c>
      <c r="Q144" s="119">
        <f t="shared" si="56"/>
        <v>-3933579.2209545542</v>
      </c>
      <c r="R144" s="119">
        <f t="shared" si="56"/>
        <v>-2752363.9889984298</v>
      </c>
      <c r="S144" s="119">
        <f t="shared" si="56"/>
        <v>-3322640.544777594</v>
      </c>
      <c r="T144" s="119">
        <f t="shared" si="56"/>
        <v>-3663922.0215721796</v>
      </c>
      <c r="U144" s="119">
        <f t="shared" si="56"/>
        <v>-3718401.3887183722</v>
      </c>
      <c r="V144" s="119">
        <f t="shared" si="56"/>
        <v>-3989921.6039779191</v>
      </c>
      <c r="W144" s="119">
        <f t="shared" si="56"/>
        <v>-4285018.4092492759</v>
      </c>
      <c r="X144" s="119">
        <f t="shared" si="56"/>
        <v>-4365368.7200642712</v>
      </c>
      <c r="Y144" s="119">
        <f t="shared" si="56"/>
        <v>-4424488.4494158775</v>
      </c>
      <c r="Z144" s="119">
        <f t="shared" si="56"/>
        <v>-4484841.1674512746</v>
      </c>
      <c r="AA144" s="119">
        <f t="shared" si="56"/>
        <v>-3155992.7273459407</v>
      </c>
      <c r="AB144" s="119">
        <f t="shared" si="56"/>
        <v>0</v>
      </c>
      <c r="AC144" s="119">
        <f t="shared" si="56"/>
        <v>0</v>
      </c>
      <c r="AD144" s="119">
        <f t="shared" si="56"/>
        <v>0</v>
      </c>
      <c r="AE144" s="119">
        <f t="shared" si="56"/>
        <v>0</v>
      </c>
      <c r="AF144" s="119">
        <f t="shared" si="56"/>
        <v>0</v>
      </c>
      <c r="AG144" s="119">
        <f t="shared" si="56"/>
        <v>0</v>
      </c>
      <c r="AH144" s="119">
        <f t="shared" si="56"/>
        <v>0</v>
      </c>
      <c r="AI144" s="119">
        <f t="shared" si="56"/>
        <v>0</v>
      </c>
      <c r="AJ144" s="119">
        <f t="shared" si="56"/>
        <v>0</v>
      </c>
      <c r="AK144" s="119">
        <f t="shared" si="56"/>
        <v>0</v>
      </c>
      <c r="AL144" s="119">
        <f t="shared" si="56"/>
        <v>0</v>
      </c>
      <c r="AM144" s="119">
        <f t="shared" si="56"/>
        <v>0</v>
      </c>
      <c r="AN144" s="119">
        <f t="shared" si="56"/>
        <v>0</v>
      </c>
      <c r="AO144" s="119">
        <f t="shared" si="56"/>
        <v>0</v>
      </c>
      <c r="AP144" s="119">
        <f t="shared" si="56"/>
        <v>0</v>
      </c>
    </row>
    <row r="145" spans="1:42" x14ac:dyDescent="0.2">
      <c r="A145" s="18" t="s">
        <v>213</v>
      </c>
      <c r="B145" s="123">
        <v>0</v>
      </c>
      <c r="C145" s="119">
        <f>C$17</f>
        <v>8476300</v>
      </c>
      <c r="D145" s="119">
        <f t="shared" ref="D145:AP145" si="57">D$17</f>
        <v>8518260</v>
      </c>
      <c r="E145" s="119">
        <f t="shared" si="57"/>
        <v>8560420</v>
      </c>
      <c r="F145" s="119">
        <f t="shared" si="57"/>
        <v>8602800</v>
      </c>
      <c r="G145" s="119">
        <f t="shared" si="57"/>
        <v>8645380</v>
      </c>
      <c r="H145" s="119">
        <f t="shared" si="57"/>
        <v>8688170</v>
      </c>
      <c r="I145" s="119">
        <f t="shared" si="57"/>
        <v>8731180</v>
      </c>
      <c r="J145" s="119">
        <f t="shared" si="57"/>
        <v>8774400</v>
      </c>
      <c r="K145" s="119">
        <f t="shared" si="57"/>
        <v>8817830</v>
      </c>
      <c r="L145" s="119">
        <f t="shared" si="57"/>
        <v>8861480</v>
      </c>
      <c r="M145" s="119">
        <f t="shared" si="57"/>
        <v>8905350</v>
      </c>
      <c r="N145" s="119">
        <f t="shared" si="57"/>
        <v>8949430</v>
      </c>
      <c r="O145" s="119">
        <f t="shared" si="57"/>
        <v>8993730</v>
      </c>
      <c r="P145" s="119">
        <f t="shared" si="57"/>
        <v>9038250</v>
      </c>
      <c r="Q145" s="119">
        <f t="shared" si="57"/>
        <v>9082980</v>
      </c>
      <c r="R145" s="119">
        <f t="shared" si="57"/>
        <v>9127950</v>
      </c>
      <c r="S145" s="119">
        <f t="shared" si="57"/>
        <v>9173130</v>
      </c>
      <c r="T145" s="119">
        <f t="shared" si="57"/>
        <v>9218540</v>
      </c>
      <c r="U145" s="119">
        <f t="shared" si="57"/>
        <v>9264170</v>
      </c>
      <c r="V145" s="119">
        <f t="shared" si="57"/>
        <v>9310030</v>
      </c>
      <c r="W145" s="119">
        <f t="shared" si="57"/>
        <v>9356110</v>
      </c>
      <c r="X145" s="119">
        <f t="shared" si="57"/>
        <v>9402420</v>
      </c>
      <c r="Y145" s="119">
        <f t="shared" si="57"/>
        <v>9448960</v>
      </c>
      <c r="Z145" s="119">
        <f t="shared" si="57"/>
        <v>9495740</v>
      </c>
      <c r="AA145" s="119">
        <f t="shared" si="57"/>
        <v>9542740</v>
      </c>
      <c r="AB145" s="119">
        <f t="shared" si="57"/>
        <v>0</v>
      </c>
      <c r="AC145" s="119">
        <f t="shared" si="57"/>
        <v>0</v>
      </c>
      <c r="AD145" s="119">
        <f t="shared" si="57"/>
        <v>0</v>
      </c>
      <c r="AE145" s="119">
        <f t="shared" si="57"/>
        <v>0</v>
      </c>
      <c r="AF145" s="119">
        <f t="shared" si="57"/>
        <v>0</v>
      </c>
      <c r="AG145" s="119">
        <f t="shared" si="57"/>
        <v>0</v>
      </c>
      <c r="AH145" s="119">
        <f t="shared" si="57"/>
        <v>0</v>
      </c>
      <c r="AI145" s="119">
        <f t="shared" si="57"/>
        <v>0</v>
      </c>
      <c r="AJ145" s="119">
        <f t="shared" si="57"/>
        <v>0</v>
      </c>
      <c r="AK145" s="119">
        <f t="shared" si="57"/>
        <v>0</v>
      </c>
      <c r="AL145" s="119">
        <f t="shared" si="57"/>
        <v>0</v>
      </c>
      <c r="AM145" s="119">
        <f t="shared" si="57"/>
        <v>0</v>
      </c>
      <c r="AN145" s="119">
        <f t="shared" si="57"/>
        <v>0</v>
      </c>
      <c r="AO145" s="119">
        <f t="shared" si="57"/>
        <v>0</v>
      </c>
      <c r="AP145" s="119">
        <f t="shared" si="57"/>
        <v>0</v>
      </c>
    </row>
    <row r="146" spans="1:42" x14ac:dyDescent="0.2">
      <c r="A146" s="18" t="s">
        <v>442</v>
      </c>
      <c r="B146" s="123">
        <v>0</v>
      </c>
      <c r="C146" s="119">
        <f>C$5</f>
        <v>211907000</v>
      </c>
      <c r="D146" s="119">
        <f t="shared" ref="D146:AP146" si="58">D$5</f>
        <v>210848000</v>
      </c>
      <c r="E146" s="119">
        <f t="shared" si="58"/>
        <v>209794000</v>
      </c>
      <c r="F146" s="119">
        <f t="shared" si="58"/>
        <v>208745000</v>
      </c>
      <c r="G146" s="119">
        <f t="shared" si="58"/>
        <v>207701000</v>
      </c>
      <c r="H146" s="119">
        <f t="shared" si="58"/>
        <v>206662000</v>
      </c>
      <c r="I146" s="119">
        <f t="shared" si="58"/>
        <v>205629000</v>
      </c>
      <c r="J146" s="119">
        <f t="shared" si="58"/>
        <v>204601000</v>
      </c>
      <c r="K146" s="119">
        <f t="shared" si="58"/>
        <v>203578000</v>
      </c>
      <c r="L146" s="119">
        <f t="shared" si="58"/>
        <v>202560000</v>
      </c>
      <c r="M146" s="119">
        <f t="shared" si="58"/>
        <v>201547000</v>
      </c>
      <c r="N146" s="119">
        <f t="shared" si="58"/>
        <v>200540000</v>
      </c>
      <c r="O146" s="119">
        <f t="shared" si="58"/>
        <v>199537000</v>
      </c>
      <c r="P146" s="119">
        <f t="shared" si="58"/>
        <v>198539000</v>
      </c>
      <c r="Q146" s="119">
        <f t="shared" si="58"/>
        <v>197547000</v>
      </c>
      <c r="R146" s="119">
        <f t="shared" si="58"/>
        <v>196559000</v>
      </c>
      <c r="S146" s="119">
        <f t="shared" si="58"/>
        <v>195576000</v>
      </c>
      <c r="T146" s="119">
        <f t="shared" si="58"/>
        <v>194598000</v>
      </c>
      <c r="U146" s="119">
        <f t="shared" si="58"/>
        <v>193625000</v>
      </c>
      <c r="V146" s="119">
        <f t="shared" si="58"/>
        <v>192657000</v>
      </c>
      <c r="W146" s="119">
        <f t="shared" si="58"/>
        <v>191694000</v>
      </c>
      <c r="X146" s="119">
        <f t="shared" si="58"/>
        <v>190735000</v>
      </c>
      <c r="Y146" s="119">
        <f t="shared" si="58"/>
        <v>189782000</v>
      </c>
      <c r="Z146" s="119">
        <f t="shared" si="58"/>
        <v>188833000</v>
      </c>
      <c r="AA146" s="119">
        <f t="shared" si="58"/>
        <v>187888000</v>
      </c>
      <c r="AB146" s="119">
        <f t="shared" si="58"/>
        <v>0</v>
      </c>
      <c r="AC146" s="119">
        <f t="shared" si="58"/>
        <v>0</v>
      </c>
      <c r="AD146" s="119">
        <f t="shared" si="58"/>
        <v>0</v>
      </c>
      <c r="AE146" s="119">
        <f t="shared" si="58"/>
        <v>0</v>
      </c>
      <c r="AF146" s="119">
        <f t="shared" si="58"/>
        <v>0</v>
      </c>
      <c r="AG146" s="119">
        <f t="shared" si="58"/>
        <v>0</v>
      </c>
      <c r="AH146" s="119">
        <f t="shared" si="58"/>
        <v>0</v>
      </c>
      <c r="AI146" s="119">
        <f t="shared" si="58"/>
        <v>0</v>
      </c>
      <c r="AJ146" s="119">
        <f t="shared" si="58"/>
        <v>0</v>
      </c>
      <c r="AK146" s="119">
        <f t="shared" si="58"/>
        <v>0</v>
      </c>
      <c r="AL146" s="119">
        <f t="shared" si="58"/>
        <v>0</v>
      </c>
      <c r="AM146" s="119">
        <f t="shared" si="58"/>
        <v>0</v>
      </c>
      <c r="AN146" s="119">
        <f t="shared" si="58"/>
        <v>0</v>
      </c>
      <c r="AO146" s="119">
        <f t="shared" si="58"/>
        <v>0</v>
      </c>
      <c r="AP146" s="119">
        <f t="shared" si="58"/>
        <v>0</v>
      </c>
    </row>
    <row r="148" spans="1:42" x14ac:dyDescent="0.2">
      <c r="A148" s="4" t="s">
        <v>207</v>
      </c>
      <c r="B148" s="149">
        <f>-(B144+NPV(NominalDiscountRate/100,C144:AP144))</f>
        <v>108102739.35675783</v>
      </c>
      <c r="C148" s="119"/>
      <c r="D148" s="119"/>
    </row>
    <row r="149" spans="1:42" x14ac:dyDescent="0.2">
      <c r="A149" s="4" t="s">
        <v>206</v>
      </c>
      <c r="B149" s="149">
        <f>NPV(NominalDiscountRate/100,C146:AP146)</f>
        <v>1992924590.7323005</v>
      </c>
    </row>
    <row r="150" spans="1:42" x14ac:dyDescent="0.2">
      <c r="A150" s="4" t="s">
        <v>440</v>
      </c>
      <c r="B150" s="210">
        <f>IF(B149=0,0,B148/B149*100)</f>
        <v>5.4243266333040463</v>
      </c>
    </row>
    <row r="151" spans="1:42" x14ac:dyDescent="0.2">
      <c r="B151" s="203"/>
    </row>
    <row r="152" spans="1:42" x14ac:dyDescent="0.2">
      <c r="A152" s="4" t="s">
        <v>214</v>
      </c>
      <c r="B152" s="149">
        <f>NPV(NominalDiscountRate/100,C145:AP145)</f>
        <v>86157217.951390311</v>
      </c>
    </row>
    <row r="153" spans="1:42" x14ac:dyDescent="0.2">
      <c r="A153" s="4" t="s">
        <v>206</v>
      </c>
      <c r="B153" s="149">
        <f>B149</f>
        <v>1992924590.7323005</v>
      </c>
    </row>
    <row r="154" spans="1:42" x14ac:dyDescent="0.2">
      <c r="A154" s="4" t="s">
        <v>253</v>
      </c>
      <c r="B154" s="210">
        <f>IF(B153=0,0,B152/B153*100)</f>
        <v>4.3231549428436642</v>
      </c>
    </row>
    <row r="155" spans="1:42" x14ac:dyDescent="0.2">
      <c r="B155" s="108"/>
    </row>
    <row r="156" spans="1:42" x14ac:dyDescent="0.2">
      <c r="A156" s="323" t="s">
        <v>443</v>
      </c>
      <c r="B156" s="324"/>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row>
    <row r="157" spans="1:42" x14ac:dyDescent="0.2">
      <c r="A157" s="4" t="s">
        <v>444</v>
      </c>
      <c r="B157" s="119">
        <f t="array" ref="B157:AP158">Inputs!C222:AQ223</f>
        <v>0</v>
      </c>
      <c r="C157" s="119">
        <v>0</v>
      </c>
      <c r="D157" s="119">
        <v>0</v>
      </c>
      <c r="E157" s="119">
        <v>0</v>
      </c>
      <c r="F157" s="119">
        <v>0</v>
      </c>
      <c r="G157" s="119">
        <v>0</v>
      </c>
      <c r="H157" s="119">
        <v>0</v>
      </c>
      <c r="I157" s="119">
        <v>0</v>
      </c>
      <c r="J157" s="119">
        <v>0</v>
      </c>
      <c r="K157" s="119">
        <v>0</v>
      </c>
      <c r="L157" s="119">
        <v>0</v>
      </c>
      <c r="M157" s="119">
        <v>0</v>
      </c>
      <c r="N157" s="119">
        <v>0</v>
      </c>
      <c r="O157" s="119">
        <v>0</v>
      </c>
      <c r="P157" s="119">
        <v>0</v>
      </c>
      <c r="Q157" s="119">
        <v>0</v>
      </c>
      <c r="R157" s="119">
        <v>0</v>
      </c>
      <c r="S157" s="119">
        <v>0</v>
      </c>
      <c r="T157" s="119">
        <v>0</v>
      </c>
      <c r="U157" s="119">
        <v>0</v>
      </c>
      <c r="V157" s="119">
        <v>0</v>
      </c>
      <c r="W157" s="119">
        <v>0</v>
      </c>
      <c r="X157" s="119">
        <v>0</v>
      </c>
      <c r="Y157" s="119">
        <v>0</v>
      </c>
      <c r="Z157" s="119">
        <v>0</v>
      </c>
      <c r="AA157" s="119">
        <v>0</v>
      </c>
      <c r="AB157" s="119">
        <v>0</v>
      </c>
      <c r="AC157" s="119">
        <v>0</v>
      </c>
      <c r="AD157" s="119">
        <v>0</v>
      </c>
      <c r="AE157" s="119">
        <v>0</v>
      </c>
      <c r="AF157" s="119">
        <v>0</v>
      </c>
      <c r="AG157" s="119">
        <v>0</v>
      </c>
      <c r="AH157" s="119">
        <v>0</v>
      </c>
      <c r="AI157" s="119">
        <v>0</v>
      </c>
      <c r="AJ157" s="119">
        <v>0</v>
      </c>
      <c r="AK157" s="119">
        <v>0</v>
      </c>
      <c r="AL157" s="119">
        <v>0</v>
      </c>
      <c r="AM157" s="119">
        <v>0</v>
      </c>
      <c r="AN157" s="119">
        <v>0</v>
      </c>
      <c r="AO157" s="119">
        <v>0</v>
      </c>
      <c r="AP157" s="119">
        <v>0</v>
      </c>
    </row>
    <row r="158" spans="1:42" x14ac:dyDescent="0.2">
      <c r="A158" s="4" t="s">
        <v>445</v>
      </c>
      <c r="B158" s="119">
        <v>0</v>
      </c>
      <c r="C158" s="119">
        <v>0</v>
      </c>
      <c r="D158" s="119">
        <v>0</v>
      </c>
      <c r="E158" s="119">
        <v>0</v>
      </c>
      <c r="F158" s="119">
        <v>0</v>
      </c>
      <c r="G158" s="119">
        <v>0</v>
      </c>
      <c r="H158" s="119">
        <v>0</v>
      </c>
      <c r="I158" s="119">
        <v>0</v>
      </c>
      <c r="J158" s="119">
        <v>0</v>
      </c>
      <c r="K158" s="119">
        <v>0</v>
      </c>
      <c r="L158" s="119">
        <v>0</v>
      </c>
      <c r="M158" s="119">
        <v>0</v>
      </c>
      <c r="N158" s="119">
        <v>0</v>
      </c>
      <c r="O158" s="119">
        <v>0</v>
      </c>
      <c r="P158" s="119">
        <v>0</v>
      </c>
      <c r="Q158" s="119">
        <v>0</v>
      </c>
      <c r="R158" s="119">
        <v>0</v>
      </c>
      <c r="S158" s="119">
        <v>0</v>
      </c>
      <c r="T158" s="119">
        <v>0</v>
      </c>
      <c r="U158" s="119">
        <v>0</v>
      </c>
      <c r="V158" s="119">
        <v>0</v>
      </c>
      <c r="W158" s="119">
        <v>0</v>
      </c>
      <c r="X158" s="119">
        <v>0</v>
      </c>
      <c r="Y158" s="119">
        <v>0</v>
      </c>
      <c r="Z158" s="119">
        <v>0</v>
      </c>
      <c r="AA158" s="119">
        <v>0</v>
      </c>
      <c r="AB158" s="119">
        <v>0</v>
      </c>
      <c r="AC158" s="119">
        <v>0</v>
      </c>
      <c r="AD158" s="119">
        <v>0</v>
      </c>
      <c r="AE158" s="119">
        <v>0</v>
      </c>
      <c r="AF158" s="119">
        <v>0</v>
      </c>
      <c r="AG158" s="119">
        <v>0</v>
      </c>
      <c r="AH158" s="119">
        <v>0</v>
      </c>
      <c r="AI158" s="119">
        <v>0</v>
      </c>
      <c r="AJ158" s="119">
        <v>0</v>
      </c>
      <c r="AK158" s="119">
        <v>0</v>
      </c>
      <c r="AL158" s="119">
        <v>0</v>
      </c>
      <c r="AM158" s="119">
        <v>0</v>
      </c>
      <c r="AN158" s="119">
        <v>0</v>
      </c>
      <c r="AO158" s="119">
        <v>0</v>
      </c>
      <c r="AP158" s="119">
        <v>0</v>
      </c>
    </row>
    <row r="159" spans="1:42" x14ac:dyDescent="0.2">
      <c r="B159" s="108"/>
    </row>
    <row r="160" spans="1:42" x14ac:dyDescent="0.2">
      <c r="A160" s="4" t="s">
        <v>446</v>
      </c>
      <c r="B160" s="180">
        <f>-(B157+NPV(NominalDiscountRate/100,C157:AP157))</f>
        <v>0</v>
      </c>
    </row>
    <row r="161" spans="1:42" x14ac:dyDescent="0.2">
      <c r="A161" s="4" t="s">
        <v>447</v>
      </c>
      <c r="B161" s="180">
        <f>NPV(NominalDiscountRate/100,C158:AP158)</f>
        <v>0</v>
      </c>
    </row>
    <row r="162" spans="1:42" x14ac:dyDescent="0.2">
      <c r="A162" s="4" t="s">
        <v>448</v>
      </c>
      <c r="B162" s="106">
        <f>IF(B161=0,0,B160/B161*100)</f>
        <v>0</v>
      </c>
    </row>
    <row r="163" spans="1:42" x14ac:dyDescent="0.2">
      <c r="B163" s="108"/>
    </row>
    <row r="164" spans="1:42" x14ac:dyDescent="0.2">
      <c r="A164" s="84" t="s">
        <v>354</v>
      </c>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row>
    <row r="165" spans="1:42" x14ac:dyDescent="0.2">
      <c r="A165" s="20" t="s">
        <v>340</v>
      </c>
    </row>
    <row r="166" spans="1:42" x14ac:dyDescent="0.2">
      <c r="A166" s="4" t="s">
        <v>297</v>
      </c>
      <c r="B166" s="119">
        <v>0</v>
      </c>
      <c r="C166" s="119">
        <f>B169</f>
        <v>45095911</v>
      </c>
      <c r="D166" s="119">
        <f t="shared" ref="D166:AP166" si="59">C169</f>
        <v>39070968.547315843</v>
      </c>
      <c r="E166" s="119">
        <f t="shared" si="59"/>
        <v>33030025.687790237</v>
      </c>
      <c r="F166" s="119">
        <f t="shared" si="59"/>
        <v>26973825.780798186</v>
      </c>
      <c r="G166" s="119">
        <f t="shared" si="59"/>
        <v>26973825.780798186</v>
      </c>
      <c r="H166" s="119">
        <f t="shared" si="59"/>
        <v>26973825.780798186</v>
      </c>
      <c r="I166" s="119">
        <f t="shared" si="59"/>
        <v>26973825.780798186</v>
      </c>
      <c r="J166" s="119">
        <f t="shared" si="59"/>
        <v>26973825.780798186</v>
      </c>
      <c r="K166" s="119">
        <f t="shared" si="59"/>
        <v>26973825.780798186</v>
      </c>
      <c r="L166" s="119">
        <f t="shared" si="59"/>
        <v>26973825.780798186</v>
      </c>
      <c r="M166" s="119">
        <f t="shared" si="59"/>
        <v>26973825.780798186</v>
      </c>
      <c r="N166" s="119">
        <f t="shared" si="59"/>
        <v>26973825.780798186</v>
      </c>
      <c r="O166" s="119">
        <f t="shared" si="59"/>
        <v>26973825.780798186</v>
      </c>
      <c r="P166" s="119">
        <f t="shared" si="59"/>
        <v>26973825.780798186</v>
      </c>
      <c r="Q166" s="119">
        <f t="shared" si="59"/>
        <v>26973825.780798186</v>
      </c>
      <c r="R166" s="119">
        <f t="shared" si="59"/>
        <v>26973825.780798186</v>
      </c>
      <c r="S166" s="119">
        <f t="shared" si="59"/>
        <v>26973825.780798186</v>
      </c>
      <c r="T166" s="119">
        <f t="shared" si="59"/>
        <v>26973825.780798186</v>
      </c>
      <c r="U166" s="119">
        <f t="shared" si="59"/>
        <v>26973825.780798186</v>
      </c>
      <c r="V166" s="119">
        <f t="shared" si="59"/>
        <v>26973825.780798186</v>
      </c>
      <c r="W166" s="119">
        <f t="shared" si="59"/>
        <v>26973825.780798186</v>
      </c>
      <c r="X166" s="119">
        <f t="shared" si="59"/>
        <v>26973825.780798186</v>
      </c>
      <c r="Y166" s="119">
        <f t="shared" si="59"/>
        <v>26973825.780798186</v>
      </c>
      <c r="Z166" s="119">
        <f t="shared" si="59"/>
        <v>26973825.780798186</v>
      </c>
      <c r="AA166" s="119">
        <f t="shared" si="59"/>
        <v>26973825.780798186</v>
      </c>
      <c r="AB166" s="119">
        <f t="shared" si="59"/>
        <v>26973825.780798186</v>
      </c>
      <c r="AC166" s="119">
        <f t="shared" si="59"/>
        <v>26973825.780798186</v>
      </c>
      <c r="AD166" s="119">
        <f t="shared" si="59"/>
        <v>26973825.780798186</v>
      </c>
      <c r="AE166" s="119">
        <f t="shared" si="59"/>
        <v>26973825.780798186</v>
      </c>
      <c r="AF166" s="119">
        <f t="shared" si="59"/>
        <v>26973825.780798186</v>
      </c>
      <c r="AG166" s="119">
        <f t="shared" si="59"/>
        <v>26973825.780798186</v>
      </c>
      <c r="AH166" s="119">
        <f t="shared" si="59"/>
        <v>26973825.780798186</v>
      </c>
      <c r="AI166" s="119">
        <f t="shared" si="59"/>
        <v>26973825.780798186</v>
      </c>
      <c r="AJ166" s="119">
        <f t="shared" si="59"/>
        <v>26973825.780798186</v>
      </c>
      <c r="AK166" s="119">
        <f t="shared" si="59"/>
        <v>26973825.780798186</v>
      </c>
      <c r="AL166" s="119">
        <f t="shared" si="59"/>
        <v>26973825.780798186</v>
      </c>
      <c r="AM166" s="119">
        <f t="shared" si="59"/>
        <v>26973825.780798186</v>
      </c>
      <c r="AN166" s="119">
        <f t="shared" si="59"/>
        <v>26973825.780798186</v>
      </c>
      <c r="AO166" s="119">
        <f t="shared" si="59"/>
        <v>26973825.780798186</v>
      </c>
      <c r="AP166" s="119">
        <f t="shared" si="59"/>
        <v>26973825.780798186</v>
      </c>
    </row>
    <row r="167" spans="1:42" x14ac:dyDescent="0.2">
      <c r="A167" s="4" t="s">
        <v>378</v>
      </c>
      <c r="B167" s="119">
        <f>IF(SponsorCapRecoveryMode="N/A",0,-B172)</f>
        <v>45095911</v>
      </c>
      <c r="C167" s="119">
        <v>0</v>
      </c>
      <c r="D167" s="119">
        <v>0</v>
      </c>
      <c r="E167" s="119">
        <v>0</v>
      </c>
      <c r="F167" s="119">
        <v>0</v>
      </c>
      <c r="G167" s="119">
        <v>0</v>
      </c>
      <c r="H167" s="119">
        <v>0</v>
      </c>
      <c r="I167" s="119">
        <v>0</v>
      </c>
      <c r="J167" s="119">
        <v>0</v>
      </c>
      <c r="K167" s="119">
        <v>0</v>
      </c>
      <c r="L167" s="119">
        <v>0</v>
      </c>
      <c r="M167" s="119">
        <v>0</v>
      </c>
      <c r="N167" s="119">
        <v>0</v>
      </c>
      <c r="O167" s="119">
        <v>0</v>
      </c>
      <c r="P167" s="119">
        <v>0</v>
      </c>
      <c r="Q167" s="119">
        <v>0</v>
      </c>
      <c r="R167" s="119">
        <v>0</v>
      </c>
      <c r="S167" s="119">
        <v>0</v>
      </c>
      <c r="T167" s="119">
        <v>0</v>
      </c>
      <c r="U167" s="119">
        <v>0</v>
      </c>
      <c r="V167" s="119">
        <v>0</v>
      </c>
      <c r="W167" s="119">
        <v>0</v>
      </c>
      <c r="X167" s="119">
        <v>0</v>
      </c>
      <c r="Y167" s="119">
        <v>0</v>
      </c>
      <c r="Z167" s="119">
        <v>0</v>
      </c>
      <c r="AA167" s="119">
        <v>0</v>
      </c>
      <c r="AB167" s="119">
        <v>0</v>
      </c>
      <c r="AC167" s="119">
        <v>0</v>
      </c>
      <c r="AD167" s="119">
        <v>0</v>
      </c>
      <c r="AE167" s="119">
        <v>0</v>
      </c>
      <c r="AF167" s="119">
        <v>0</v>
      </c>
      <c r="AG167" s="119">
        <v>0</v>
      </c>
      <c r="AH167" s="119">
        <v>0</v>
      </c>
      <c r="AI167" s="119">
        <v>0</v>
      </c>
      <c r="AJ167" s="119">
        <v>0</v>
      </c>
      <c r="AK167" s="119">
        <v>0</v>
      </c>
      <c r="AL167" s="119">
        <v>0</v>
      </c>
      <c r="AM167" s="119">
        <v>0</v>
      </c>
      <c r="AN167" s="119">
        <v>0</v>
      </c>
      <c r="AO167" s="119">
        <v>0</v>
      </c>
      <c r="AP167" s="119">
        <v>0</v>
      </c>
    </row>
    <row r="168" spans="1:42" x14ac:dyDescent="0.2">
      <c r="A168" s="4" t="s">
        <v>379</v>
      </c>
      <c r="B168" s="120">
        <f t="shared" ref="B168:AP168" si="60">IF(SponsorCapRecoveryMode="N/A",0,-IF(B120&lt;0,0,MIN(B166+B167,B120))*IF(SponsorCapRecoveryMode="Time",IF(B$2&lt;=sponsor_cap_recovery_year,1,0),1))</f>
        <v>0</v>
      </c>
      <c r="C168" s="120">
        <f t="shared" si="60"/>
        <v>-6024942.4526841566</v>
      </c>
      <c r="D168" s="120">
        <f t="shared" si="60"/>
        <v>-6040942.8595256042</v>
      </c>
      <c r="E168" s="120">
        <f t="shared" si="60"/>
        <v>-6056199.9069920518</v>
      </c>
      <c r="F168" s="120">
        <f t="shared" si="60"/>
        <v>0</v>
      </c>
      <c r="G168" s="120">
        <f t="shared" si="60"/>
        <v>0</v>
      </c>
      <c r="H168" s="120">
        <f t="shared" si="60"/>
        <v>0</v>
      </c>
      <c r="I168" s="120">
        <f t="shared" si="60"/>
        <v>0</v>
      </c>
      <c r="J168" s="120">
        <f t="shared" si="60"/>
        <v>0</v>
      </c>
      <c r="K168" s="120">
        <f t="shared" si="60"/>
        <v>0</v>
      </c>
      <c r="L168" s="120">
        <f t="shared" si="60"/>
        <v>0</v>
      </c>
      <c r="M168" s="120">
        <f t="shared" si="60"/>
        <v>0</v>
      </c>
      <c r="N168" s="120">
        <f t="shared" si="60"/>
        <v>0</v>
      </c>
      <c r="O168" s="120">
        <f t="shared" si="60"/>
        <v>0</v>
      </c>
      <c r="P168" s="120">
        <f t="shared" si="60"/>
        <v>0</v>
      </c>
      <c r="Q168" s="120">
        <f t="shared" si="60"/>
        <v>0</v>
      </c>
      <c r="R168" s="120">
        <f t="shared" si="60"/>
        <v>0</v>
      </c>
      <c r="S168" s="120">
        <f t="shared" si="60"/>
        <v>0</v>
      </c>
      <c r="T168" s="120">
        <f t="shared" si="60"/>
        <v>0</v>
      </c>
      <c r="U168" s="120">
        <f t="shared" si="60"/>
        <v>0</v>
      </c>
      <c r="V168" s="120">
        <f t="shared" si="60"/>
        <v>0</v>
      </c>
      <c r="W168" s="120">
        <f t="shared" si="60"/>
        <v>0</v>
      </c>
      <c r="X168" s="120">
        <f t="shared" si="60"/>
        <v>0</v>
      </c>
      <c r="Y168" s="120">
        <f t="shared" si="60"/>
        <v>0</v>
      </c>
      <c r="Z168" s="120">
        <f t="shared" si="60"/>
        <v>0</v>
      </c>
      <c r="AA168" s="120">
        <f t="shared" si="60"/>
        <v>0</v>
      </c>
      <c r="AB168" s="120">
        <f t="shared" si="60"/>
        <v>0</v>
      </c>
      <c r="AC168" s="120">
        <f t="shared" si="60"/>
        <v>0</v>
      </c>
      <c r="AD168" s="120">
        <f t="shared" si="60"/>
        <v>0</v>
      </c>
      <c r="AE168" s="120">
        <f t="shared" si="60"/>
        <v>0</v>
      </c>
      <c r="AF168" s="120">
        <f t="shared" si="60"/>
        <v>0</v>
      </c>
      <c r="AG168" s="120">
        <f t="shared" si="60"/>
        <v>0</v>
      </c>
      <c r="AH168" s="120">
        <f t="shared" si="60"/>
        <v>0</v>
      </c>
      <c r="AI168" s="120">
        <f t="shared" si="60"/>
        <v>0</v>
      </c>
      <c r="AJ168" s="120">
        <f t="shared" si="60"/>
        <v>0</v>
      </c>
      <c r="AK168" s="120">
        <f t="shared" si="60"/>
        <v>0</v>
      </c>
      <c r="AL168" s="120">
        <f t="shared" si="60"/>
        <v>0</v>
      </c>
      <c r="AM168" s="120">
        <f t="shared" si="60"/>
        <v>0</v>
      </c>
      <c r="AN168" s="120">
        <f t="shared" si="60"/>
        <v>0</v>
      </c>
      <c r="AO168" s="120">
        <f t="shared" si="60"/>
        <v>0</v>
      </c>
      <c r="AP168" s="120">
        <f t="shared" si="60"/>
        <v>0</v>
      </c>
    </row>
    <row r="169" spans="1:42" x14ac:dyDescent="0.2">
      <c r="A169" s="4" t="s">
        <v>258</v>
      </c>
      <c r="B169" s="119">
        <f>SUM(B166:B168)</f>
        <v>45095911</v>
      </c>
      <c r="C169" s="119">
        <f t="shared" ref="C169:AP169" si="61">SUM(C166:C168)</f>
        <v>39070968.547315843</v>
      </c>
      <c r="D169" s="119">
        <f t="shared" si="61"/>
        <v>33030025.687790237</v>
      </c>
      <c r="E169" s="119">
        <f t="shared" si="61"/>
        <v>26973825.780798186</v>
      </c>
      <c r="F169" s="119">
        <f t="shared" si="61"/>
        <v>26973825.780798186</v>
      </c>
      <c r="G169" s="119">
        <f t="shared" si="61"/>
        <v>26973825.780798186</v>
      </c>
      <c r="H169" s="119">
        <f t="shared" si="61"/>
        <v>26973825.780798186</v>
      </c>
      <c r="I169" s="119">
        <f t="shared" si="61"/>
        <v>26973825.780798186</v>
      </c>
      <c r="J169" s="119">
        <f t="shared" si="61"/>
        <v>26973825.780798186</v>
      </c>
      <c r="K169" s="119">
        <f t="shared" si="61"/>
        <v>26973825.780798186</v>
      </c>
      <c r="L169" s="119">
        <f t="shared" si="61"/>
        <v>26973825.780798186</v>
      </c>
      <c r="M169" s="119">
        <f t="shared" si="61"/>
        <v>26973825.780798186</v>
      </c>
      <c r="N169" s="119">
        <f t="shared" si="61"/>
        <v>26973825.780798186</v>
      </c>
      <c r="O169" s="119">
        <f t="shared" si="61"/>
        <v>26973825.780798186</v>
      </c>
      <c r="P169" s="119">
        <f t="shared" si="61"/>
        <v>26973825.780798186</v>
      </c>
      <c r="Q169" s="119">
        <f t="shared" si="61"/>
        <v>26973825.780798186</v>
      </c>
      <c r="R169" s="119">
        <f t="shared" si="61"/>
        <v>26973825.780798186</v>
      </c>
      <c r="S169" s="119">
        <f t="shared" si="61"/>
        <v>26973825.780798186</v>
      </c>
      <c r="T169" s="119">
        <f t="shared" si="61"/>
        <v>26973825.780798186</v>
      </c>
      <c r="U169" s="119">
        <f t="shared" si="61"/>
        <v>26973825.780798186</v>
      </c>
      <c r="V169" s="119">
        <f t="shared" si="61"/>
        <v>26973825.780798186</v>
      </c>
      <c r="W169" s="119">
        <f t="shared" si="61"/>
        <v>26973825.780798186</v>
      </c>
      <c r="X169" s="119">
        <f t="shared" si="61"/>
        <v>26973825.780798186</v>
      </c>
      <c r="Y169" s="119">
        <f t="shared" si="61"/>
        <v>26973825.780798186</v>
      </c>
      <c r="Z169" s="119">
        <f t="shared" si="61"/>
        <v>26973825.780798186</v>
      </c>
      <c r="AA169" s="119">
        <f t="shared" si="61"/>
        <v>26973825.780798186</v>
      </c>
      <c r="AB169" s="119">
        <f t="shared" si="61"/>
        <v>26973825.780798186</v>
      </c>
      <c r="AC169" s="119">
        <f t="shared" si="61"/>
        <v>26973825.780798186</v>
      </c>
      <c r="AD169" s="119">
        <f t="shared" si="61"/>
        <v>26973825.780798186</v>
      </c>
      <c r="AE169" s="119">
        <f t="shared" si="61"/>
        <v>26973825.780798186</v>
      </c>
      <c r="AF169" s="119">
        <f t="shared" si="61"/>
        <v>26973825.780798186</v>
      </c>
      <c r="AG169" s="119">
        <f t="shared" si="61"/>
        <v>26973825.780798186</v>
      </c>
      <c r="AH169" s="119">
        <f t="shared" si="61"/>
        <v>26973825.780798186</v>
      </c>
      <c r="AI169" s="119">
        <f t="shared" si="61"/>
        <v>26973825.780798186</v>
      </c>
      <c r="AJ169" s="119">
        <f t="shared" si="61"/>
        <v>26973825.780798186</v>
      </c>
      <c r="AK169" s="119">
        <f t="shared" si="61"/>
        <v>26973825.780798186</v>
      </c>
      <c r="AL169" s="119">
        <f t="shared" si="61"/>
        <v>26973825.780798186</v>
      </c>
      <c r="AM169" s="119">
        <f t="shared" si="61"/>
        <v>26973825.780798186</v>
      </c>
      <c r="AN169" s="119">
        <f t="shared" si="61"/>
        <v>26973825.780798186</v>
      </c>
      <c r="AO169" s="119">
        <f t="shared" si="61"/>
        <v>26973825.780798186</v>
      </c>
      <c r="AP169" s="119">
        <f t="shared" si="61"/>
        <v>26973825.780798186</v>
      </c>
    </row>
    <row r="170" spans="1:42" x14ac:dyDescent="0.2">
      <c r="A170" s="20"/>
    </row>
    <row r="171" spans="1:42" x14ac:dyDescent="0.2">
      <c r="A171" s="20" t="s">
        <v>356</v>
      </c>
      <c r="B171" s="108"/>
    </row>
    <row r="172" spans="1:42" x14ac:dyDescent="0.2">
      <c r="A172" s="4" t="s">
        <v>360</v>
      </c>
      <c r="B172" s="119">
        <f>-B113*(1-tax_investor_equity_percent/100)</f>
        <v>-45095911</v>
      </c>
      <c r="C172" s="119">
        <v>0</v>
      </c>
      <c r="D172" s="119">
        <v>0</v>
      </c>
      <c r="E172" s="119">
        <v>0</v>
      </c>
      <c r="F172" s="119">
        <v>0</v>
      </c>
      <c r="G172" s="119">
        <v>0</v>
      </c>
      <c r="H172" s="119">
        <v>0</v>
      </c>
      <c r="I172" s="119">
        <v>0</v>
      </c>
      <c r="J172" s="119">
        <v>0</v>
      </c>
      <c r="K172" s="119">
        <v>0</v>
      </c>
      <c r="L172" s="119">
        <v>0</v>
      </c>
      <c r="M172" s="119">
        <v>0</v>
      </c>
      <c r="N172" s="119">
        <v>0</v>
      </c>
      <c r="O172" s="119">
        <v>0</v>
      </c>
      <c r="P172" s="119">
        <v>0</v>
      </c>
      <c r="Q172" s="119">
        <v>0</v>
      </c>
      <c r="R172" s="119">
        <v>0</v>
      </c>
      <c r="S172" s="119">
        <v>0</v>
      </c>
      <c r="T172" s="119">
        <v>0</v>
      </c>
      <c r="U172" s="119">
        <v>0</v>
      </c>
      <c r="V172" s="119">
        <v>0</v>
      </c>
      <c r="W172" s="119">
        <v>0</v>
      </c>
      <c r="X172" s="119">
        <v>0</v>
      </c>
      <c r="Y172" s="119">
        <v>0</v>
      </c>
      <c r="Z172" s="119">
        <v>0</v>
      </c>
      <c r="AA172" s="119">
        <v>0</v>
      </c>
      <c r="AB172" s="119">
        <v>0</v>
      </c>
      <c r="AC172" s="119">
        <v>0</v>
      </c>
      <c r="AD172" s="119">
        <v>0</v>
      </c>
      <c r="AE172" s="119">
        <v>0</v>
      </c>
      <c r="AF172" s="119">
        <v>0</v>
      </c>
      <c r="AG172" s="119">
        <v>0</v>
      </c>
      <c r="AH172" s="119">
        <v>0</v>
      </c>
      <c r="AI172" s="119">
        <v>0</v>
      </c>
      <c r="AJ172" s="119">
        <v>0</v>
      </c>
      <c r="AK172" s="119">
        <v>0</v>
      </c>
      <c r="AL172" s="119">
        <v>0</v>
      </c>
      <c r="AM172" s="119">
        <v>0</v>
      </c>
      <c r="AN172" s="119">
        <v>0</v>
      </c>
      <c r="AO172" s="119">
        <v>0</v>
      </c>
      <c r="AP172" s="119">
        <v>0</v>
      </c>
    </row>
    <row r="173" spans="1:42" x14ac:dyDescent="0.2">
      <c r="A173" s="4" t="s">
        <v>361</v>
      </c>
      <c r="B173" s="119">
        <f>-B84</f>
        <v>3194940</v>
      </c>
      <c r="C173" s="119">
        <v>0</v>
      </c>
      <c r="D173" s="119">
        <v>0</v>
      </c>
      <c r="E173" s="119">
        <v>0</v>
      </c>
      <c r="F173" s="119">
        <v>0</v>
      </c>
      <c r="G173" s="119">
        <v>0</v>
      </c>
      <c r="H173" s="119">
        <v>0</v>
      </c>
      <c r="I173" s="119">
        <v>0</v>
      </c>
      <c r="J173" s="119">
        <v>0</v>
      </c>
      <c r="K173" s="119">
        <v>0</v>
      </c>
      <c r="L173" s="119">
        <v>0</v>
      </c>
      <c r="M173" s="119">
        <v>0</v>
      </c>
      <c r="N173" s="119">
        <v>0</v>
      </c>
      <c r="O173" s="119">
        <v>0</v>
      </c>
      <c r="P173" s="119">
        <v>0</v>
      </c>
      <c r="Q173" s="119">
        <v>0</v>
      </c>
      <c r="R173" s="119">
        <v>0</v>
      </c>
      <c r="S173" s="119">
        <v>0</v>
      </c>
      <c r="T173" s="119">
        <v>0</v>
      </c>
      <c r="U173" s="119">
        <v>0</v>
      </c>
      <c r="V173" s="119">
        <v>0</v>
      </c>
      <c r="W173" s="119">
        <v>0</v>
      </c>
      <c r="X173" s="119">
        <v>0</v>
      </c>
      <c r="Y173" s="119">
        <v>0</v>
      </c>
      <c r="Z173" s="119">
        <v>0</v>
      </c>
      <c r="AA173" s="119">
        <v>0</v>
      </c>
      <c r="AB173" s="119">
        <v>0</v>
      </c>
      <c r="AC173" s="119">
        <v>0</v>
      </c>
      <c r="AD173" s="119">
        <v>0</v>
      </c>
      <c r="AE173" s="119">
        <v>0</v>
      </c>
      <c r="AF173" s="119">
        <v>0</v>
      </c>
      <c r="AG173" s="119">
        <v>0</v>
      </c>
      <c r="AH173" s="119">
        <v>0</v>
      </c>
      <c r="AI173" s="119">
        <v>0</v>
      </c>
      <c r="AJ173" s="119">
        <v>0</v>
      </c>
      <c r="AK173" s="119">
        <v>0</v>
      </c>
      <c r="AL173" s="119">
        <v>0</v>
      </c>
      <c r="AM173" s="119">
        <v>0</v>
      </c>
      <c r="AN173" s="119">
        <v>0</v>
      </c>
      <c r="AO173" s="119">
        <v>0</v>
      </c>
      <c r="AP173" s="119">
        <v>0</v>
      </c>
    </row>
    <row r="174" spans="1:42" x14ac:dyDescent="0.2">
      <c r="A174" s="4" t="s">
        <v>374</v>
      </c>
      <c r="B174" s="119">
        <v>0</v>
      </c>
      <c r="C174" s="119">
        <f t="shared" ref="C174:AP174" si="62">C120-C193</f>
        <v>6024942.4526841566</v>
      </c>
      <c r="D174" s="119">
        <f t="shared" si="62"/>
        <v>6040942.8595256042</v>
      </c>
      <c r="E174" s="119">
        <f t="shared" si="62"/>
        <v>6056199.9069920518</v>
      </c>
      <c r="F174" s="119">
        <f t="shared" si="62"/>
        <v>0</v>
      </c>
      <c r="G174" s="119">
        <f t="shared" si="62"/>
        <v>0</v>
      </c>
      <c r="H174" s="119">
        <f t="shared" si="62"/>
        <v>0</v>
      </c>
      <c r="I174" s="119">
        <f t="shared" si="62"/>
        <v>0</v>
      </c>
      <c r="J174" s="119">
        <f t="shared" si="62"/>
        <v>0</v>
      </c>
      <c r="K174" s="119">
        <f t="shared" si="62"/>
        <v>0</v>
      </c>
      <c r="L174" s="119">
        <f t="shared" si="62"/>
        <v>0</v>
      </c>
      <c r="M174" s="119">
        <f t="shared" si="62"/>
        <v>0</v>
      </c>
      <c r="N174" s="119">
        <f t="shared" si="62"/>
        <v>0</v>
      </c>
      <c r="O174" s="119">
        <f t="shared" si="62"/>
        <v>0</v>
      </c>
      <c r="P174" s="119">
        <f t="shared" si="62"/>
        <v>0</v>
      </c>
      <c r="Q174" s="119">
        <f t="shared" si="62"/>
        <v>0</v>
      </c>
      <c r="R174" s="119">
        <f t="shared" si="62"/>
        <v>0</v>
      </c>
      <c r="S174" s="119">
        <f t="shared" si="62"/>
        <v>0</v>
      </c>
      <c r="T174" s="119">
        <f t="shared" si="62"/>
        <v>6229662.6933322642</v>
      </c>
      <c r="U174" s="119">
        <f t="shared" si="62"/>
        <v>6219054.1106655709</v>
      </c>
      <c r="V174" s="119">
        <f t="shared" si="62"/>
        <v>6207360.6384322112</v>
      </c>
      <c r="W174" s="119">
        <f t="shared" si="62"/>
        <v>6194540.9793930165</v>
      </c>
      <c r="X174" s="119">
        <f t="shared" si="62"/>
        <v>6180571.0288778404</v>
      </c>
      <c r="Y174" s="119">
        <f t="shared" si="62"/>
        <v>6165416.8545997879</v>
      </c>
      <c r="Z174" s="119">
        <f t="shared" si="62"/>
        <v>6149052.675964782</v>
      </c>
      <c r="AA174" s="119">
        <f t="shared" si="62"/>
        <v>7382837.1092313547</v>
      </c>
      <c r="AB174" s="119">
        <f t="shared" si="62"/>
        <v>0</v>
      </c>
      <c r="AC174" s="119">
        <f t="shared" si="62"/>
        <v>0</v>
      </c>
      <c r="AD174" s="119">
        <f t="shared" si="62"/>
        <v>0</v>
      </c>
      <c r="AE174" s="119">
        <f t="shared" si="62"/>
        <v>0</v>
      </c>
      <c r="AF174" s="119">
        <f t="shared" si="62"/>
        <v>0</v>
      </c>
      <c r="AG174" s="119">
        <f t="shared" si="62"/>
        <v>0</v>
      </c>
      <c r="AH174" s="119">
        <f t="shared" si="62"/>
        <v>0</v>
      </c>
      <c r="AI174" s="119">
        <f t="shared" si="62"/>
        <v>0</v>
      </c>
      <c r="AJ174" s="119">
        <f t="shared" si="62"/>
        <v>0</v>
      </c>
      <c r="AK174" s="119">
        <f t="shared" si="62"/>
        <v>0</v>
      </c>
      <c r="AL174" s="119">
        <f t="shared" si="62"/>
        <v>0</v>
      </c>
      <c r="AM174" s="119">
        <f t="shared" si="62"/>
        <v>0</v>
      </c>
      <c r="AN174" s="119">
        <f t="shared" si="62"/>
        <v>0</v>
      </c>
      <c r="AO174" s="119">
        <f t="shared" si="62"/>
        <v>0</v>
      </c>
      <c r="AP174" s="119">
        <f t="shared" si="62"/>
        <v>0</v>
      </c>
    </row>
    <row r="175" spans="1:42" x14ac:dyDescent="0.2">
      <c r="A175" s="30" t="s">
        <v>13</v>
      </c>
      <c r="B175" s="137">
        <f t="shared" ref="B175:AP175" si="63">SUM(B172:B174)</f>
        <v>-41900971</v>
      </c>
      <c r="C175" s="137">
        <f t="shared" si="63"/>
        <v>6024942.4526841566</v>
      </c>
      <c r="D175" s="137">
        <f t="shared" si="63"/>
        <v>6040942.8595256042</v>
      </c>
      <c r="E175" s="137">
        <f t="shared" si="63"/>
        <v>6056199.9069920518</v>
      </c>
      <c r="F175" s="137">
        <f t="shared" si="63"/>
        <v>0</v>
      </c>
      <c r="G175" s="137">
        <f t="shared" si="63"/>
        <v>0</v>
      </c>
      <c r="H175" s="137">
        <f t="shared" si="63"/>
        <v>0</v>
      </c>
      <c r="I175" s="137">
        <f t="shared" si="63"/>
        <v>0</v>
      </c>
      <c r="J175" s="137">
        <f t="shared" si="63"/>
        <v>0</v>
      </c>
      <c r="K175" s="137">
        <f t="shared" si="63"/>
        <v>0</v>
      </c>
      <c r="L175" s="137">
        <f t="shared" si="63"/>
        <v>0</v>
      </c>
      <c r="M175" s="137">
        <f t="shared" si="63"/>
        <v>0</v>
      </c>
      <c r="N175" s="137">
        <f t="shared" si="63"/>
        <v>0</v>
      </c>
      <c r="O175" s="137">
        <f t="shared" si="63"/>
        <v>0</v>
      </c>
      <c r="P175" s="137">
        <f t="shared" si="63"/>
        <v>0</v>
      </c>
      <c r="Q175" s="137">
        <f t="shared" si="63"/>
        <v>0</v>
      </c>
      <c r="R175" s="137">
        <f t="shared" si="63"/>
        <v>0</v>
      </c>
      <c r="S175" s="137">
        <f t="shared" si="63"/>
        <v>0</v>
      </c>
      <c r="T175" s="137">
        <f t="shared" si="63"/>
        <v>6229662.6933322642</v>
      </c>
      <c r="U175" s="137">
        <f t="shared" si="63"/>
        <v>6219054.1106655709</v>
      </c>
      <c r="V175" s="137">
        <f t="shared" si="63"/>
        <v>6207360.6384322112</v>
      </c>
      <c r="W175" s="137">
        <f t="shared" si="63"/>
        <v>6194540.9793930165</v>
      </c>
      <c r="X175" s="137">
        <f t="shared" si="63"/>
        <v>6180571.0288778404</v>
      </c>
      <c r="Y175" s="137">
        <f t="shared" si="63"/>
        <v>6165416.8545997879</v>
      </c>
      <c r="Z175" s="137">
        <f t="shared" si="63"/>
        <v>6149052.675964782</v>
      </c>
      <c r="AA175" s="137">
        <f t="shared" si="63"/>
        <v>7382837.1092313547</v>
      </c>
      <c r="AB175" s="137">
        <f t="shared" si="63"/>
        <v>0</v>
      </c>
      <c r="AC175" s="137">
        <f t="shared" si="63"/>
        <v>0</v>
      </c>
      <c r="AD175" s="137">
        <f t="shared" si="63"/>
        <v>0</v>
      </c>
      <c r="AE175" s="137">
        <f t="shared" si="63"/>
        <v>0</v>
      </c>
      <c r="AF175" s="137">
        <f t="shared" si="63"/>
        <v>0</v>
      </c>
      <c r="AG175" s="137">
        <f t="shared" si="63"/>
        <v>0</v>
      </c>
      <c r="AH175" s="137">
        <f t="shared" si="63"/>
        <v>0</v>
      </c>
      <c r="AI175" s="137">
        <f t="shared" si="63"/>
        <v>0</v>
      </c>
      <c r="AJ175" s="137">
        <f t="shared" si="63"/>
        <v>0</v>
      </c>
      <c r="AK175" s="137">
        <f t="shared" si="63"/>
        <v>0</v>
      </c>
      <c r="AL175" s="137">
        <f t="shared" si="63"/>
        <v>0</v>
      </c>
      <c r="AM175" s="137">
        <f t="shared" si="63"/>
        <v>0</v>
      </c>
      <c r="AN175" s="137">
        <f t="shared" si="63"/>
        <v>0</v>
      </c>
      <c r="AO175" s="137">
        <f t="shared" si="63"/>
        <v>0</v>
      </c>
      <c r="AP175" s="137">
        <f t="shared" si="63"/>
        <v>0</v>
      </c>
    </row>
    <row r="176" spans="1:42" x14ac:dyDescent="0.2">
      <c r="B176" s="108"/>
    </row>
    <row r="177" spans="1:42" x14ac:dyDescent="0.2">
      <c r="A177" s="20" t="s">
        <v>357</v>
      </c>
      <c r="B177" s="108"/>
    </row>
    <row r="178" spans="1:42" x14ac:dyDescent="0.2">
      <c r="A178" s="4" t="s">
        <v>377</v>
      </c>
      <c r="B178" s="119">
        <f>B175</f>
        <v>-41900971</v>
      </c>
      <c r="C178" s="119">
        <f t="shared" ref="C178:AP178" si="64">C175</f>
        <v>6024942.4526841566</v>
      </c>
      <c r="D178" s="119">
        <f t="shared" si="64"/>
        <v>6040942.8595256042</v>
      </c>
      <c r="E178" s="119">
        <f t="shared" si="64"/>
        <v>6056199.9069920518</v>
      </c>
      <c r="F178" s="119">
        <f t="shared" si="64"/>
        <v>0</v>
      </c>
      <c r="G178" s="119">
        <f t="shared" si="64"/>
        <v>0</v>
      </c>
      <c r="H178" s="119">
        <f t="shared" si="64"/>
        <v>0</v>
      </c>
      <c r="I178" s="119">
        <f t="shared" si="64"/>
        <v>0</v>
      </c>
      <c r="J178" s="119">
        <f t="shared" si="64"/>
        <v>0</v>
      </c>
      <c r="K178" s="119">
        <f t="shared" si="64"/>
        <v>0</v>
      </c>
      <c r="L178" s="119">
        <f t="shared" si="64"/>
        <v>0</v>
      </c>
      <c r="M178" s="119">
        <f t="shared" si="64"/>
        <v>0</v>
      </c>
      <c r="N178" s="119">
        <f t="shared" si="64"/>
        <v>0</v>
      </c>
      <c r="O178" s="119">
        <f t="shared" si="64"/>
        <v>0</v>
      </c>
      <c r="P178" s="119">
        <f t="shared" si="64"/>
        <v>0</v>
      </c>
      <c r="Q178" s="119">
        <f t="shared" si="64"/>
        <v>0</v>
      </c>
      <c r="R178" s="119">
        <f t="shared" si="64"/>
        <v>0</v>
      </c>
      <c r="S178" s="119">
        <f t="shared" si="64"/>
        <v>0</v>
      </c>
      <c r="T178" s="119">
        <f t="shared" si="64"/>
        <v>6229662.6933322642</v>
      </c>
      <c r="U178" s="119">
        <f t="shared" si="64"/>
        <v>6219054.1106655709</v>
      </c>
      <c r="V178" s="119">
        <f t="shared" si="64"/>
        <v>6207360.6384322112</v>
      </c>
      <c r="W178" s="119">
        <f t="shared" si="64"/>
        <v>6194540.9793930165</v>
      </c>
      <c r="X178" s="119">
        <f t="shared" si="64"/>
        <v>6180571.0288778404</v>
      </c>
      <c r="Y178" s="119">
        <f t="shared" si="64"/>
        <v>6165416.8545997879</v>
      </c>
      <c r="Z178" s="119">
        <f t="shared" si="64"/>
        <v>6149052.675964782</v>
      </c>
      <c r="AA178" s="119">
        <f t="shared" si="64"/>
        <v>7382837.1092313547</v>
      </c>
      <c r="AB178" s="119">
        <f t="shared" si="64"/>
        <v>0</v>
      </c>
      <c r="AC178" s="119">
        <f t="shared" si="64"/>
        <v>0</v>
      </c>
      <c r="AD178" s="119">
        <f t="shared" si="64"/>
        <v>0</v>
      </c>
      <c r="AE178" s="119">
        <f t="shared" si="64"/>
        <v>0</v>
      </c>
      <c r="AF178" s="119">
        <f t="shared" si="64"/>
        <v>0</v>
      </c>
      <c r="AG178" s="119">
        <f t="shared" si="64"/>
        <v>0</v>
      </c>
      <c r="AH178" s="119">
        <f t="shared" si="64"/>
        <v>0</v>
      </c>
      <c r="AI178" s="119">
        <f t="shared" si="64"/>
        <v>0</v>
      </c>
      <c r="AJ178" s="119">
        <f t="shared" si="64"/>
        <v>0</v>
      </c>
      <c r="AK178" s="119">
        <f t="shared" si="64"/>
        <v>0</v>
      </c>
      <c r="AL178" s="119">
        <f t="shared" si="64"/>
        <v>0</v>
      </c>
      <c r="AM178" s="119">
        <f t="shared" si="64"/>
        <v>0</v>
      </c>
      <c r="AN178" s="119">
        <f t="shared" si="64"/>
        <v>0</v>
      </c>
      <c r="AO178" s="119">
        <f t="shared" si="64"/>
        <v>0</v>
      </c>
      <c r="AP178" s="119">
        <f t="shared" si="64"/>
        <v>0</v>
      </c>
    </row>
    <row r="179" spans="1:42" x14ac:dyDescent="0.2">
      <c r="A179" s="4" t="s">
        <v>362</v>
      </c>
      <c r="B179" s="119">
        <v>0</v>
      </c>
      <c r="C179" s="119">
        <f>C127-C198</f>
        <v>304397.39925000072</v>
      </c>
      <c r="D179" s="119">
        <v>0</v>
      </c>
      <c r="E179" s="119">
        <v>0</v>
      </c>
      <c r="F179" s="119">
        <v>0</v>
      </c>
      <c r="G179" s="119">
        <v>0</v>
      </c>
      <c r="H179" s="119">
        <v>0</v>
      </c>
      <c r="I179" s="119">
        <v>0</v>
      </c>
      <c r="J179" s="119">
        <v>0</v>
      </c>
      <c r="K179" s="119">
        <v>0</v>
      </c>
      <c r="L179" s="119">
        <v>0</v>
      </c>
      <c r="M179" s="119">
        <v>0</v>
      </c>
      <c r="N179" s="119">
        <v>0</v>
      </c>
      <c r="O179" s="119">
        <v>0</v>
      </c>
      <c r="P179" s="119">
        <v>0</v>
      </c>
      <c r="Q179" s="119">
        <v>0</v>
      </c>
      <c r="R179" s="119">
        <v>0</v>
      </c>
      <c r="S179" s="119">
        <v>0</v>
      </c>
      <c r="T179" s="119">
        <v>0</v>
      </c>
      <c r="U179" s="119">
        <v>0</v>
      </c>
      <c r="V179" s="119">
        <v>0</v>
      </c>
      <c r="W179" s="119">
        <v>0</v>
      </c>
      <c r="X179" s="119">
        <v>0</v>
      </c>
      <c r="Y179" s="119">
        <v>0</v>
      </c>
      <c r="Z179" s="119">
        <v>0</v>
      </c>
      <c r="AA179" s="119">
        <v>0</v>
      </c>
      <c r="AB179" s="119">
        <v>0</v>
      </c>
      <c r="AC179" s="119">
        <v>0</v>
      </c>
      <c r="AD179" s="119">
        <v>0</v>
      </c>
      <c r="AE179" s="119">
        <v>0</v>
      </c>
      <c r="AF179" s="119">
        <v>0</v>
      </c>
      <c r="AG179" s="119">
        <v>0</v>
      </c>
      <c r="AH179" s="119">
        <v>0</v>
      </c>
      <c r="AI179" s="119">
        <v>0</v>
      </c>
      <c r="AJ179" s="119">
        <v>0</v>
      </c>
      <c r="AK179" s="119">
        <v>0</v>
      </c>
      <c r="AL179" s="119">
        <v>0</v>
      </c>
      <c r="AM179" s="119">
        <v>0</v>
      </c>
      <c r="AN179" s="119">
        <v>0</v>
      </c>
      <c r="AO179" s="119">
        <v>0</v>
      </c>
      <c r="AP179" s="119">
        <v>0</v>
      </c>
    </row>
    <row r="180" spans="1:42" x14ac:dyDescent="0.2">
      <c r="A180" s="4" t="s">
        <v>363</v>
      </c>
      <c r="B180" s="119">
        <v>0</v>
      </c>
      <c r="C180" s="119">
        <f t="shared" ref="C180:AP180" si="65">C131-C199</f>
        <v>0</v>
      </c>
      <c r="D180" s="119">
        <f t="shared" si="65"/>
        <v>0</v>
      </c>
      <c r="E180" s="119">
        <f t="shared" si="65"/>
        <v>0</v>
      </c>
      <c r="F180" s="119">
        <f t="shared" si="65"/>
        <v>0</v>
      </c>
      <c r="G180" s="119">
        <f t="shared" si="65"/>
        <v>0</v>
      </c>
      <c r="H180" s="119">
        <f t="shared" si="65"/>
        <v>0</v>
      </c>
      <c r="I180" s="119">
        <f t="shared" si="65"/>
        <v>0</v>
      </c>
      <c r="J180" s="119">
        <f t="shared" si="65"/>
        <v>0</v>
      </c>
      <c r="K180" s="119">
        <f t="shared" si="65"/>
        <v>0</v>
      </c>
      <c r="L180" s="119">
        <f t="shared" si="65"/>
        <v>0</v>
      </c>
      <c r="M180" s="119">
        <f t="shared" si="65"/>
        <v>0</v>
      </c>
      <c r="N180" s="119">
        <f t="shared" si="65"/>
        <v>0</v>
      </c>
      <c r="O180" s="119">
        <f t="shared" si="65"/>
        <v>0</v>
      </c>
      <c r="P180" s="119">
        <f t="shared" si="65"/>
        <v>0</v>
      </c>
      <c r="Q180" s="119">
        <f t="shared" si="65"/>
        <v>0</v>
      </c>
      <c r="R180" s="119">
        <f t="shared" si="65"/>
        <v>0</v>
      </c>
      <c r="S180" s="119">
        <f t="shared" si="65"/>
        <v>0</v>
      </c>
      <c r="T180" s="119">
        <f t="shared" si="65"/>
        <v>0</v>
      </c>
      <c r="U180" s="119">
        <f t="shared" si="65"/>
        <v>0</v>
      </c>
      <c r="V180" s="119">
        <f t="shared" si="65"/>
        <v>0</v>
      </c>
      <c r="W180" s="119">
        <f t="shared" si="65"/>
        <v>0</v>
      </c>
      <c r="X180" s="119">
        <f t="shared" si="65"/>
        <v>0</v>
      </c>
      <c r="Y180" s="119">
        <f t="shared" si="65"/>
        <v>0</v>
      </c>
      <c r="Z180" s="119">
        <f t="shared" si="65"/>
        <v>0</v>
      </c>
      <c r="AA180" s="119">
        <f t="shared" si="65"/>
        <v>0</v>
      </c>
      <c r="AB180" s="119">
        <f t="shared" si="65"/>
        <v>0</v>
      </c>
      <c r="AC180" s="119">
        <f t="shared" si="65"/>
        <v>0</v>
      </c>
      <c r="AD180" s="119">
        <f t="shared" si="65"/>
        <v>0</v>
      </c>
      <c r="AE180" s="119">
        <f t="shared" si="65"/>
        <v>0</v>
      </c>
      <c r="AF180" s="119">
        <f t="shared" si="65"/>
        <v>0</v>
      </c>
      <c r="AG180" s="119">
        <f t="shared" si="65"/>
        <v>0</v>
      </c>
      <c r="AH180" s="119">
        <f t="shared" si="65"/>
        <v>0</v>
      </c>
      <c r="AI180" s="119">
        <f t="shared" si="65"/>
        <v>0</v>
      </c>
      <c r="AJ180" s="119">
        <f t="shared" si="65"/>
        <v>0</v>
      </c>
      <c r="AK180" s="119">
        <f t="shared" si="65"/>
        <v>0</v>
      </c>
      <c r="AL180" s="119">
        <f t="shared" si="65"/>
        <v>0</v>
      </c>
      <c r="AM180" s="119">
        <f t="shared" si="65"/>
        <v>0</v>
      </c>
      <c r="AN180" s="119">
        <f t="shared" si="65"/>
        <v>0</v>
      </c>
      <c r="AO180" s="119">
        <f t="shared" si="65"/>
        <v>0</v>
      </c>
      <c r="AP180" s="119">
        <f t="shared" si="65"/>
        <v>0</v>
      </c>
    </row>
    <row r="181" spans="1:42" x14ac:dyDescent="0.2">
      <c r="A181" s="4" t="s">
        <v>369</v>
      </c>
      <c r="B181" s="119">
        <v>0</v>
      </c>
      <c r="C181" s="119">
        <f t="shared" ref="C181:AP181" si="66">C135-C200</f>
        <v>27926.742124040145</v>
      </c>
      <c r="D181" s="119">
        <f t="shared" si="66"/>
        <v>56016.266561227851</v>
      </c>
      <c r="E181" s="119">
        <f t="shared" si="66"/>
        <v>26644.155555013102</v>
      </c>
      <c r="F181" s="119">
        <f t="shared" si="66"/>
        <v>8993.5759302710649</v>
      </c>
      <c r="G181" s="119">
        <f t="shared" si="66"/>
        <v>8921.2943511436461</v>
      </c>
      <c r="H181" s="119">
        <f t="shared" si="66"/>
        <v>-4325.2241530821775</v>
      </c>
      <c r="I181" s="119">
        <f t="shared" si="66"/>
        <v>-17552.998112420319</v>
      </c>
      <c r="J181" s="119">
        <f t="shared" si="66"/>
        <v>-17584.245363444556</v>
      </c>
      <c r="K181" s="119">
        <f t="shared" si="66"/>
        <v>-17612.734748894349</v>
      </c>
      <c r="L181" s="119">
        <f t="shared" si="66"/>
        <v>-17639.767083912389</v>
      </c>
      <c r="M181" s="119">
        <f t="shared" si="66"/>
        <v>-17663.474326562602</v>
      </c>
      <c r="N181" s="119">
        <f t="shared" si="66"/>
        <v>-17686.296998785576</v>
      </c>
      <c r="O181" s="119">
        <f t="shared" si="66"/>
        <v>-17704.146630507428</v>
      </c>
      <c r="P181" s="119">
        <f t="shared" si="66"/>
        <v>-17721.729702017736</v>
      </c>
      <c r="Q181" s="119">
        <f t="shared" si="66"/>
        <v>-10237.362583867041</v>
      </c>
      <c r="R181" s="119">
        <f t="shared" si="66"/>
        <v>-5663.3894394034287</v>
      </c>
      <c r="S181" s="119">
        <f t="shared" si="66"/>
        <v>-10819.648735930445</v>
      </c>
      <c r="T181" s="119">
        <f t="shared" si="66"/>
        <v>-1230506.5127472261</v>
      </c>
      <c r="U181" s="119">
        <f t="shared" si="66"/>
        <v>-1227862.360512106</v>
      </c>
      <c r="V181" s="119">
        <f t="shared" si="66"/>
        <v>-1419263.0820123376</v>
      </c>
      <c r="W181" s="119">
        <f t="shared" si="66"/>
        <v>-1630558.5477173636</v>
      </c>
      <c r="X181" s="119">
        <f t="shared" si="66"/>
        <v>-1647224.8769356851</v>
      </c>
      <c r="Y181" s="119">
        <f t="shared" si="66"/>
        <v>-1643392.4590740777</v>
      </c>
      <c r="Z181" s="119">
        <f t="shared" si="66"/>
        <v>-1639243.7266709292</v>
      </c>
      <c r="AA181" s="119">
        <f t="shared" si="66"/>
        <v>-1634764.5638427024</v>
      </c>
      <c r="AB181" s="119">
        <f t="shared" si="66"/>
        <v>0</v>
      </c>
      <c r="AC181" s="119">
        <f t="shared" si="66"/>
        <v>0</v>
      </c>
      <c r="AD181" s="119">
        <f t="shared" si="66"/>
        <v>0</v>
      </c>
      <c r="AE181" s="119">
        <f t="shared" si="66"/>
        <v>0</v>
      </c>
      <c r="AF181" s="119">
        <f t="shared" si="66"/>
        <v>0</v>
      </c>
      <c r="AG181" s="119">
        <f t="shared" si="66"/>
        <v>0</v>
      </c>
      <c r="AH181" s="119">
        <f t="shared" si="66"/>
        <v>0</v>
      </c>
      <c r="AI181" s="119">
        <f t="shared" si="66"/>
        <v>0</v>
      </c>
      <c r="AJ181" s="119">
        <f t="shared" si="66"/>
        <v>0</v>
      </c>
      <c r="AK181" s="119">
        <f t="shared" si="66"/>
        <v>0</v>
      </c>
      <c r="AL181" s="119">
        <f t="shared" si="66"/>
        <v>0</v>
      </c>
      <c r="AM181" s="119">
        <f t="shared" si="66"/>
        <v>0</v>
      </c>
      <c r="AN181" s="119">
        <f t="shared" si="66"/>
        <v>0</v>
      </c>
      <c r="AO181" s="119">
        <f t="shared" si="66"/>
        <v>0</v>
      </c>
      <c r="AP181" s="119">
        <f t="shared" si="66"/>
        <v>0</v>
      </c>
    </row>
    <row r="182" spans="1:42" x14ac:dyDescent="0.2">
      <c r="A182" s="4" t="s">
        <v>373</v>
      </c>
      <c r="B182" s="119">
        <v>0</v>
      </c>
      <c r="C182" s="119">
        <f>-Inputs!C86</f>
        <v>-847617.58199999994</v>
      </c>
      <c r="D182" s="119">
        <v>0</v>
      </c>
      <c r="E182" s="119">
        <v>0</v>
      </c>
      <c r="F182" s="119">
        <v>0</v>
      </c>
      <c r="G182" s="119">
        <v>0</v>
      </c>
      <c r="H182" s="119">
        <v>0</v>
      </c>
      <c r="I182" s="119">
        <v>0</v>
      </c>
      <c r="J182" s="119">
        <v>0</v>
      </c>
      <c r="K182" s="119">
        <v>0</v>
      </c>
      <c r="L182" s="119">
        <v>0</v>
      </c>
      <c r="M182" s="119">
        <v>0</v>
      </c>
      <c r="N182" s="119">
        <v>0</v>
      </c>
      <c r="O182" s="119">
        <v>0</v>
      </c>
      <c r="P182" s="119">
        <v>0</v>
      </c>
      <c r="Q182" s="119">
        <v>0</v>
      </c>
      <c r="R182" s="119">
        <v>0</v>
      </c>
      <c r="S182" s="119">
        <v>0</v>
      </c>
      <c r="T182" s="119">
        <v>0</v>
      </c>
      <c r="U182" s="119">
        <v>0</v>
      </c>
      <c r="V182" s="119">
        <v>0</v>
      </c>
      <c r="W182" s="119">
        <v>0</v>
      </c>
      <c r="X182" s="119">
        <v>0</v>
      </c>
      <c r="Y182" s="119">
        <v>0</v>
      </c>
      <c r="Z182" s="119">
        <v>0</v>
      </c>
      <c r="AA182" s="119">
        <v>0</v>
      </c>
      <c r="AB182" s="119">
        <v>0</v>
      </c>
      <c r="AC182" s="119">
        <v>0</v>
      </c>
      <c r="AD182" s="119">
        <v>0</v>
      </c>
      <c r="AE182" s="119">
        <v>0</v>
      </c>
      <c r="AF182" s="119">
        <v>0</v>
      </c>
      <c r="AG182" s="119">
        <v>0</v>
      </c>
      <c r="AH182" s="119">
        <v>0</v>
      </c>
      <c r="AI182" s="119">
        <v>0</v>
      </c>
      <c r="AJ182" s="119">
        <v>0</v>
      </c>
      <c r="AK182" s="119">
        <v>0</v>
      </c>
      <c r="AL182" s="119">
        <v>0</v>
      </c>
      <c r="AM182" s="119">
        <v>0</v>
      </c>
      <c r="AN182" s="119">
        <v>0</v>
      </c>
      <c r="AO182" s="119">
        <v>0</v>
      </c>
      <c r="AP182" s="119">
        <v>0</v>
      </c>
    </row>
    <row r="183" spans="1:42" x14ac:dyDescent="0.2">
      <c r="A183" s="30" t="s">
        <v>13</v>
      </c>
      <c r="B183" s="137">
        <f t="shared" ref="B183:AP183" si="67">SUM(B178:B182)</f>
        <v>-41900971</v>
      </c>
      <c r="C183" s="137">
        <f t="shared" si="67"/>
        <v>5509649.0120581966</v>
      </c>
      <c r="D183" s="137">
        <f t="shared" si="67"/>
        <v>6096959.126086832</v>
      </c>
      <c r="E183" s="137">
        <f t="shared" si="67"/>
        <v>6082844.0625470653</v>
      </c>
      <c r="F183" s="137">
        <f t="shared" si="67"/>
        <v>8993.5759302710649</v>
      </c>
      <c r="G183" s="137">
        <f t="shared" si="67"/>
        <v>8921.2943511436461</v>
      </c>
      <c r="H183" s="137">
        <f t="shared" si="67"/>
        <v>-4325.2241530821775</v>
      </c>
      <c r="I183" s="137">
        <f t="shared" si="67"/>
        <v>-17552.998112420319</v>
      </c>
      <c r="J183" s="137">
        <f t="shared" si="67"/>
        <v>-17584.245363444556</v>
      </c>
      <c r="K183" s="137">
        <f t="shared" si="67"/>
        <v>-17612.734748894349</v>
      </c>
      <c r="L183" s="137">
        <f t="shared" si="67"/>
        <v>-17639.767083912389</v>
      </c>
      <c r="M183" s="137">
        <f t="shared" si="67"/>
        <v>-17663.474326562602</v>
      </c>
      <c r="N183" s="137">
        <f t="shared" si="67"/>
        <v>-17686.296998785576</v>
      </c>
      <c r="O183" s="137">
        <f t="shared" si="67"/>
        <v>-17704.146630507428</v>
      </c>
      <c r="P183" s="137">
        <f t="shared" si="67"/>
        <v>-17721.729702017736</v>
      </c>
      <c r="Q183" s="137">
        <f t="shared" si="67"/>
        <v>-10237.362583867041</v>
      </c>
      <c r="R183" s="137">
        <f t="shared" si="67"/>
        <v>-5663.3894394034287</v>
      </c>
      <c r="S183" s="137">
        <f t="shared" si="67"/>
        <v>-10819.648735930445</v>
      </c>
      <c r="T183" s="137">
        <f t="shared" si="67"/>
        <v>4999156.1805850379</v>
      </c>
      <c r="U183" s="137">
        <f t="shared" si="67"/>
        <v>4991191.7501534652</v>
      </c>
      <c r="V183" s="137">
        <f t="shared" si="67"/>
        <v>4788097.5564198736</v>
      </c>
      <c r="W183" s="137">
        <f t="shared" si="67"/>
        <v>4563982.431675653</v>
      </c>
      <c r="X183" s="137">
        <f t="shared" si="67"/>
        <v>4533346.1519421553</v>
      </c>
      <c r="Y183" s="137">
        <f t="shared" si="67"/>
        <v>4522024.3955257107</v>
      </c>
      <c r="Z183" s="137">
        <f t="shared" si="67"/>
        <v>4509808.9492938528</v>
      </c>
      <c r="AA183" s="137">
        <f t="shared" si="67"/>
        <v>5748072.545388652</v>
      </c>
      <c r="AB183" s="137">
        <f t="shared" si="67"/>
        <v>0</v>
      </c>
      <c r="AC183" s="137">
        <f t="shared" si="67"/>
        <v>0</v>
      </c>
      <c r="AD183" s="137">
        <f t="shared" si="67"/>
        <v>0</v>
      </c>
      <c r="AE183" s="137">
        <f t="shared" si="67"/>
        <v>0</v>
      </c>
      <c r="AF183" s="137">
        <f t="shared" si="67"/>
        <v>0</v>
      </c>
      <c r="AG183" s="137">
        <f t="shared" si="67"/>
        <v>0</v>
      </c>
      <c r="AH183" s="137">
        <f t="shared" si="67"/>
        <v>0</v>
      </c>
      <c r="AI183" s="137">
        <f t="shared" si="67"/>
        <v>0</v>
      </c>
      <c r="AJ183" s="137">
        <f t="shared" si="67"/>
        <v>0</v>
      </c>
      <c r="AK183" s="137">
        <f t="shared" si="67"/>
        <v>0</v>
      </c>
      <c r="AL183" s="137">
        <f t="shared" si="67"/>
        <v>0</v>
      </c>
      <c r="AM183" s="137">
        <f t="shared" si="67"/>
        <v>0</v>
      </c>
      <c r="AN183" s="137">
        <f t="shared" si="67"/>
        <v>0</v>
      </c>
      <c r="AO183" s="137">
        <f t="shared" si="67"/>
        <v>0</v>
      </c>
      <c r="AP183" s="137">
        <f t="shared" si="67"/>
        <v>0</v>
      </c>
    </row>
    <row r="184" spans="1:42" x14ac:dyDescent="0.2">
      <c r="B184" s="108"/>
    </row>
    <row r="185" spans="1:42" x14ac:dyDescent="0.2">
      <c r="A185" s="4" t="s">
        <v>364</v>
      </c>
      <c r="B185" s="295">
        <v>0</v>
      </c>
      <c r="C185" s="295">
        <f>IF(ISERROR(IRR($B183:C183)),"NaN",ROUND(IRR($B183:C183)*100,4))</f>
        <v>-86.850800000000007</v>
      </c>
      <c r="D185" s="295">
        <f>IF(ISERROR(IRR($B183:D183)),"NaN",ROUND(IRR($B183:D183)*100,4))</f>
        <v>-54.717300000000002</v>
      </c>
      <c r="E185" s="295">
        <f>IF(ISERROR(IRR($B183:E183)),"NaN",ROUND(IRR($B183:E183)*100,4))</f>
        <v>-32.909700000000001</v>
      </c>
      <c r="F185" s="295">
        <f>IF(ISERROR(IRR($B183:F183)),"NaN",ROUND(IRR($B183:F183)*100,4))</f>
        <v>-32.878700000000002</v>
      </c>
      <c r="G185" s="295">
        <f>IF(ISERROR(IRR($B183:G183)),"NaN",ROUND(IRR($B183:G183)*100,4))</f>
        <v>-32.832900000000002</v>
      </c>
      <c r="H185" s="295">
        <f>IF(ISERROR(IRR($B183:H183)),"NaN",ROUND(IRR($B183:H183)*100,4))</f>
        <v>-32.865900000000003</v>
      </c>
      <c r="I185" s="295">
        <f>IF(ISERROR(IRR($B183:I183)),"NaN",ROUND(IRR($B183:I183)*100,4))</f>
        <v>-33.069299999999998</v>
      </c>
      <c r="J185" s="295">
        <f>IF(ISERROR(IRR($B183:J183)),"NaN",ROUND(IRR($B183:J183)*100,4))</f>
        <v>-33.387900000000002</v>
      </c>
      <c r="K185" s="295">
        <f>IF(ISERROR(IRR($B183:K183)),"NaN",ROUND(IRR($B183:K183)*100,4))</f>
        <v>-33.9116</v>
      </c>
      <c r="L185" s="295">
        <f>IF(ISERROR(IRR($B183:L183)),"NaN",ROUND(IRR($B183:L183)*100,4))</f>
        <v>-34.867800000000003</v>
      </c>
      <c r="M185" s="295">
        <f>IF(ISERROR(IRR($B183:M183)),"NaN",ROUND(IRR($B183:M183)*100,4))</f>
        <v>-43.858800000000002</v>
      </c>
      <c r="N185" s="295" t="str">
        <f>IF(ISERROR(IRR($B183:N183)),"NaN",ROUND(IRR($B183:N183)*100,4))</f>
        <v>NaN</v>
      </c>
      <c r="O185" s="295" t="str">
        <f>IF(ISERROR(IRR($B183:O183)),"NaN",ROUND(IRR($B183:O183)*100,4))</f>
        <v>NaN</v>
      </c>
      <c r="P185" s="295" t="str">
        <f>IF(ISERROR(IRR($B183:P183)),"NaN",ROUND(IRR($B183:P183)*100,4))</f>
        <v>NaN</v>
      </c>
      <c r="Q185" s="295" t="str">
        <f>IF(ISERROR(IRR($B183:Q183)),"NaN",ROUND(IRR($B183:Q183)*100,4))</f>
        <v>NaN</v>
      </c>
      <c r="R185" s="295" t="str">
        <f>IF(ISERROR(IRR($B183:R183)),"NaN",ROUND(IRR($B183:R183)*100,4))</f>
        <v>NaN</v>
      </c>
      <c r="S185" s="295" t="str">
        <f>IF(ISERROR(IRR($B183:S183)),"NaN",ROUND(IRR($B183:S183)*100,4))</f>
        <v>NaN</v>
      </c>
      <c r="T185" s="295">
        <f>IF(ISERROR(IRR($B183:T183)),"NaN",ROUND(IRR($B183:T183)*100,4))</f>
        <v>-7.7662000000000004</v>
      </c>
      <c r="U185" s="295">
        <f>IF(ISERROR(IRR($B183:U183)),"NaN",ROUND(IRR($B183:U183)*100,4))</f>
        <v>-4.3581000000000003</v>
      </c>
      <c r="V185" s="295">
        <f>IF(ISERROR(IRR($B183:V183)),"NaN",ROUND(IRR($B183:V183)*100,4))</f>
        <v>-2.4155000000000002</v>
      </c>
      <c r="W185" s="295">
        <f>IF(ISERROR(IRR($B183:W183)),"NaN",ROUND(IRR($B183:W183)*100,4))</f>
        <v>-1.099</v>
      </c>
      <c r="X185" s="295">
        <f>IF(ISERROR(IRR($B183:X183)),"NaN",ROUND(IRR($B183:X183)*100,4))</f>
        <v>-9.5100000000000004E-2</v>
      </c>
      <c r="Y185" s="295">
        <f>IF(ISERROR(IRR($B183:Y183)),"NaN",ROUND(IRR($B183:Y183)*100,4))</f>
        <v>0.70479999999999998</v>
      </c>
      <c r="Z185" s="295">
        <f>IF(ISERROR(IRR($B183:Z183)),"NaN",ROUND(IRR($B183:Z183)*100,4))</f>
        <v>1.3591</v>
      </c>
      <c r="AA185" s="295">
        <f>IF(ISERROR(IRR($B183:AA183)),"NaN",ROUND(IRR($B183:AA183)*100,4))</f>
        <v>2.0426000000000002</v>
      </c>
      <c r="AB185" s="295">
        <f>IF(ISERROR(IRR($B183:AB183)),"NaN",ROUND(IRR($B183:AB183)*100,4))</f>
        <v>2.0426000000000002</v>
      </c>
      <c r="AC185" s="295">
        <f>IF(ISERROR(IRR($B183:AC183)),"NaN",ROUND(IRR($B183:AC183)*100,4))</f>
        <v>2.0426000000000002</v>
      </c>
      <c r="AD185" s="295">
        <f>IF(ISERROR(IRR($B183:AD183)),"NaN",ROUND(IRR($B183:AD183)*100,4))</f>
        <v>2.0426000000000002</v>
      </c>
      <c r="AE185" s="295">
        <f>IF(ISERROR(IRR($B183:AE183)),"NaN",ROUND(IRR($B183:AE183)*100,4))</f>
        <v>2.0426000000000002</v>
      </c>
      <c r="AF185" s="295">
        <f>IF(ISERROR(IRR($B183:AF183)),"NaN",ROUND(IRR($B183:AF183)*100,4))</f>
        <v>2.0426000000000002</v>
      </c>
      <c r="AG185" s="295">
        <f>IF(ISERROR(IRR($B183:AG183)),"NaN",ROUND(IRR($B183:AG183)*100,4))</f>
        <v>2.0426000000000002</v>
      </c>
      <c r="AH185" s="295">
        <f>IF(ISERROR(IRR($B183:AH183)),"NaN",ROUND(IRR($B183:AH183)*100,4))</f>
        <v>2.0426000000000002</v>
      </c>
      <c r="AI185" s="295">
        <f>IF(ISERROR(IRR($B183:AI183)),"NaN",ROUND(IRR($B183:AI183)*100,4))</f>
        <v>2.0426000000000002</v>
      </c>
      <c r="AJ185" s="295">
        <f>IF(ISERROR(IRR($B183:AJ183)),"NaN",ROUND(IRR($B183:AJ183)*100,4))</f>
        <v>2.0426000000000002</v>
      </c>
      <c r="AK185" s="295">
        <f>IF(ISERROR(IRR($B183:AK183)),"NaN",ROUND(IRR($B183:AK183)*100,4))</f>
        <v>2.0426000000000002</v>
      </c>
      <c r="AL185" s="295">
        <f>IF(ISERROR(IRR($B183:AL183)),"NaN",ROUND(IRR($B183:AL183)*100,4))</f>
        <v>2.0426000000000002</v>
      </c>
      <c r="AM185" s="295">
        <f>IF(ISERROR(IRR($B183:AM183)),"NaN",ROUND(IRR($B183:AM183)*100,4))</f>
        <v>2.0426000000000002</v>
      </c>
      <c r="AN185" s="295">
        <f>IF(ISERROR(IRR($B183:AN183)),"NaN",ROUND(IRR($B183:AN183)*100,4))</f>
        <v>2.0426000000000002</v>
      </c>
      <c r="AO185" s="295">
        <f>IF(ISERROR(IRR($B183:AO183)),"NaN",ROUND(IRR($B183:AO183)*100,4))</f>
        <v>2.0426000000000002</v>
      </c>
      <c r="AP185" s="295">
        <f>IF(ISERROR(IRR($B183:AP183)),"NaN",ROUND(IRR($B183:AP183)*100,4))</f>
        <v>2.0426000000000002</v>
      </c>
    </row>
    <row r="186" spans="1:42" x14ac:dyDescent="0.2">
      <c r="A186" s="4" t="s">
        <v>8</v>
      </c>
      <c r="B186" s="295">
        <v>0</v>
      </c>
      <c r="C186" s="295">
        <f>MAX($B$185:C185)</f>
        <v>0</v>
      </c>
      <c r="D186" s="295">
        <f>MAX($B$185:D185)</f>
        <v>0</v>
      </c>
      <c r="E186" s="295">
        <f>MAX($B$185:E185)</f>
        <v>0</v>
      </c>
      <c r="F186" s="295">
        <f>MAX($B$185:F185)</f>
        <v>0</v>
      </c>
      <c r="G186" s="295">
        <f>MAX($B$185:G185)</f>
        <v>0</v>
      </c>
      <c r="H186" s="295">
        <f>MAX($B$185:H185)</f>
        <v>0</v>
      </c>
      <c r="I186" s="295">
        <f>MAX($B$185:I185)</f>
        <v>0</v>
      </c>
      <c r="J186" s="295">
        <f>MAX($B$185:J185)</f>
        <v>0</v>
      </c>
      <c r="K186" s="295">
        <f>MAX($B$185:K185)</f>
        <v>0</v>
      </c>
      <c r="L186" s="295">
        <f>MAX($B$185:L185)</f>
        <v>0</v>
      </c>
      <c r="M186" s="295">
        <f>MAX($B$185:M185)</f>
        <v>0</v>
      </c>
      <c r="N186" s="295">
        <f>MAX($B$185:N185)</f>
        <v>0</v>
      </c>
      <c r="O186" s="295">
        <f>MAX($B$185:O185)</f>
        <v>0</v>
      </c>
      <c r="P186" s="295">
        <f>MAX($B$185:P185)</f>
        <v>0</v>
      </c>
      <c r="Q186" s="295">
        <f>MAX($B$185:Q185)</f>
        <v>0</v>
      </c>
      <c r="R186" s="295">
        <f>MAX($B$185:R185)</f>
        <v>0</v>
      </c>
      <c r="S186" s="295">
        <f>MAX($B$185:S185)</f>
        <v>0</v>
      </c>
      <c r="T186" s="295">
        <f>MAX($B$185:T185)</f>
        <v>0</v>
      </c>
      <c r="U186" s="295">
        <f>MAX($B$185:U185)</f>
        <v>0</v>
      </c>
      <c r="V186" s="295">
        <f>MAX($B$185:V185)</f>
        <v>0</v>
      </c>
      <c r="W186" s="295">
        <f>MAX($B$185:W185)</f>
        <v>0</v>
      </c>
      <c r="X186" s="295">
        <f>MAX($B$185:X185)</f>
        <v>0</v>
      </c>
      <c r="Y186" s="295">
        <f>MAX($B$185:Y185)</f>
        <v>0.70479999999999998</v>
      </c>
      <c r="Z186" s="295">
        <f>MAX($B$185:Z185)</f>
        <v>1.3591</v>
      </c>
      <c r="AA186" s="295">
        <f>MAX($B$185:AA185)</f>
        <v>2.0426000000000002</v>
      </c>
      <c r="AB186" s="295">
        <f>MAX($B$185:AB185)</f>
        <v>2.0426000000000002</v>
      </c>
      <c r="AC186" s="295">
        <f>MAX($B$185:AC185)</f>
        <v>2.0426000000000002</v>
      </c>
      <c r="AD186" s="295">
        <f>MAX($B$185:AD185)</f>
        <v>2.0426000000000002</v>
      </c>
      <c r="AE186" s="295">
        <f>MAX($B$185:AE185)</f>
        <v>2.0426000000000002</v>
      </c>
      <c r="AF186" s="295">
        <f>MAX($B$185:AF185)</f>
        <v>2.0426000000000002</v>
      </c>
      <c r="AG186" s="295">
        <f>MAX($B$185:AG185)</f>
        <v>2.0426000000000002</v>
      </c>
      <c r="AH186" s="295">
        <f>MAX($B$185:AH185)</f>
        <v>2.0426000000000002</v>
      </c>
      <c r="AI186" s="295">
        <f>MAX($B$185:AI185)</f>
        <v>2.0426000000000002</v>
      </c>
      <c r="AJ186" s="295">
        <f>MAX($B$185:AJ185)</f>
        <v>2.0426000000000002</v>
      </c>
      <c r="AK186" s="295">
        <f>MAX($B$185:AK185)</f>
        <v>2.0426000000000002</v>
      </c>
      <c r="AL186" s="295">
        <f>MAX($B$185:AL185)</f>
        <v>2.0426000000000002</v>
      </c>
      <c r="AM186" s="295">
        <f>MAX($B$185:AM185)</f>
        <v>2.0426000000000002</v>
      </c>
      <c r="AN186" s="295">
        <f>MAX($B$185:AN185)</f>
        <v>2.0426000000000002</v>
      </c>
      <c r="AO186" s="295">
        <f>MAX($B$185:AO185)</f>
        <v>2.0426000000000002</v>
      </c>
      <c r="AP186" s="295">
        <f>MAX($B$185:AP185)</f>
        <v>2.0426000000000002</v>
      </c>
    </row>
    <row r="187" spans="1:42" x14ac:dyDescent="0.2">
      <c r="B187" s="108"/>
    </row>
    <row r="188" spans="1:42" x14ac:dyDescent="0.2">
      <c r="A188" s="4" t="s">
        <v>365</v>
      </c>
      <c r="B188" s="180">
        <f>B183+NPV(NominalDiscountRate/100,C183:AP183)</f>
        <v>-20987228.176624868</v>
      </c>
    </row>
    <row r="189" spans="1:42" x14ac:dyDescent="0.2">
      <c r="B189" s="108"/>
    </row>
    <row r="190" spans="1:42" x14ac:dyDescent="0.2">
      <c r="A190" s="84" t="s">
        <v>355</v>
      </c>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row>
    <row r="191" spans="1:42" x14ac:dyDescent="0.2">
      <c r="A191" s="20" t="s">
        <v>358</v>
      </c>
      <c r="B191" s="108"/>
    </row>
    <row r="192" spans="1:42" x14ac:dyDescent="0.2">
      <c r="A192" s="4" t="s">
        <v>360</v>
      </c>
      <c r="B192" s="119">
        <f>-B113*tax_investor_equity_percent/100</f>
        <v>-67643866.5</v>
      </c>
      <c r="C192" s="119">
        <v>0</v>
      </c>
      <c r="D192" s="119">
        <v>0</v>
      </c>
      <c r="E192" s="119">
        <v>0</v>
      </c>
      <c r="F192" s="119">
        <v>0</v>
      </c>
      <c r="G192" s="119">
        <v>0</v>
      </c>
      <c r="H192" s="119">
        <v>0</v>
      </c>
      <c r="I192" s="119">
        <v>0</v>
      </c>
      <c r="J192" s="119">
        <v>0</v>
      </c>
      <c r="K192" s="119">
        <v>0</v>
      </c>
      <c r="L192" s="119">
        <v>0</v>
      </c>
      <c r="M192" s="119">
        <v>0</v>
      </c>
      <c r="N192" s="119">
        <v>0</v>
      </c>
      <c r="O192" s="119">
        <v>0</v>
      </c>
      <c r="P192" s="119">
        <v>0</v>
      </c>
      <c r="Q192" s="119">
        <v>0</v>
      </c>
      <c r="R192" s="119">
        <v>0</v>
      </c>
      <c r="S192" s="119">
        <v>0</v>
      </c>
      <c r="T192" s="119">
        <v>0</v>
      </c>
      <c r="U192" s="119">
        <v>0</v>
      </c>
      <c r="V192" s="119">
        <v>0</v>
      </c>
      <c r="W192" s="119">
        <v>0</v>
      </c>
      <c r="X192" s="119">
        <v>0</v>
      </c>
      <c r="Y192" s="119">
        <v>0</v>
      </c>
      <c r="Z192" s="119">
        <v>0</v>
      </c>
      <c r="AA192" s="119">
        <v>0</v>
      </c>
      <c r="AB192" s="119">
        <v>0</v>
      </c>
      <c r="AC192" s="119">
        <v>0</v>
      </c>
      <c r="AD192" s="119">
        <v>0</v>
      </c>
      <c r="AE192" s="119">
        <v>0</v>
      </c>
      <c r="AF192" s="119">
        <v>0</v>
      </c>
      <c r="AG192" s="119">
        <v>0</v>
      </c>
      <c r="AH192" s="119">
        <v>0</v>
      </c>
      <c r="AI192" s="119">
        <v>0</v>
      </c>
      <c r="AJ192" s="119">
        <v>0</v>
      </c>
      <c r="AK192" s="119">
        <v>0</v>
      </c>
      <c r="AL192" s="119">
        <v>0</v>
      </c>
      <c r="AM192" s="119">
        <v>0</v>
      </c>
      <c r="AN192" s="119">
        <v>0</v>
      </c>
      <c r="AO192" s="119">
        <v>0</v>
      </c>
      <c r="AP192" s="119">
        <v>0</v>
      </c>
    </row>
    <row r="193" spans="1:42" x14ac:dyDescent="0.2">
      <c r="A193" s="4" t="s">
        <v>374</v>
      </c>
      <c r="B193" s="119">
        <v>0</v>
      </c>
      <c r="C193" s="119">
        <f t="shared" ref="C193:AP193" si="68">IF(B$2&lt;flip_actual_year,tax_investor_preflip_cash_percent,tax_investor_postflip_cash_percent)/100*(C120+C168)</f>
        <v>0</v>
      </c>
      <c r="D193" s="119">
        <f t="shared" si="68"/>
        <v>0</v>
      </c>
      <c r="E193" s="119">
        <f t="shared" si="68"/>
        <v>0</v>
      </c>
      <c r="F193" s="119">
        <f t="shared" si="68"/>
        <v>6070710.0110991262</v>
      </c>
      <c r="G193" s="119">
        <f t="shared" si="68"/>
        <v>6084428.9982628394</v>
      </c>
      <c r="H193" s="119">
        <f t="shared" si="68"/>
        <v>6097342.0905596102</v>
      </c>
      <c r="I193" s="119">
        <f t="shared" si="68"/>
        <v>6109433.8906177627</v>
      </c>
      <c r="J193" s="119">
        <f t="shared" si="68"/>
        <v>6120668.3661313336</v>
      </c>
      <c r="K193" s="119">
        <f t="shared" si="68"/>
        <v>6131018.8339867089</v>
      </c>
      <c r="L193" s="119">
        <f t="shared" si="68"/>
        <v>6140467.9439924313</v>
      </c>
      <c r="M193" s="119">
        <f t="shared" si="68"/>
        <v>6148987.6622022595</v>
      </c>
      <c r="N193" s="119">
        <f t="shared" si="68"/>
        <v>6156539.2538212985</v>
      </c>
      <c r="O193" s="119">
        <f t="shared" si="68"/>
        <v>6163103.2656847779</v>
      </c>
      <c r="P193" s="119">
        <f t="shared" si="68"/>
        <v>6168649.5082988068</v>
      </c>
      <c r="Q193" s="119">
        <f t="shared" si="68"/>
        <v>6173137.0374321509</v>
      </c>
      <c r="R193" s="119">
        <f t="shared" si="68"/>
        <v>6941924.9549419144</v>
      </c>
      <c r="S193" s="119">
        <f t="shared" si="68"/>
        <v>6932454.3288154621</v>
      </c>
      <c r="T193" s="119">
        <f t="shared" si="68"/>
        <v>692184.743703585</v>
      </c>
      <c r="U193" s="119">
        <f t="shared" si="68"/>
        <v>691006.01229617465</v>
      </c>
      <c r="V193" s="119">
        <f t="shared" si="68"/>
        <v>689706.73760357907</v>
      </c>
      <c r="W193" s="119">
        <f t="shared" si="68"/>
        <v>688282.33104366856</v>
      </c>
      <c r="X193" s="119">
        <f t="shared" si="68"/>
        <v>686730.11431976012</v>
      </c>
      <c r="Y193" s="119">
        <f t="shared" si="68"/>
        <v>685046.31717775424</v>
      </c>
      <c r="Z193" s="119">
        <f t="shared" si="68"/>
        <v>683228.07510719809</v>
      </c>
      <c r="AA193" s="119">
        <f t="shared" si="68"/>
        <v>820315.23435903946</v>
      </c>
      <c r="AB193" s="119">
        <f t="shared" si="68"/>
        <v>0</v>
      </c>
      <c r="AC193" s="119">
        <f t="shared" si="68"/>
        <v>0</v>
      </c>
      <c r="AD193" s="119">
        <f t="shared" si="68"/>
        <v>0</v>
      </c>
      <c r="AE193" s="119">
        <f t="shared" si="68"/>
        <v>0</v>
      </c>
      <c r="AF193" s="119">
        <f t="shared" si="68"/>
        <v>0</v>
      </c>
      <c r="AG193" s="119">
        <f t="shared" si="68"/>
        <v>0</v>
      </c>
      <c r="AH193" s="119">
        <f t="shared" si="68"/>
        <v>0</v>
      </c>
      <c r="AI193" s="119">
        <f t="shared" si="68"/>
        <v>0</v>
      </c>
      <c r="AJ193" s="119">
        <f t="shared" si="68"/>
        <v>0</v>
      </c>
      <c r="AK193" s="119">
        <f t="shared" si="68"/>
        <v>0</v>
      </c>
      <c r="AL193" s="119">
        <f t="shared" si="68"/>
        <v>0</v>
      </c>
      <c r="AM193" s="119">
        <f t="shared" si="68"/>
        <v>0</v>
      </c>
      <c r="AN193" s="119">
        <f t="shared" si="68"/>
        <v>0</v>
      </c>
      <c r="AO193" s="119">
        <f t="shared" si="68"/>
        <v>0</v>
      </c>
      <c r="AP193" s="119">
        <f t="shared" si="68"/>
        <v>0</v>
      </c>
    </row>
    <row r="194" spans="1:42" x14ac:dyDescent="0.2">
      <c r="A194" s="30" t="s">
        <v>13</v>
      </c>
      <c r="B194" s="137">
        <f>SUM(B192:B193)</f>
        <v>-67643866.5</v>
      </c>
      <c r="C194" s="137">
        <f t="shared" ref="C194:AP194" si="69">SUM(C192:C193)</f>
        <v>0</v>
      </c>
      <c r="D194" s="137">
        <f t="shared" si="69"/>
        <v>0</v>
      </c>
      <c r="E194" s="137">
        <f t="shared" si="69"/>
        <v>0</v>
      </c>
      <c r="F194" s="137">
        <f t="shared" si="69"/>
        <v>6070710.0110991262</v>
      </c>
      <c r="G194" s="137">
        <f t="shared" si="69"/>
        <v>6084428.9982628394</v>
      </c>
      <c r="H194" s="137">
        <f t="shared" si="69"/>
        <v>6097342.0905596102</v>
      </c>
      <c r="I194" s="137">
        <f t="shared" si="69"/>
        <v>6109433.8906177627</v>
      </c>
      <c r="J194" s="137">
        <f t="shared" si="69"/>
        <v>6120668.3661313336</v>
      </c>
      <c r="K194" s="137">
        <f t="shared" si="69"/>
        <v>6131018.8339867089</v>
      </c>
      <c r="L194" s="137">
        <f t="shared" si="69"/>
        <v>6140467.9439924313</v>
      </c>
      <c r="M194" s="137">
        <f t="shared" si="69"/>
        <v>6148987.6622022595</v>
      </c>
      <c r="N194" s="137">
        <f t="shared" si="69"/>
        <v>6156539.2538212985</v>
      </c>
      <c r="O194" s="137">
        <f t="shared" si="69"/>
        <v>6163103.2656847779</v>
      </c>
      <c r="P194" s="137">
        <f t="shared" si="69"/>
        <v>6168649.5082988068</v>
      </c>
      <c r="Q194" s="137">
        <f t="shared" si="69"/>
        <v>6173137.0374321509</v>
      </c>
      <c r="R194" s="137">
        <f t="shared" si="69"/>
        <v>6941924.9549419144</v>
      </c>
      <c r="S194" s="137">
        <f t="shared" si="69"/>
        <v>6932454.3288154621</v>
      </c>
      <c r="T194" s="137">
        <f t="shared" si="69"/>
        <v>692184.743703585</v>
      </c>
      <c r="U194" s="137">
        <f t="shared" si="69"/>
        <v>691006.01229617465</v>
      </c>
      <c r="V194" s="137">
        <f t="shared" si="69"/>
        <v>689706.73760357907</v>
      </c>
      <c r="W194" s="137">
        <f t="shared" si="69"/>
        <v>688282.33104366856</v>
      </c>
      <c r="X194" s="137">
        <f t="shared" si="69"/>
        <v>686730.11431976012</v>
      </c>
      <c r="Y194" s="137">
        <f t="shared" si="69"/>
        <v>685046.31717775424</v>
      </c>
      <c r="Z194" s="137">
        <f t="shared" si="69"/>
        <v>683228.07510719809</v>
      </c>
      <c r="AA194" s="137">
        <f t="shared" si="69"/>
        <v>820315.23435903946</v>
      </c>
      <c r="AB194" s="137">
        <f t="shared" si="69"/>
        <v>0</v>
      </c>
      <c r="AC194" s="137">
        <f t="shared" si="69"/>
        <v>0</v>
      </c>
      <c r="AD194" s="137">
        <f t="shared" si="69"/>
        <v>0</v>
      </c>
      <c r="AE194" s="137">
        <f t="shared" si="69"/>
        <v>0</v>
      </c>
      <c r="AF194" s="137">
        <f t="shared" si="69"/>
        <v>0</v>
      </c>
      <c r="AG194" s="137">
        <f t="shared" si="69"/>
        <v>0</v>
      </c>
      <c r="AH194" s="137">
        <f t="shared" si="69"/>
        <v>0</v>
      </c>
      <c r="AI194" s="137">
        <f t="shared" si="69"/>
        <v>0</v>
      </c>
      <c r="AJ194" s="137">
        <f t="shared" si="69"/>
        <v>0</v>
      </c>
      <c r="AK194" s="137">
        <f t="shared" si="69"/>
        <v>0</v>
      </c>
      <c r="AL194" s="137">
        <f t="shared" si="69"/>
        <v>0</v>
      </c>
      <c r="AM194" s="137">
        <f t="shared" si="69"/>
        <v>0</v>
      </c>
      <c r="AN194" s="137">
        <f t="shared" si="69"/>
        <v>0</v>
      </c>
      <c r="AO194" s="137">
        <f t="shared" si="69"/>
        <v>0</v>
      </c>
      <c r="AP194" s="137">
        <f t="shared" si="69"/>
        <v>0</v>
      </c>
    </row>
    <row r="195" spans="1:42" x14ac:dyDescent="0.2">
      <c r="B195" s="108"/>
    </row>
    <row r="196" spans="1:42" x14ac:dyDescent="0.2">
      <c r="A196" s="20" t="s">
        <v>359</v>
      </c>
      <c r="B196" s="108"/>
    </row>
    <row r="197" spans="1:42" x14ac:dyDescent="0.2">
      <c r="A197" s="4" t="s">
        <v>375</v>
      </c>
      <c r="B197" s="119">
        <f>B194</f>
        <v>-67643866.5</v>
      </c>
      <c r="C197" s="119">
        <f t="shared" ref="C197" si="70">C194</f>
        <v>0</v>
      </c>
      <c r="D197" s="119">
        <f t="shared" ref="D197:AP197" si="71">D194</f>
        <v>0</v>
      </c>
      <c r="E197" s="119">
        <f t="shared" si="71"/>
        <v>0</v>
      </c>
      <c r="F197" s="119">
        <f t="shared" si="71"/>
        <v>6070710.0110991262</v>
      </c>
      <c r="G197" s="119">
        <f t="shared" si="71"/>
        <v>6084428.9982628394</v>
      </c>
      <c r="H197" s="119">
        <f t="shared" si="71"/>
        <v>6097342.0905596102</v>
      </c>
      <c r="I197" s="119">
        <f t="shared" si="71"/>
        <v>6109433.8906177627</v>
      </c>
      <c r="J197" s="119">
        <f t="shared" si="71"/>
        <v>6120668.3661313336</v>
      </c>
      <c r="K197" s="119">
        <f t="shared" si="71"/>
        <v>6131018.8339867089</v>
      </c>
      <c r="L197" s="119">
        <f t="shared" si="71"/>
        <v>6140467.9439924313</v>
      </c>
      <c r="M197" s="119">
        <f t="shared" si="71"/>
        <v>6148987.6622022595</v>
      </c>
      <c r="N197" s="119">
        <f t="shared" si="71"/>
        <v>6156539.2538212985</v>
      </c>
      <c r="O197" s="119">
        <f t="shared" si="71"/>
        <v>6163103.2656847779</v>
      </c>
      <c r="P197" s="119">
        <f t="shared" si="71"/>
        <v>6168649.5082988068</v>
      </c>
      <c r="Q197" s="119">
        <f t="shared" si="71"/>
        <v>6173137.0374321509</v>
      </c>
      <c r="R197" s="119">
        <f t="shared" si="71"/>
        <v>6941924.9549419144</v>
      </c>
      <c r="S197" s="119">
        <f t="shared" si="71"/>
        <v>6932454.3288154621</v>
      </c>
      <c r="T197" s="119">
        <f t="shared" si="71"/>
        <v>692184.743703585</v>
      </c>
      <c r="U197" s="119">
        <f t="shared" si="71"/>
        <v>691006.01229617465</v>
      </c>
      <c r="V197" s="119">
        <f t="shared" si="71"/>
        <v>689706.73760357907</v>
      </c>
      <c r="W197" s="119">
        <f t="shared" si="71"/>
        <v>688282.33104366856</v>
      </c>
      <c r="X197" s="119">
        <f t="shared" si="71"/>
        <v>686730.11431976012</v>
      </c>
      <c r="Y197" s="119">
        <f t="shared" si="71"/>
        <v>685046.31717775424</v>
      </c>
      <c r="Z197" s="119">
        <f t="shared" si="71"/>
        <v>683228.07510719809</v>
      </c>
      <c r="AA197" s="119">
        <f t="shared" si="71"/>
        <v>820315.23435903946</v>
      </c>
      <c r="AB197" s="119">
        <f t="shared" si="71"/>
        <v>0</v>
      </c>
      <c r="AC197" s="119">
        <f t="shared" si="71"/>
        <v>0</v>
      </c>
      <c r="AD197" s="119">
        <f t="shared" si="71"/>
        <v>0</v>
      </c>
      <c r="AE197" s="119">
        <f t="shared" si="71"/>
        <v>0</v>
      </c>
      <c r="AF197" s="119">
        <f t="shared" si="71"/>
        <v>0</v>
      </c>
      <c r="AG197" s="119">
        <f t="shared" si="71"/>
        <v>0</v>
      </c>
      <c r="AH197" s="119">
        <f t="shared" si="71"/>
        <v>0</v>
      </c>
      <c r="AI197" s="119">
        <f t="shared" si="71"/>
        <v>0</v>
      </c>
      <c r="AJ197" s="119">
        <f t="shared" si="71"/>
        <v>0</v>
      </c>
      <c r="AK197" s="119">
        <f t="shared" si="71"/>
        <v>0</v>
      </c>
      <c r="AL197" s="119">
        <f t="shared" si="71"/>
        <v>0</v>
      </c>
      <c r="AM197" s="119">
        <f t="shared" si="71"/>
        <v>0</v>
      </c>
      <c r="AN197" s="119">
        <f t="shared" si="71"/>
        <v>0</v>
      </c>
      <c r="AO197" s="119">
        <f t="shared" si="71"/>
        <v>0</v>
      </c>
      <c r="AP197" s="119">
        <f t="shared" si="71"/>
        <v>0</v>
      </c>
    </row>
    <row r="198" spans="1:42" x14ac:dyDescent="0.2">
      <c r="A198" s="4" t="s">
        <v>366</v>
      </c>
      <c r="B198" s="119">
        <v>0</v>
      </c>
      <c r="C198" s="119">
        <f t="shared" ref="C198:AP198" si="72">C127*IF(B$2&lt;flip_actual_year,tax_investor_preflip_tax_percent,tax_investor_postflip_cash_percent)/100</f>
        <v>30135342.525749996</v>
      </c>
      <c r="D198" s="119">
        <f t="shared" si="72"/>
        <v>0</v>
      </c>
      <c r="E198" s="119">
        <f t="shared" si="72"/>
        <v>0</v>
      </c>
      <c r="F198" s="119">
        <f t="shared" si="72"/>
        <v>0</v>
      </c>
      <c r="G198" s="119">
        <f t="shared" si="72"/>
        <v>0</v>
      </c>
      <c r="H198" s="119">
        <f t="shared" si="72"/>
        <v>0</v>
      </c>
      <c r="I198" s="119">
        <f t="shared" si="72"/>
        <v>0</v>
      </c>
      <c r="J198" s="119">
        <f t="shared" si="72"/>
        <v>0</v>
      </c>
      <c r="K198" s="119">
        <f t="shared" si="72"/>
        <v>0</v>
      </c>
      <c r="L198" s="119">
        <f t="shared" si="72"/>
        <v>0</v>
      </c>
      <c r="M198" s="119">
        <f t="shared" si="72"/>
        <v>0</v>
      </c>
      <c r="N198" s="119">
        <f t="shared" si="72"/>
        <v>0</v>
      </c>
      <c r="O198" s="119">
        <f t="shared" si="72"/>
        <v>0</v>
      </c>
      <c r="P198" s="119">
        <f t="shared" si="72"/>
        <v>0</v>
      </c>
      <c r="Q198" s="119">
        <f t="shared" si="72"/>
        <v>0</v>
      </c>
      <c r="R198" s="119">
        <f t="shared" si="72"/>
        <v>0</v>
      </c>
      <c r="S198" s="119">
        <f t="shared" si="72"/>
        <v>0</v>
      </c>
      <c r="T198" s="119">
        <f t="shared" si="72"/>
        <v>0</v>
      </c>
      <c r="U198" s="119">
        <f t="shared" si="72"/>
        <v>0</v>
      </c>
      <c r="V198" s="119">
        <f t="shared" si="72"/>
        <v>0</v>
      </c>
      <c r="W198" s="119">
        <f t="shared" si="72"/>
        <v>0</v>
      </c>
      <c r="X198" s="119">
        <f t="shared" si="72"/>
        <v>0</v>
      </c>
      <c r="Y198" s="119">
        <f t="shared" si="72"/>
        <v>0</v>
      </c>
      <c r="Z198" s="119">
        <f t="shared" si="72"/>
        <v>0</v>
      </c>
      <c r="AA198" s="119">
        <f t="shared" si="72"/>
        <v>0</v>
      </c>
      <c r="AB198" s="119">
        <f t="shared" si="72"/>
        <v>0</v>
      </c>
      <c r="AC198" s="119">
        <f t="shared" si="72"/>
        <v>0</v>
      </c>
      <c r="AD198" s="119">
        <f t="shared" si="72"/>
        <v>0</v>
      </c>
      <c r="AE198" s="119">
        <f t="shared" si="72"/>
        <v>0</v>
      </c>
      <c r="AF198" s="119">
        <f t="shared" si="72"/>
        <v>0</v>
      </c>
      <c r="AG198" s="119">
        <f t="shared" si="72"/>
        <v>0</v>
      </c>
      <c r="AH198" s="119">
        <f t="shared" si="72"/>
        <v>0</v>
      </c>
      <c r="AI198" s="119">
        <f t="shared" si="72"/>
        <v>0</v>
      </c>
      <c r="AJ198" s="119">
        <f t="shared" si="72"/>
        <v>0</v>
      </c>
      <c r="AK198" s="119">
        <f t="shared" si="72"/>
        <v>0</v>
      </c>
      <c r="AL198" s="119">
        <f t="shared" si="72"/>
        <v>0</v>
      </c>
      <c r="AM198" s="119">
        <f t="shared" si="72"/>
        <v>0</v>
      </c>
      <c r="AN198" s="119">
        <f t="shared" si="72"/>
        <v>0</v>
      </c>
      <c r="AO198" s="119">
        <f t="shared" si="72"/>
        <v>0</v>
      </c>
      <c r="AP198" s="119">
        <f t="shared" si="72"/>
        <v>0</v>
      </c>
    </row>
    <row r="199" spans="1:42" x14ac:dyDescent="0.2">
      <c r="A199" s="4" t="s">
        <v>367</v>
      </c>
      <c r="B199" s="119">
        <v>0</v>
      </c>
      <c r="C199" s="119">
        <f t="shared" ref="C199:AP199" si="73">C131*IF(B$2&lt;flip_actual_year,tax_investor_preflip_tax_percent,tax_investor_postflip_cash_percent)/100</f>
        <v>0</v>
      </c>
      <c r="D199" s="119">
        <f t="shared" si="73"/>
        <v>0</v>
      </c>
      <c r="E199" s="119">
        <f t="shared" si="73"/>
        <v>0</v>
      </c>
      <c r="F199" s="119">
        <f t="shared" si="73"/>
        <v>0</v>
      </c>
      <c r="G199" s="119">
        <f t="shared" si="73"/>
        <v>0</v>
      </c>
      <c r="H199" s="119">
        <f t="shared" si="73"/>
        <v>0</v>
      </c>
      <c r="I199" s="119">
        <f t="shared" si="73"/>
        <v>0</v>
      </c>
      <c r="J199" s="119">
        <f t="shared" si="73"/>
        <v>0</v>
      </c>
      <c r="K199" s="119">
        <f t="shared" si="73"/>
        <v>0</v>
      </c>
      <c r="L199" s="119">
        <f t="shared" si="73"/>
        <v>0</v>
      </c>
      <c r="M199" s="119">
        <f t="shared" si="73"/>
        <v>0</v>
      </c>
      <c r="N199" s="119">
        <f t="shared" si="73"/>
        <v>0</v>
      </c>
      <c r="O199" s="119">
        <f t="shared" si="73"/>
        <v>0</v>
      </c>
      <c r="P199" s="119">
        <f t="shared" si="73"/>
        <v>0</v>
      </c>
      <c r="Q199" s="119">
        <f t="shared" si="73"/>
        <v>0</v>
      </c>
      <c r="R199" s="119">
        <f t="shared" si="73"/>
        <v>0</v>
      </c>
      <c r="S199" s="119">
        <f t="shared" si="73"/>
        <v>0</v>
      </c>
      <c r="T199" s="119">
        <f t="shared" si="73"/>
        <v>0</v>
      </c>
      <c r="U199" s="119">
        <f t="shared" si="73"/>
        <v>0</v>
      </c>
      <c r="V199" s="119">
        <f t="shared" si="73"/>
        <v>0</v>
      </c>
      <c r="W199" s="119">
        <f t="shared" si="73"/>
        <v>0</v>
      </c>
      <c r="X199" s="119">
        <f t="shared" si="73"/>
        <v>0</v>
      </c>
      <c r="Y199" s="119">
        <f t="shared" si="73"/>
        <v>0</v>
      </c>
      <c r="Z199" s="119">
        <f t="shared" si="73"/>
        <v>0</v>
      </c>
      <c r="AA199" s="119">
        <f t="shared" si="73"/>
        <v>0</v>
      </c>
      <c r="AB199" s="119">
        <f t="shared" si="73"/>
        <v>0</v>
      </c>
      <c r="AC199" s="119">
        <f t="shared" si="73"/>
        <v>0</v>
      </c>
      <c r="AD199" s="119">
        <f t="shared" si="73"/>
        <v>0</v>
      </c>
      <c r="AE199" s="119">
        <f t="shared" si="73"/>
        <v>0</v>
      </c>
      <c r="AF199" s="119">
        <f t="shared" si="73"/>
        <v>0</v>
      </c>
      <c r="AG199" s="119">
        <f t="shared" si="73"/>
        <v>0</v>
      </c>
      <c r="AH199" s="119">
        <f t="shared" si="73"/>
        <v>0</v>
      </c>
      <c r="AI199" s="119">
        <f t="shared" si="73"/>
        <v>0</v>
      </c>
      <c r="AJ199" s="119">
        <f t="shared" si="73"/>
        <v>0</v>
      </c>
      <c r="AK199" s="119">
        <f t="shared" si="73"/>
        <v>0</v>
      </c>
      <c r="AL199" s="119">
        <f t="shared" si="73"/>
        <v>0</v>
      </c>
      <c r="AM199" s="119">
        <f t="shared" si="73"/>
        <v>0</v>
      </c>
      <c r="AN199" s="119">
        <f t="shared" si="73"/>
        <v>0</v>
      </c>
      <c r="AO199" s="119">
        <f t="shared" si="73"/>
        <v>0</v>
      </c>
      <c r="AP199" s="119">
        <f t="shared" si="73"/>
        <v>0</v>
      </c>
    </row>
    <row r="200" spans="1:42" x14ac:dyDescent="0.2">
      <c r="A200" s="4" t="s">
        <v>368</v>
      </c>
      <c r="B200" s="119">
        <v>0</v>
      </c>
      <c r="C200" s="119">
        <f t="shared" ref="C200:AP200" si="74">C135*IF(B$2&lt;flip_actual_year,tax_investor_preflip_tax_percent,tax_investor_postflip_cash_percent)/100</f>
        <v>2764747.4702799837</v>
      </c>
      <c r="D200" s="119">
        <f t="shared" si="74"/>
        <v>5545610.3895615051</v>
      </c>
      <c r="E200" s="119">
        <f t="shared" si="74"/>
        <v>2637771.399946325</v>
      </c>
      <c r="F200" s="119">
        <f t="shared" si="74"/>
        <v>890364.01709682611</v>
      </c>
      <c r="G200" s="119">
        <f t="shared" si="74"/>
        <v>883208.14076323051</v>
      </c>
      <c r="H200" s="119">
        <f t="shared" si="74"/>
        <v>-428197.19115512935</v>
      </c>
      <c r="I200" s="119">
        <f t="shared" si="74"/>
        <v>-1737746.8131296241</v>
      </c>
      <c r="J200" s="119">
        <f t="shared" si="74"/>
        <v>-1740840.2909810306</v>
      </c>
      <c r="K200" s="119">
        <f t="shared" si="74"/>
        <v>-1743660.7401405531</v>
      </c>
      <c r="L200" s="119">
        <f t="shared" si="74"/>
        <v>-1746336.9413073424</v>
      </c>
      <c r="M200" s="119">
        <f t="shared" si="74"/>
        <v>-1748683.9583297065</v>
      </c>
      <c r="N200" s="119">
        <f t="shared" si="74"/>
        <v>-1750943.4028797611</v>
      </c>
      <c r="O200" s="119">
        <f t="shared" si="74"/>
        <v>-1752710.5164202473</v>
      </c>
      <c r="P200" s="119">
        <f t="shared" si="74"/>
        <v>-1754451.2404997495</v>
      </c>
      <c r="Q200" s="119">
        <f t="shared" si="74"/>
        <v>-1013498.8958028373</v>
      </c>
      <c r="R200" s="119">
        <f t="shared" si="74"/>
        <v>-560675.55450094072</v>
      </c>
      <c r="S200" s="119">
        <f t="shared" si="74"/>
        <v>-1071145.2248571268</v>
      </c>
      <c r="T200" s="119">
        <f t="shared" si="74"/>
        <v>-136722.94586080289</v>
      </c>
      <c r="U200" s="119">
        <f t="shared" si="74"/>
        <v>-136429.15116801177</v>
      </c>
      <c r="V200" s="119">
        <f t="shared" si="74"/>
        <v>-157695.89800137086</v>
      </c>
      <c r="W200" s="119">
        <f t="shared" si="74"/>
        <v>-181173.17196859597</v>
      </c>
      <c r="X200" s="119">
        <f t="shared" si="74"/>
        <v>-183024.98632618727</v>
      </c>
      <c r="Y200" s="119">
        <f t="shared" si="74"/>
        <v>-182599.16211934199</v>
      </c>
      <c r="Z200" s="119">
        <f t="shared" si="74"/>
        <v>-182138.19185232549</v>
      </c>
      <c r="AA200" s="119">
        <f t="shared" si="74"/>
        <v>-181640.50709363361</v>
      </c>
      <c r="AB200" s="119">
        <f t="shared" si="74"/>
        <v>0</v>
      </c>
      <c r="AC200" s="119">
        <f t="shared" si="74"/>
        <v>0</v>
      </c>
      <c r="AD200" s="119">
        <f t="shared" si="74"/>
        <v>0</v>
      </c>
      <c r="AE200" s="119">
        <f t="shared" si="74"/>
        <v>0</v>
      </c>
      <c r="AF200" s="119">
        <f t="shared" si="74"/>
        <v>0</v>
      </c>
      <c r="AG200" s="119">
        <f t="shared" si="74"/>
        <v>0</v>
      </c>
      <c r="AH200" s="119">
        <f t="shared" si="74"/>
        <v>0</v>
      </c>
      <c r="AI200" s="119">
        <f t="shared" si="74"/>
        <v>0</v>
      </c>
      <c r="AJ200" s="119">
        <f t="shared" si="74"/>
        <v>0</v>
      </c>
      <c r="AK200" s="119">
        <f t="shared" si="74"/>
        <v>0</v>
      </c>
      <c r="AL200" s="119">
        <f t="shared" si="74"/>
        <v>0</v>
      </c>
      <c r="AM200" s="119">
        <f t="shared" si="74"/>
        <v>0</v>
      </c>
      <c r="AN200" s="119">
        <f t="shared" si="74"/>
        <v>0</v>
      </c>
      <c r="AO200" s="119">
        <f t="shared" si="74"/>
        <v>0</v>
      </c>
      <c r="AP200" s="119">
        <f t="shared" si="74"/>
        <v>0</v>
      </c>
    </row>
    <row r="201" spans="1:42" x14ac:dyDescent="0.2">
      <c r="A201" s="30" t="s">
        <v>13</v>
      </c>
      <c r="B201" s="137">
        <f>SUM(B197:B200)</f>
        <v>-67643866.5</v>
      </c>
      <c r="C201" s="137">
        <f t="shared" ref="C201:AP201" si="75">SUM(C197:C200)</f>
        <v>32900089.99602998</v>
      </c>
      <c r="D201" s="137">
        <f t="shared" si="75"/>
        <v>5545610.3895615051</v>
      </c>
      <c r="E201" s="137">
        <f t="shared" si="75"/>
        <v>2637771.399946325</v>
      </c>
      <c r="F201" s="137">
        <f t="shared" si="75"/>
        <v>6961074.0281959521</v>
      </c>
      <c r="G201" s="137">
        <f t="shared" si="75"/>
        <v>6967637.13902607</v>
      </c>
      <c r="H201" s="137">
        <f t="shared" si="75"/>
        <v>5669144.8994044811</v>
      </c>
      <c r="I201" s="137">
        <f t="shared" si="75"/>
        <v>4371687.0774881383</v>
      </c>
      <c r="J201" s="137">
        <f t="shared" si="75"/>
        <v>4379828.0751503035</v>
      </c>
      <c r="K201" s="137">
        <f t="shared" si="75"/>
        <v>4387358.0938461553</v>
      </c>
      <c r="L201" s="137">
        <f t="shared" si="75"/>
        <v>4394131.0026850887</v>
      </c>
      <c r="M201" s="137">
        <f t="shared" si="75"/>
        <v>4400303.7038725531</v>
      </c>
      <c r="N201" s="137">
        <f t="shared" si="75"/>
        <v>4405595.8509415369</v>
      </c>
      <c r="O201" s="137">
        <f t="shared" si="75"/>
        <v>4410392.7492645308</v>
      </c>
      <c r="P201" s="137">
        <f t="shared" si="75"/>
        <v>4414198.2677990571</v>
      </c>
      <c r="Q201" s="137">
        <f t="shared" si="75"/>
        <v>5159638.1416293141</v>
      </c>
      <c r="R201" s="137">
        <f t="shared" si="75"/>
        <v>6381249.4004409742</v>
      </c>
      <c r="S201" s="137">
        <f t="shared" si="75"/>
        <v>5861309.1039583348</v>
      </c>
      <c r="T201" s="137">
        <f t="shared" si="75"/>
        <v>555461.79784278211</v>
      </c>
      <c r="U201" s="137">
        <f t="shared" si="75"/>
        <v>554576.86112816283</v>
      </c>
      <c r="V201" s="137">
        <f t="shared" si="75"/>
        <v>532010.83960220823</v>
      </c>
      <c r="W201" s="137">
        <f t="shared" si="75"/>
        <v>507109.15907507262</v>
      </c>
      <c r="X201" s="137">
        <f t="shared" si="75"/>
        <v>503705.12799357285</v>
      </c>
      <c r="Y201" s="137">
        <f t="shared" si="75"/>
        <v>502447.15505841223</v>
      </c>
      <c r="Z201" s="137">
        <f t="shared" si="75"/>
        <v>501089.88325487264</v>
      </c>
      <c r="AA201" s="137">
        <f t="shared" si="75"/>
        <v>638674.72726540582</v>
      </c>
      <c r="AB201" s="137">
        <f t="shared" si="75"/>
        <v>0</v>
      </c>
      <c r="AC201" s="137">
        <f t="shared" si="75"/>
        <v>0</v>
      </c>
      <c r="AD201" s="137">
        <f t="shared" si="75"/>
        <v>0</v>
      </c>
      <c r="AE201" s="137">
        <f t="shared" si="75"/>
        <v>0</v>
      </c>
      <c r="AF201" s="137">
        <f t="shared" si="75"/>
        <v>0</v>
      </c>
      <c r="AG201" s="137">
        <f t="shared" si="75"/>
        <v>0</v>
      </c>
      <c r="AH201" s="137">
        <f t="shared" si="75"/>
        <v>0</v>
      </c>
      <c r="AI201" s="137">
        <f t="shared" si="75"/>
        <v>0</v>
      </c>
      <c r="AJ201" s="137">
        <f t="shared" si="75"/>
        <v>0</v>
      </c>
      <c r="AK201" s="137">
        <f t="shared" si="75"/>
        <v>0</v>
      </c>
      <c r="AL201" s="137">
        <f t="shared" si="75"/>
        <v>0</v>
      </c>
      <c r="AM201" s="137">
        <f t="shared" si="75"/>
        <v>0</v>
      </c>
      <c r="AN201" s="137">
        <f t="shared" si="75"/>
        <v>0</v>
      </c>
      <c r="AO201" s="137">
        <f t="shared" si="75"/>
        <v>0</v>
      </c>
      <c r="AP201" s="137">
        <f t="shared" si="75"/>
        <v>0</v>
      </c>
    </row>
    <row r="202" spans="1:42" x14ac:dyDescent="0.2">
      <c r="B202" s="108"/>
    </row>
    <row r="203" spans="1:42" x14ac:dyDescent="0.2">
      <c r="A203" s="4" t="s">
        <v>370</v>
      </c>
      <c r="B203" s="203">
        <v>0</v>
      </c>
      <c r="C203" s="203">
        <f>IF(ISERROR(IRR($B201:C201)),"NaN",ROUND(IRR($B201:C201)*100,4))</f>
        <v>-51.3628</v>
      </c>
      <c r="D203" s="203">
        <f>IF(ISERROR(IRR($B201:D201)),"NaN",ROUND(IRR($B201:D201)*100,4))</f>
        <v>-38.115200000000002</v>
      </c>
      <c r="E203" s="203">
        <f>IF(ISERROR(IRR($B201:E201)),"NaN",ROUND(IRR($B201:E201)*100,4))</f>
        <v>-31.206</v>
      </c>
      <c r="F203" s="203">
        <f>IF(ISERROR(IRR($B201:F201)),"NaN",ROUND(IRR($B201:F201)*100,4))</f>
        <v>-17.432200000000002</v>
      </c>
      <c r="G203" s="203">
        <f>IF(ISERROR(IRR($B201:G201)),"NaN",ROUND(IRR($B201:G201)*100,4))</f>
        <v>-8.9862000000000002</v>
      </c>
      <c r="H203" s="203">
        <f>IF(ISERROR(IRR($B201:H201)),"NaN",ROUND(IRR($B201:H201)*100,4))</f>
        <v>-4.2140000000000004</v>
      </c>
      <c r="I203" s="203">
        <f>IF(ISERROR(IRR($B201:I201)),"NaN",ROUND(IRR($B201:I201)*100,4))</f>
        <v>-1.3919999999999999</v>
      </c>
      <c r="J203" s="203">
        <f>IF(ISERROR(IRR($B201:J201)),"NaN",ROUND(IRR($B201:J201)*100,4))</f>
        <v>0.85640000000000005</v>
      </c>
      <c r="K203" s="203">
        <f>IF(ISERROR(IRR($B201:K201)),"NaN",ROUND(IRR($B201:K201)*100,4))</f>
        <v>2.649</v>
      </c>
      <c r="L203" s="203">
        <f>IF(ISERROR(IRR($B201:L201)),"NaN",ROUND(IRR($B201:L201)*100,4))</f>
        <v>4.0862999999999996</v>
      </c>
      <c r="M203" s="203">
        <f>IF(ISERROR(IRR($B201:M201)),"NaN",ROUND(IRR($B201:M201)*100,4))</f>
        <v>5.2477</v>
      </c>
      <c r="N203" s="203">
        <f>IF(ISERROR(IRR($B201:N201)),"NaN",ROUND(IRR($B201:N201)*100,4))</f>
        <v>6.1936999999999998</v>
      </c>
      <c r="O203" s="203">
        <f>IF(ISERROR(IRR($B201:O201)),"NaN",ROUND(IRR($B201:O201)*100,4))</f>
        <v>6.9703999999999997</v>
      </c>
      <c r="P203" s="203">
        <f>IF(ISERROR(IRR($B201:P201)),"NaN",ROUND(IRR($B201:P201)*100,4))</f>
        <v>7.6128999999999998</v>
      </c>
      <c r="Q203" s="203">
        <f>IF(ISERROR(IRR($B201:Q201)),"NaN",ROUND(IRR($B201:Q201)*100,4))</f>
        <v>8.2327999999999992</v>
      </c>
      <c r="R203" s="203">
        <f>IF(ISERROR(IRR($B201:R201)),"NaN",ROUND(IRR($B201:R201)*100,4))</f>
        <v>8.8579000000000008</v>
      </c>
      <c r="S203" s="203">
        <f>IF(ISERROR(IRR($B201:S201)),"NaN",ROUND(IRR($B201:S201)*100,4))</f>
        <v>9.3277000000000001</v>
      </c>
      <c r="T203" s="203">
        <f>IF(ISERROR(IRR($B201:T201)),"NaN",ROUND(IRR($B201:T201)*100,4))</f>
        <v>9.3663000000000007</v>
      </c>
      <c r="U203" s="203">
        <f>IF(ISERROR(IRR($B201:U201)),"NaN",ROUND(IRR($B201:U201)*100,4))</f>
        <v>9.4010999999999996</v>
      </c>
      <c r="V203" s="203">
        <f>IF(ISERROR(IRR($B201:V201)),"NaN",ROUND(IRR($B201:V201)*100,4))</f>
        <v>9.4314</v>
      </c>
      <c r="W203" s="203">
        <f>IF(ISERROR(IRR($B201:W201)),"NaN",ROUND(IRR($B201:W201)*100,4))</f>
        <v>9.4575999999999993</v>
      </c>
      <c r="X203" s="203">
        <f>IF(ISERROR(IRR($B201:X201)),"NaN",ROUND(IRR($B201:X201)*100,4))</f>
        <v>9.4811999999999994</v>
      </c>
      <c r="Y203" s="203">
        <f>IF(ISERROR(IRR($B201:Y201)),"NaN",ROUND(IRR($B201:Y201)*100,4))</f>
        <v>9.5025999999999993</v>
      </c>
      <c r="Z203" s="203">
        <f>IF(ISERROR(IRR($B201:Z201)),"NaN",ROUND(IRR($B201:Z201)*100,4))</f>
        <v>9.5219000000000005</v>
      </c>
      <c r="AA203" s="203">
        <f>IF(ISERROR(IRR($B201:AA201)),"NaN",ROUND(IRR($B201:AA201)*100,4))</f>
        <v>9.5442</v>
      </c>
      <c r="AB203" s="203">
        <f>IF(ISERROR(IRR($B201:AB201)),"NaN",ROUND(IRR($B201:AB201)*100,4))</f>
        <v>9.5442</v>
      </c>
      <c r="AC203" s="203">
        <f>IF(ISERROR(IRR($B201:AC201)),"NaN",ROUND(IRR($B201:AC201)*100,4))</f>
        <v>9.5442</v>
      </c>
      <c r="AD203" s="203">
        <f>IF(ISERROR(IRR($B201:AD201)),"NaN",ROUND(IRR($B201:AD201)*100,4))</f>
        <v>9.5442</v>
      </c>
      <c r="AE203" s="203">
        <f>IF(ISERROR(IRR($B201:AE201)),"NaN",ROUND(IRR($B201:AE201)*100,4))</f>
        <v>9.5442</v>
      </c>
      <c r="AF203" s="203">
        <f>IF(ISERROR(IRR($B201:AF201)),"NaN",ROUND(IRR($B201:AF201)*100,4))</f>
        <v>9.5442</v>
      </c>
      <c r="AG203" s="203">
        <f>IF(ISERROR(IRR($B201:AG201)),"NaN",ROUND(IRR($B201:AG201)*100,4))</f>
        <v>9.5442</v>
      </c>
      <c r="AH203" s="203">
        <f>IF(ISERROR(IRR($B201:AH201)),"NaN",ROUND(IRR($B201:AH201)*100,4))</f>
        <v>9.5442</v>
      </c>
      <c r="AI203" s="203">
        <f>IF(ISERROR(IRR($B201:AI201)),"NaN",ROUND(IRR($B201:AI201)*100,4))</f>
        <v>9.5442</v>
      </c>
      <c r="AJ203" s="203">
        <f>IF(ISERROR(IRR($B201:AJ201)),"NaN",ROUND(IRR($B201:AJ201)*100,4))</f>
        <v>9.5442</v>
      </c>
      <c r="AK203" s="203">
        <f>IF(ISERROR(IRR($B201:AK201)),"NaN",ROUND(IRR($B201:AK201)*100,4))</f>
        <v>9.5442</v>
      </c>
      <c r="AL203" s="203">
        <f>IF(ISERROR(IRR($B201:AL201)),"NaN",ROUND(IRR($B201:AL201)*100,4))</f>
        <v>9.5442</v>
      </c>
      <c r="AM203" s="203">
        <f>IF(ISERROR(IRR($B201:AM201)),"NaN",ROUND(IRR($B201:AM201)*100,4))</f>
        <v>9.5442</v>
      </c>
      <c r="AN203" s="203">
        <f>IF(ISERROR(IRR($B201:AN201)),"NaN",ROUND(IRR($B201:AN201)*100,4))</f>
        <v>9.5442</v>
      </c>
      <c r="AO203" s="203">
        <f>IF(ISERROR(IRR($B201:AO201)),"NaN",ROUND(IRR($B201:AO201)*100,4))</f>
        <v>9.5442</v>
      </c>
      <c r="AP203" s="203">
        <f>IF(ISERROR(IRR($B201:AP201)),"NaN",ROUND(IRR($B201:AP201)*100,4))</f>
        <v>9.5442</v>
      </c>
    </row>
    <row r="204" spans="1:42" x14ac:dyDescent="0.2">
      <c r="A204" s="4" t="s">
        <v>8</v>
      </c>
      <c r="B204" s="203">
        <v>0</v>
      </c>
      <c r="C204" s="203">
        <f>MAX($B$203:C203)</f>
        <v>0</v>
      </c>
      <c r="D204" s="203">
        <f>MAX($B$203:D203)</f>
        <v>0</v>
      </c>
      <c r="E204" s="203">
        <f>MAX($B$203:E203)</f>
        <v>0</v>
      </c>
      <c r="F204" s="203">
        <f>MAX($B$203:F203)</f>
        <v>0</v>
      </c>
      <c r="G204" s="203">
        <f>MAX($B$203:G203)</f>
        <v>0</v>
      </c>
      <c r="H204" s="203">
        <f>MAX($B$203:H203)</f>
        <v>0</v>
      </c>
      <c r="I204" s="203">
        <f>MAX($B$203:I203)</f>
        <v>0</v>
      </c>
      <c r="J204" s="203">
        <f>MAX($B$203:J203)</f>
        <v>0.85640000000000005</v>
      </c>
      <c r="K204" s="203">
        <f>MAX($B$203:K203)</f>
        <v>2.649</v>
      </c>
      <c r="L204" s="203">
        <f>MAX($B$203:L203)</f>
        <v>4.0862999999999996</v>
      </c>
      <c r="M204" s="203">
        <f>MAX($B$203:M203)</f>
        <v>5.2477</v>
      </c>
      <c r="N204" s="203">
        <f>MAX($B$203:N203)</f>
        <v>6.1936999999999998</v>
      </c>
      <c r="O204" s="203">
        <f>MAX($B$203:O203)</f>
        <v>6.9703999999999997</v>
      </c>
      <c r="P204" s="203">
        <f>MAX($B$203:P203)</f>
        <v>7.6128999999999998</v>
      </c>
      <c r="Q204" s="203">
        <f>MAX($B$203:Q203)</f>
        <v>8.2327999999999992</v>
      </c>
      <c r="R204" s="203">
        <f>MAX($B$203:R203)</f>
        <v>8.8579000000000008</v>
      </c>
      <c r="S204" s="203">
        <f>MAX($B$203:S203)</f>
        <v>9.3277000000000001</v>
      </c>
      <c r="T204" s="203">
        <f>MAX($B$203:T203)</f>
        <v>9.3663000000000007</v>
      </c>
      <c r="U204" s="203">
        <f>MAX($B$203:U203)</f>
        <v>9.4010999999999996</v>
      </c>
      <c r="V204" s="203">
        <f>MAX($B$203:V203)</f>
        <v>9.4314</v>
      </c>
      <c r="W204" s="203">
        <f>MAX($B$203:W203)</f>
        <v>9.4575999999999993</v>
      </c>
      <c r="X204" s="203">
        <f>MAX($B$203:X203)</f>
        <v>9.4811999999999994</v>
      </c>
      <c r="Y204" s="203">
        <f>MAX($B$203:Y203)</f>
        <v>9.5025999999999993</v>
      </c>
      <c r="Z204" s="203">
        <f>MAX($B$203:Z203)</f>
        <v>9.5219000000000005</v>
      </c>
      <c r="AA204" s="203">
        <f>MAX($B$203:AA203)</f>
        <v>9.5442</v>
      </c>
      <c r="AB204" s="203">
        <f>MAX($B$203:AB203)</f>
        <v>9.5442</v>
      </c>
      <c r="AC204" s="203">
        <f>MAX($B$203:AC203)</f>
        <v>9.5442</v>
      </c>
      <c r="AD204" s="203">
        <f>MAX($B$203:AD203)</f>
        <v>9.5442</v>
      </c>
      <c r="AE204" s="203">
        <f>MAX($B$203:AE203)</f>
        <v>9.5442</v>
      </c>
      <c r="AF204" s="203">
        <f>MAX($B$203:AF203)</f>
        <v>9.5442</v>
      </c>
      <c r="AG204" s="203">
        <f>MAX($B$203:AG203)</f>
        <v>9.5442</v>
      </c>
      <c r="AH204" s="203">
        <f>MAX($B$203:AH203)</f>
        <v>9.5442</v>
      </c>
      <c r="AI204" s="203">
        <f>MAX($B$203:AI203)</f>
        <v>9.5442</v>
      </c>
      <c r="AJ204" s="203">
        <f>MAX($B$203:AJ203)</f>
        <v>9.5442</v>
      </c>
      <c r="AK204" s="203">
        <f>MAX($B$203:AK203)</f>
        <v>9.5442</v>
      </c>
      <c r="AL204" s="203">
        <f>MAX($B$203:AL203)</f>
        <v>9.5442</v>
      </c>
      <c r="AM204" s="203">
        <f>MAX($B$203:AM203)</f>
        <v>9.5442</v>
      </c>
      <c r="AN204" s="203">
        <f>MAX($B$203:AN203)</f>
        <v>9.5442</v>
      </c>
      <c r="AO204" s="203">
        <f>MAX($B$203:AO203)</f>
        <v>9.5442</v>
      </c>
      <c r="AP204" s="203">
        <f>MAX($B$203:AP203)</f>
        <v>9.5442</v>
      </c>
    </row>
    <row r="205" spans="1:42" x14ac:dyDescent="0.2">
      <c r="A205" s="4" t="s">
        <v>376</v>
      </c>
      <c r="B205" s="155">
        <f>SUM(C205:AP205)</f>
        <v>9</v>
      </c>
      <c r="C205" s="152">
        <f t="shared" ref="C205:AP205" si="76">IF(IRRTarget="N/A",IF(C$2=flip_target_year,C$2,0),IF(AND(B204&lt;IRRTarget,C204&gt;=IRRTarget),C$2,0))</f>
        <v>0</v>
      </c>
      <c r="D205" s="152">
        <f t="shared" si="76"/>
        <v>0</v>
      </c>
      <c r="E205" s="152">
        <f t="shared" si="76"/>
        <v>0</v>
      </c>
      <c r="F205" s="152">
        <f t="shared" si="76"/>
        <v>0</v>
      </c>
      <c r="G205" s="152">
        <f t="shared" si="76"/>
        <v>0</v>
      </c>
      <c r="H205" s="152">
        <f t="shared" si="76"/>
        <v>0</v>
      </c>
      <c r="I205" s="152">
        <f t="shared" si="76"/>
        <v>0</v>
      </c>
      <c r="J205" s="152">
        <f t="shared" si="76"/>
        <v>0</v>
      </c>
      <c r="K205" s="152">
        <f t="shared" si="76"/>
        <v>9</v>
      </c>
      <c r="L205" s="152">
        <f t="shared" si="76"/>
        <v>0</v>
      </c>
      <c r="M205" s="152">
        <f t="shared" si="76"/>
        <v>0</v>
      </c>
      <c r="N205" s="152">
        <f t="shared" si="76"/>
        <v>0</v>
      </c>
      <c r="O205" s="152">
        <f t="shared" si="76"/>
        <v>0</v>
      </c>
      <c r="P205" s="152">
        <f t="shared" si="76"/>
        <v>0</v>
      </c>
      <c r="Q205" s="152">
        <f t="shared" si="76"/>
        <v>0</v>
      </c>
      <c r="R205" s="152">
        <f t="shared" si="76"/>
        <v>0</v>
      </c>
      <c r="S205" s="152">
        <f t="shared" si="76"/>
        <v>0</v>
      </c>
      <c r="T205" s="152">
        <f t="shared" si="76"/>
        <v>0</v>
      </c>
      <c r="U205" s="152">
        <f t="shared" si="76"/>
        <v>0</v>
      </c>
      <c r="V205" s="152">
        <f t="shared" si="76"/>
        <v>0</v>
      </c>
      <c r="W205" s="152">
        <f t="shared" si="76"/>
        <v>0</v>
      </c>
      <c r="X205" s="152">
        <f t="shared" si="76"/>
        <v>0</v>
      </c>
      <c r="Y205" s="152">
        <f t="shared" si="76"/>
        <v>0</v>
      </c>
      <c r="Z205" s="152">
        <f t="shared" si="76"/>
        <v>0</v>
      </c>
      <c r="AA205" s="152">
        <f t="shared" si="76"/>
        <v>0</v>
      </c>
      <c r="AB205" s="152">
        <f t="shared" si="76"/>
        <v>0</v>
      </c>
      <c r="AC205" s="152">
        <f t="shared" si="76"/>
        <v>0</v>
      </c>
      <c r="AD205" s="152">
        <f t="shared" si="76"/>
        <v>0</v>
      </c>
      <c r="AE205" s="152">
        <f t="shared" si="76"/>
        <v>0</v>
      </c>
      <c r="AF205" s="152">
        <f t="shared" si="76"/>
        <v>0</v>
      </c>
      <c r="AG205" s="152">
        <f t="shared" si="76"/>
        <v>0</v>
      </c>
      <c r="AH205" s="152">
        <f t="shared" si="76"/>
        <v>0</v>
      </c>
      <c r="AI205" s="152">
        <f t="shared" si="76"/>
        <v>0</v>
      </c>
      <c r="AJ205" s="152">
        <f t="shared" si="76"/>
        <v>0</v>
      </c>
      <c r="AK205" s="152">
        <f t="shared" si="76"/>
        <v>0</v>
      </c>
      <c r="AL205" s="152">
        <f t="shared" si="76"/>
        <v>0</v>
      </c>
      <c r="AM205" s="152">
        <f t="shared" si="76"/>
        <v>0</v>
      </c>
      <c r="AN205" s="152">
        <f t="shared" si="76"/>
        <v>0</v>
      </c>
      <c r="AO205" s="152">
        <f t="shared" si="76"/>
        <v>0</v>
      </c>
      <c r="AP205" s="152">
        <f t="shared" si="76"/>
        <v>0</v>
      </c>
    </row>
    <row r="206" spans="1:42" x14ac:dyDescent="0.2">
      <c r="B206" s="108"/>
    </row>
    <row r="207" spans="1:42" x14ac:dyDescent="0.2">
      <c r="A207" s="4" t="s">
        <v>371</v>
      </c>
      <c r="B207" s="180">
        <f>B201+NPV(NominalDiscountRate/100,C201:AP201)</f>
        <v>1459443.7802432626</v>
      </c>
    </row>
    <row r="209" spans="1:42" x14ac:dyDescent="0.2">
      <c r="A209" s="84" t="s">
        <v>31</v>
      </c>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row>
    <row r="210" spans="1:42" x14ac:dyDescent="0.2">
      <c r="A210" s="20" t="s">
        <v>44</v>
      </c>
    </row>
    <row r="211" spans="1:42" x14ac:dyDescent="0.2">
      <c r="A211" s="88" t="s">
        <v>32</v>
      </c>
      <c r="C211" s="119">
        <f t="shared" ref="C211:AP211" si="77">C65</f>
        <v>6976300</v>
      </c>
      <c r="D211" s="119">
        <f t="shared" si="77"/>
        <v>6980760</v>
      </c>
      <c r="E211" s="119">
        <f t="shared" si="77"/>
        <v>6984482.5</v>
      </c>
      <c r="F211" s="119">
        <f t="shared" si="77"/>
        <v>6987464.0625</v>
      </c>
      <c r="G211" s="119">
        <f t="shared" si="77"/>
        <v>6989660.6640625</v>
      </c>
      <c r="H211" s="119">
        <f t="shared" si="77"/>
        <v>6991057.6806640634</v>
      </c>
      <c r="I211" s="119">
        <f t="shared" si="77"/>
        <v>6991639.8726806641</v>
      </c>
      <c r="J211" s="119">
        <f t="shared" si="77"/>
        <v>6991371.369497681</v>
      </c>
      <c r="K211" s="119">
        <f t="shared" si="77"/>
        <v>6990225.6537351236</v>
      </c>
      <c r="L211" s="119">
        <f t="shared" si="77"/>
        <v>6988185.545078502</v>
      </c>
      <c r="M211" s="119">
        <f t="shared" si="77"/>
        <v>6985223.183705464</v>
      </c>
      <c r="N211" s="119">
        <f t="shared" si="77"/>
        <v>6981300.0132981008</v>
      </c>
      <c r="O211" s="119">
        <f t="shared" si="77"/>
        <v>6976396.7636305541</v>
      </c>
      <c r="P211" s="119">
        <f t="shared" si="77"/>
        <v>6970483.4327213177</v>
      </c>
      <c r="Q211" s="119">
        <f t="shared" si="77"/>
        <v>6963519.2685393505</v>
      </c>
      <c r="R211" s="119">
        <f t="shared" si="77"/>
        <v>6955502.7502528336</v>
      </c>
      <c r="S211" s="119">
        <f t="shared" si="77"/>
        <v>6946371.569009155</v>
      </c>
      <c r="T211" s="119">
        <f t="shared" si="77"/>
        <v>6936112.608234385</v>
      </c>
      <c r="U211" s="119">
        <f t="shared" si="77"/>
        <v>6924681.923440244</v>
      </c>
      <c r="V211" s="119">
        <f t="shared" si="77"/>
        <v>6912054.7215262502</v>
      </c>
      <c r="W211" s="119">
        <f t="shared" si="77"/>
        <v>6898185.3395644072</v>
      </c>
      <c r="X211" s="119">
        <f t="shared" si="77"/>
        <v>6883047.2230535168</v>
      </c>
      <c r="Y211" s="119">
        <f t="shared" si="77"/>
        <v>6866602.9036298553</v>
      </c>
      <c r="Z211" s="119">
        <f t="shared" si="77"/>
        <v>6848823.9762206012</v>
      </c>
      <c r="AA211" s="119">
        <f t="shared" si="77"/>
        <v>6829651.0756261162</v>
      </c>
      <c r="AB211" s="119">
        <f t="shared" si="77"/>
        <v>0</v>
      </c>
      <c r="AC211" s="119">
        <f t="shared" si="77"/>
        <v>0</v>
      </c>
      <c r="AD211" s="119">
        <f t="shared" si="77"/>
        <v>0</v>
      </c>
      <c r="AE211" s="119">
        <f t="shared" si="77"/>
        <v>0</v>
      </c>
      <c r="AF211" s="119">
        <f t="shared" si="77"/>
        <v>0</v>
      </c>
      <c r="AG211" s="119">
        <f t="shared" si="77"/>
        <v>0</v>
      </c>
      <c r="AH211" s="119">
        <f t="shared" si="77"/>
        <v>0</v>
      </c>
      <c r="AI211" s="119">
        <f t="shared" si="77"/>
        <v>0</v>
      </c>
      <c r="AJ211" s="119">
        <f t="shared" si="77"/>
        <v>0</v>
      </c>
      <c r="AK211" s="119">
        <f t="shared" si="77"/>
        <v>0</v>
      </c>
      <c r="AL211" s="119">
        <f t="shared" si="77"/>
        <v>0</v>
      </c>
      <c r="AM211" s="119">
        <f t="shared" si="77"/>
        <v>0</v>
      </c>
      <c r="AN211" s="119">
        <f t="shared" si="77"/>
        <v>0</v>
      </c>
      <c r="AO211" s="119">
        <f t="shared" si="77"/>
        <v>0</v>
      </c>
      <c r="AP211" s="119">
        <f t="shared" si="77"/>
        <v>0</v>
      </c>
    </row>
    <row r="212" spans="1:42" x14ac:dyDescent="0.2">
      <c r="A212" s="88" t="s">
        <v>40</v>
      </c>
      <c r="C212" s="119">
        <f t="shared" ref="C212:AP212" si="78">C774</f>
        <v>9375</v>
      </c>
      <c r="D212" s="119">
        <f t="shared" si="78"/>
        <v>21384.156841448046</v>
      </c>
      <c r="E212" s="119">
        <f t="shared" si="78"/>
        <v>33399.173057896092</v>
      </c>
      <c r="F212" s="119">
        <f t="shared" si="78"/>
        <v>45420.195133719149</v>
      </c>
      <c r="G212" s="119">
        <f t="shared" si="78"/>
        <v>57447.373215401567</v>
      </c>
      <c r="H212" s="119">
        <f t="shared" si="78"/>
        <v>69480.861203089866</v>
      </c>
      <c r="I212" s="119">
        <f t="shared" si="78"/>
        <v>81520.816844434157</v>
      </c>
      <c r="J212" s="119">
        <f t="shared" si="78"/>
        <v>93567.401830775852</v>
      </c>
      <c r="K212" s="119">
        <f t="shared" si="78"/>
        <v>105620.78189573988</v>
      </c>
      <c r="L212" s="119">
        <f t="shared" si="78"/>
        <v>117681.12691629183</v>
      </c>
      <c r="M212" s="119">
        <f t="shared" si="78"/>
        <v>129748.61101632135</v>
      </c>
      <c r="N212" s="119">
        <f t="shared" si="78"/>
        <v>141823.41267281541</v>
      </c>
      <c r="O212" s="119">
        <f t="shared" si="78"/>
        <v>153905.71482468562</v>
      </c>
      <c r="P212" s="119">
        <f t="shared" si="78"/>
        <v>165995.7049843164</v>
      </c>
      <c r="Q212" s="119">
        <f t="shared" si="78"/>
        <v>178093.57535190173</v>
      </c>
      <c r="R212" s="119">
        <f t="shared" si="78"/>
        <v>13577.795310919788</v>
      </c>
      <c r="S212" s="119">
        <f t="shared" si="78"/>
        <v>13917.240193692778</v>
      </c>
      <c r="T212" s="119">
        <f t="shared" si="78"/>
        <v>14265.171198535096</v>
      </c>
      <c r="U212" s="119">
        <f t="shared" si="78"/>
        <v>14621.800478498475</v>
      </c>
      <c r="V212" s="119">
        <f t="shared" si="78"/>
        <v>14987.345490460935</v>
      </c>
      <c r="W212" s="119">
        <f t="shared" si="78"/>
        <v>15362.029127722457</v>
      </c>
      <c r="X212" s="119">
        <f t="shared" si="78"/>
        <v>15746.079855915517</v>
      </c>
      <c r="Y212" s="119">
        <f t="shared" si="78"/>
        <v>16139.731852313405</v>
      </c>
      <c r="Z212" s="119">
        <f t="shared" si="78"/>
        <v>16543.225148621244</v>
      </c>
      <c r="AA212" s="119">
        <f t="shared" si="78"/>
        <v>16956.805777336773</v>
      </c>
      <c r="AB212" s="119">
        <f t="shared" si="78"/>
        <v>0</v>
      </c>
      <c r="AC212" s="119">
        <f t="shared" si="78"/>
        <v>0</v>
      </c>
      <c r="AD212" s="119">
        <f t="shared" si="78"/>
        <v>0</v>
      </c>
      <c r="AE212" s="119">
        <f t="shared" si="78"/>
        <v>0</v>
      </c>
      <c r="AF212" s="119">
        <f t="shared" si="78"/>
        <v>0</v>
      </c>
      <c r="AG212" s="119">
        <f t="shared" si="78"/>
        <v>0</v>
      </c>
      <c r="AH212" s="119">
        <f t="shared" si="78"/>
        <v>0</v>
      </c>
      <c r="AI212" s="119">
        <f t="shared" si="78"/>
        <v>0</v>
      </c>
      <c r="AJ212" s="119">
        <f t="shared" si="78"/>
        <v>0</v>
      </c>
      <c r="AK212" s="119">
        <f t="shared" si="78"/>
        <v>0</v>
      </c>
      <c r="AL212" s="119">
        <f t="shared" si="78"/>
        <v>0</v>
      </c>
      <c r="AM212" s="119">
        <f t="shared" si="78"/>
        <v>0</v>
      </c>
      <c r="AN212" s="119">
        <f t="shared" si="78"/>
        <v>0</v>
      </c>
      <c r="AO212" s="119">
        <f t="shared" si="78"/>
        <v>0</v>
      </c>
      <c r="AP212" s="119">
        <f t="shared" si="78"/>
        <v>0</v>
      </c>
    </row>
    <row r="213" spans="1:42" x14ac:dyDescent="0.2">
      <c r="A213" s="88" t="s">
        <v>33</v>
      </c>
      <c r="C213" s="119">
        <f t="shared" ref="C213:AP213" si="79">-C633</f>
        <v>0</v>
      </c>
      <c r="D213" s="119">
        <f t="shared" si="79"/>
        <v>0</v>
      </c>
      <c r="E213" s="119">
        <f t="shared" si="79"/>
        <v>0</v>
      </c>
      <c r="F213" s="119">
        <f t="shared" si="79"/>
        <v>0</v>
      </c>
      <c r="G213" s="119">
        <f t="shared" si="79"/>
        <v>0</v>
      </c>
      <c r="H213" s="119">
        <f t="shared" si="79"/>
        <v>0</v>
      </c>
      <c r="I213" s="119">
        <f t="shared" si="79"/>
        <v>0</v>
      </c>
      <c r="J213" s="119">
        <f t="shared" si="79"/>
        <v>0</v>
      </c>
      <c r="K213" s="119">
        <f t="shared" si="79"/>
        <v>0</v>
      </c>
      <c r="L213" s="119">
        <f t="shared" si="79"/>
        <v>0</v>
      </c>
      <c r="M213" s="119">
        <f t="shared" si="79"/>
        <v>0</v>
      </c>
      <c r="N213" s="119">
        <f t="shared" si="79"/>
        <v>0</v>
      </c>
      <c r="O213" s="119">
        <f t="shared" si="79"/>
        <v>0</v>
      </c>
      <c r="P213" s="119">
        <f t="shared" si="79"/>
        <v>0</v>
      </c>
      <c r="Q213" s="119">
        <f t="shared" si="79"/>
        <v>0</v>
      </c>
      <c r="R213" s="119">
        <f t="shared" si="79"/>
        <v>0</v>
      </c>
      <c r="S213" s="119">
        <f t="shared" si="79"/>
        <v>0</v>
      </c>
      <c r="T213" s="119">
        <f t="shared" si="79"/>
        <v>0</v>
      </c>
      <c r="U213" s="119">
        <f t="shared" si="79"/>
        <v>0</v>
      </c>
      <c r="V213" s="119">
        <f t="shared" si="79"/>
        <v>0</v>
      </c>
      <c r="W213" s="119">
        <f t="shared" si="79"/>
        <v>0</v>
      </c>
      <c r="X213" s="119">
        <f t="shared" si="79"/>
        <v>0</v>
      </c>
      <c r="Y213" s="119">
        <f t="shared" si="79"/>
        <v>0</v>
      </c>
      <c r="Z213" s="119">
        <f t="shared" si="79"/>
        <v>0</v>
      </c>
      <c r="AA213" s="119">
        <f t="shared" si="79"/>
        <v>0</v>
      </c>
      <c r="AB213" s="119">
        <f t="shared" si="79"/>
        <v>0</v>
      </c>
      <c r="AC213" s="119">
        <f t="shared" si="79"/>
        <v>0</v>
      </c>
      <c r="AD213" s="119">
        <f t="shared" si="79"/>
        <v>0</v>
      </c>
      <c r="AE213" s="119">
        <f t="shared" si="79"/>
        <v>0</v>
      </c>
      <c r="AF213" s="119">
        <f t="shared" si="79"/>
        <v>0</v>
      </c>
      <c r="AG213" s="119">
        <f t="shared" si="79"/>
        <v>0</v>
      </c>
      <c r="AH213" s="119">
        <f t="shared" si="79"/>
        <v>0</v>
      </c>
      <c r="AI213" s="119">
        <f t="shared" si="79"/>
        <v>0</v>
      </c>
      <c r="AJ213" s="119">
        <f t="shared" si="79"/>
        <v>0</v>
      </c>
      <c r="AK213" s="119">
        <f t="shared" si="79"/>
        <v>0</v>
      </c>
      <c r="AL213" s="119">
        <f t="shared" si="79"/>
        <v>0</v>
      </c>
      <c r="AM213" s="119">
        <f t="shared" si="79"/>
        <v>0</v>
      </c>
      <c r="AN213" s="119">
        <f t="shared" si="79"/>
        <v>0</v>
      </c>
      <c r="AO213" s="119">
        <f t="shared" si="79"/>
        <v>0</v>
      </c>
      <c r="AP213" s="119">
        <f t="shared" si="79"/>
        <v>0</v>
      </c>
    </row>
    <row r="214" spans="1:42" x14ac:dyDescent="0.2">
      <c r="A214" s="88" t="s">
        <v>36</v>
      </c>
      <c r="C214" s="120">
        <f t="shared" ref="C214:AP214" si="80">IF(C$2&lt;=analysis_period,-C340-C370-C396-C422,0)</f>
        <v>-17512151.488518748</v>
      </c>
      <c r="D214" s="120">
        <f t="shared" si="80"/>
        <v>-28116454.960168749</v>
      </c>
      <c r="E214" s="120">
        <f t="shared" si="80"/>
        <v>-17060910.529075</v>
      </c>
      <c r="F214" s="120">
        <f t="shared" si="80"/>
        <v>-10422848.79976375</v>
      </c>
      <c r="G214" s="120">
        <f t="shared" si="80"/>
        <v>-10409827.355462501</v>
      </c>
      <c r="H214" s="120">
        <f t="shared" si="80"/>
        <v>-5430224.1230649995</v>
      </c>
      <c r="I214" s="120">
        <f t="shared" si="80"/>
        <v>-456877.94831875002</v>
      </c>
      <c r="J214" s="120">
        <f t="shared" si="80"/>
        <v>-456877.94831875002</v>
      </c>
      <c r="K214" s="120">
        <f t="shared" si="80"/>
        <v>-457047.05798500002</v>
      </c>
      <c r="L214" s="120">
        <f t="shared" si="80"/>
        <v>-456877.94831875002</v>
      </c>
      <c r="M214" s="120">
        <f t="shared" si="80"/>
        <v>-457047.05798500002</v>
      </c>
      <c r="N214" s="120">
        <f t="shared" si="80"/>
        <v>-456596.09887500003</v>
      </c>
      <c r="O214" s="120">
        <f t="shared" si="80"/>
        <v>-457047.05798500002</v>
      </c>
      <c r="P214" s="120">
        <f t="shared" si="80"/>
        <v>-456596.09887500003</v>
      </c>
      <c r="Q214" s="120">
        <f t="shared" si="80"/>
        <v>-3282825.5902662822</v>
      </c>
      <c r="R214" s="120">
        <f t="shared" si="80"/>
        <v>-4834369.1096785516</v>
      </c>
      <c r="S214" s="120">
        <f t="shared" si="80"/>
        <v>-2882019.4025196312</v>
      </c>
      <c r="T214" s="120">
        <f t="shared" si="80"/>
        <v>-1796855.5080117784</v>
      </c>
      <c r="U214" s="120">
        <f t="shared" si="80"/>
        <v>-1796855.5080117784</v>
      </c>
      <c r="V214" s="120">
        <f t="shared" si="80"/>
        <v>-982982.58713088918</v>
      </c>
      <c r="W214" s="120">
        <f t="shared" si="80"/>
        <v>-84554.833125000005</v>
      </c>
      <c r="X214" s="120">
        <f t="shared" si="80"/>
        <v>0</v>
      </c>
      <c r="Y214" s="120">
        <f t="shared" si="80"/>
        <v>0</v>
      </c>
      <c r="Z214" s="120">
        <f t="shared" si="80"/>
        <v>0</v>
      </c>
      <c r="AA214" s="120">
        <f t="shared" si="80"/>
        <v>0</v>
      </c>
      <c r="AB214" s="120">
        <f t="shared" si="80"/>
        <v>0</v>
      </c>
      <c r="AC214" s="120">
        <f t="shared" si="80"/>
        <v>0</v>
      </c>
      <c r="AD214" s="120">
        <f t="shared" si="80"/>
        <v>0</v>
      </c>
      <c r="AE214" s="120">
        <f t="shared" si="80"/>
        <v>0</v>
      </c>
      <c r="AF214" s="120">
        <f t="shared" si="80"/>
        <v>0</v>
      </c>
      <c r="AG214" s="120">
        <f t="shared" si="80"/>
        <v>0</v>
      </c>
      <c r="AH214" s="120">
        <f t="shared" si="80"/>
        <v>0</v>
      </c>
      <c r="AI214" s="120">
        <f t="shared" si="80"/>
        <v>0</v>
      </c>
      <c r="AJ214" s="120">
        <f t="shared" si="80"/>
        <v>0</v>
      </c>
      <c r="AK214" s="120">
        <f t="shared" si="80"/>
        <v>0</v>
      </c>
      <c r="AL214" s="120">
        <f t="shared" si="80"/>
        <v>0</v>
      </c>
      <c r="AM214" s="120">
        <f t="shared" si="80"/>
        <v>0</v>
      </c>
      <c r="AN214" s="120">
        <f t="shared" si="80"/>
        <v>0</v>
      </c>
      <c r="AO214" s="120">
        <f t="shared" si="80"/>
        <v>0</v>
      </c>
      <c r="AP214" s="120">
        <f t="shared" si="80"/>
        <v>0</v>
      </c>
    </row>
    <row r="215" spans="1:42" x14ac:dyDescent="0.2">
      <c r="A215" s="88" t="s">
        <v>188</v>
      </c>
      <c r="C215" s="119">
        <f t="shared" ref="C215:AP215" si="81">SUM(C211:C214)</f>
        <v>-10526476.488518748</v>
      </c>
      <c r="D215" s="119">
        <f t="shared" si="81"/>
        <v>-21114310.8033273</v>
      </c>
      <c r="E215" s="119">
        <f t="shared" si="81"/>
        <v>-10043028.856017105</v>
      </c>
      <c r="F215" s="119">
        <f t="shared" si="81"/>
        <v>-3389964.5421300307</v>
      </c>
      <c r="G215" s="119">
        <f t="shared" si="81"/>
        <v>-3362719.3181845993</v>
      </c>
      <c r="H215" s="119">
        <f t="shared" si="81"/>
        <v>1630314.4188021543</v>
      </c>
      <c r="I215" s="119">
        <f t="shared" si="81"/>
        <v>6616282.7412063489</v>
      </c>
      <c r="J215" s="119">
        <f t="shared" si="81"/>
        <v>6628060.823009707</v>
      </c>
      <c r="K215" s="119">
        <f t="shared" si="81"/>
        <v>6638799.3776458632</v>
      </c>
      <c r="L215" s="119">
        <f t="shared" si="81"/>
        <v>6648988.7236760445</v>
      </c>
      <c r="M215" s="119">
        <f t="shared" si="81"/>
        <v>6657924.7367367847</v>
      </c>
      <c r="N215" s="119">
        <f t="shared" si="81"/>
        <v>6666527.3270959165</v>
      </c>
      <c r="O215" s="119">
        <f t="shared" si="81"/>
        <v>6673255.4204702396</v>
      </c>
      <c r="P215" s="119">
        <f t="shared" si="81"/>
        <v>6679883.0388306342</v>
      </c>
      <c r="Q215" s="119">
        <f t="shared" si="81"/>
        <v>3858787.2536249696</v>
      </c>
      <c r="R215" s="119">
        <f t="shared" si="81"/>
        <v>2134711.4358852021</v>
      </c>
      <c r="S215" s="119">
        <f t="shared" si="81"/>
        <v>4078269.4066832168</v>
      </c>
      <c r="T215" s="119">
        <f t="shared" si="81"/>
        <v>5153522.2714211419</v>
      </c>
      <c r="U215" s="119">
        <f t="shared" si="81"/>
        <v>5142448.2159069646</v>
      </c>
      <c r="V215" s="119">
        <f t="shared" si="81"/>
        <v>5944059.4798858222</v>
      </c>
      <c r="W215" s="119">
        <f t="shared" si="81"/>
        <v>6828992.53556713</v>
      </c>
      <c r="X215" s="119">
        <f t="shared" si="81"/>
        <v>6898793.302909432</v>
      </c>
      <c r="Y215" s="119">
        <f t="shared" si="81"/>
        <v>6882742.6354821688</v>
      </c>
      <c r="Z215" s="119">
        <f t="shared" si="81"/>
        <v>6865367.2013692223</v>
      </c>
      <c r="AA215" s="119">
        <f t="shared" si="81"/>
        <v>6846607.8814034527</v>
      </c>
      <c r="AB215" s="119">
        <f t="shared" si="81"/>
        <v>0</v>
      </c>
      <c r="AC215" s="119">
        <f t="shared" si="81"/>
        <v>0</v>
      </c>
      <c r="AD215" s="119">
        <f t="shared" si="81"/>
        <v>0</v>
      </c>
      <c r="AE215" s="119">
        <f t="shared" si="81"/>
        <v>0</v>
      </c>
      <c r="AF215" s="119">
        <f t="shared" si="81"/>
        <v>0</v>
      </c>
      <c r="AG215" s="119">
        <f t="shared" si="81"/>
        <v>0</v>
      </c>
      <c r="AH215" s="119">
        <f t="shared" si="81"/>
        <v>0</v>
      </c>
      <c r="AI215" s="119">
        <f t="shared" si="81"/>
        <v>0</v>
      </c>
      <c r="AJ215" s="119">
        <f t="shared" si="81"/>
        <v>0</v>
      </c>
      <c r="AK215" s="119">
        <f t="shared" si="81"/>
        <v>0</v>
      </c>
      <c r="AL215" s="119">
        <f t="shared" si="81"/>
        <v>0</v>
      </c>
      <c r="AM215" s="119">
        <f t="shared" si="81"/>
        <v>0</v>
      </c>
      <c r="AN215" s="119">
        <f t="shared" si="81"/>
        <v>0</v>
      </c>
      <c r="AO215" s="119">
        <f t="shared" si="81"/>
        <v>0</v>
      </c>
      <c r="AP215" s="119">
        <f t="shared" si="81"/>
        <v>0</v>
      </c>
    </row>
    <row r="216" spans="1:42" x14ac:dyDescent="0.2">
      <c r="A216" s="88" t="str">
        <f>Inputs!B126</f>
        <v>Investment Based Incentive (IBI)</v>
      </c>
    </row>
    <row r="217" spans="1:42" x14ac:dyDescent="0.2">
      <c r="A217" s="89" t="str">
        <f>Inputs!B127</f>
        <v>As fixed amount</v>
      </c>
    </row>
    <row r="218" spans="1:42" x14ac:dyDescent="0.2">
      <c r="A218" s="82" t="s">
        <v>4</v>
      </c>
      <c r="C218" s="119">
        <f>IF(ibi_fed_amount_tax_sta="Yes",C591,0)</f>
        <v>0</v>
      </c>
    </row>
    <row r="219" spans="1:42" x14ac:dyDescent="0.2">
      <c r="A219" s="82" t="s">
        <v>5</v>
      </c>
      <c r="C219" s="119">
        <f>IF(ibi_sta_amount_tax_sta="Yes",C592,0)</f>
        <v>0</v>
      </c>
    </row>
    <row r="220" spans="1:42" x14ac:dyDescent="0.2">
      <c r="A220" s="82" t="s">
        <v>186</v>
      </c>
      <c r="C220" s="119">
        <f>IF(ibi_uti_amount_tax_sta="Yes",C593,0)</f>
        <v>0</v>
      </c>
    </row>
    <row r="221" spans="1:42" x14ac:dyDescent="0.2">
      <c r="A221" s="82" t="s">
        <v>187</v>
      </c>
      <c r="C221" s="120">
        <f>IF(ibi_oth_amount_tax_sta="Yes",C594,0)</f>
        <v>0</v>
      </c>
    </row>
    <row r="222" spans="1:42" x14ac:dyDescent="0.2">
      <c r="A222" s="82" t="s">
        <v>13</v>
      </c>
      <c r="C222" s="119">
        <f>SUM(C218:C221)</f>
        <v>0</v>
      </c>
    </row>
    <row r="223" spans="1:42" x14ac:dyDescent="0.2">
      <c r="A223" s="89" t="str">
        <f>Inputs!B132</f>
        <v>As percentage</v>
      </c>
      <c r="C223" s="15"/>
    </row>
    <row r="224" spans="1:42" x14ac:dyDescent="0.2">
      <c r="A224" s="82" t="s">
        <v>4</v>
      </c>
      <c r="C224" s="119">
        <f>IF(ibi_fed_percent_tax_sta="Yes",C597,0)</f>
        <v>0</v>
      </c>
    </row>
    <row r="225" spans="1:42" x14ac:dyDescent="0.2">
      <c r="A225" s="82" t="s">
        <v>5</v>
      </c>
      <c r="C225" s="119">
        <f>IF(ibi_sta_percent_tax_sta="Yes",C598,0)</f>
        <v>0</v>
      </c>
    </row>
    <row r="226" spans="1:42" x14ac:dyDescent="0.2">
      <c r="A226" s="82" t="s">
        <v>186</v>
      </c>
      <c r="C226" s="119">
        <f>IF(ibi_uti_percent_tax_sta="Yes",C599,0)</f>
        <v>0</v>
      </c>
    </row>
    <row r="227" spans="1:42" x14ac:dyDescent="0.2">
      <c r="A227" s="82" t="s">
        <v>187</v>
      </c>
      <c r="C227" s="120">
        <f>IF(ibi_oth_percent_tax_sta="Yes",C600,0)</f>
        <v>0</v>
      </c>
    </row>
    <row r="228" spans="1:42" x14ac:dyDescent="0.2">
      <c r="A228" s="82" t="s">
        <v>13</v>
      </c>
      <c r="C228" s="119">
        <f>SUM(C224:C227)</f>
        <v>0</v>
      </c>
    </row>
    <row r="229" spans="1:42" x14ac:dyDescent="0.2">
      <c r="A229" s="88" t="str">
        <f>Inputs!B137</f>
        <v>Capacity Based Incentive (CBI)</v>
      </c>
    </row>
    <row r="230" spans="1:42" x14ac:dyDescent="0.2">
      <c r="A230" s="89" t="s">
        <v>4</v>
      </c>
      <c r="C230" s="119">
        <f>IF(cbi_fed_tax_sta="Yes",C604,0)</f>
        <v>0</v>
      </c>
    </row>
    <row r="231" spans="1:42" x14ac:dyDescent="0.2">
      <c r="A231" s="89" t="s">
        <v>5</v>
      </c>
      <c r="C231" s="119">
        <f>IF(cbi_sta_tax_sta="Yes",C605,0)</f>
        <v>0</v>
      </c>
    </row>
    <row r="232" spans="1:42" x14ac:dyDescent="0.2">
      <c r="A232" s="89" t="s">
        <v>186</v>
      </c>
      <c r="C232" s="119">
        <f>IF(cbi_uti_tax_sta="Yes",C606,0)</f>
        <v>0</v>
      </c>
    </row>
    <row r="233" spans="1:42" x14ac:dyDescent="0.2">
      <c r="A233" s="89" t="s">
        <v>187</v>
      </c>
      <c r="C233" s="120">
        <f>IF(cbi_oth_tax_sta="Yes",C607,0)</f>
        <v>0</v>
      </c>
    </row>
    <row r="234" spans="1:42" x14ac:dyDescent="0.2">
      <c r="A234" s="89" t="s">
        <v>13</v>
      </c>
      <c r="C234" s="119">
        <f>SUM(C230:C233)</f>
        <v>0</v>
      </c>
    </row>
    <row r="235" spans="1:42" x14ac:dyDescent="0.2">
      <c r="A235" s="88" t="str">
        <f>Inputs!B142</f>
        <v>Production Based Incentive (PBI)</v>
      </c>
      <c r="C235" s="15"/>
    </row>
    <row r="236" spans="1:42" x14ac:dyDescent="0.2">
      <c r="A236" s="89" t="s">
        <v>4</v>
      </c>
      <c r="C236" s="119">
        <f t="shared" ref="C236:AP236" si="82">IF(AND(pbi_fed_tax_sta="Yes",pbi_fed_for_ds="No"),C614,0)</f>
        <v>0</v>
      </c>
      <c r="D236" s="119">
        <f t="shared" si="82"/>
        <v>0</v>
      </c>
      <c r="E236" s="119">
        <f t="shared" si="82"/>
        <v>0</v>
      </c>
      <c r="F236" s="119">
        <f t="shared" si="82"/>
        <v>0</v>
      </c>
      <c r="G236" s="119">
        <f t="shared" si="82"/>
        <v>0</v>
      </c>
      <c r="H236" s="119">
        <f t="shared" si="82"/>
        <v>0</v>
      </c>
      <c r="I236" s="119">
        <f t="shared" si="82"/>
        <v>0</v>
      </c>
      <c r="J236" s="119">
        <f t="shared" si="82"/>
        <v>0</v>
      </c>
      <c r="K236" s="119">
        <f t="shared" si="82"/>
        <v>0</v>
      </c>
      <c r="L236" s="119">
        <f t="shared" si="82"/>
        <v>0</v>
      </c>
      <c r="M236" s="119">
        <f t="shared" si="82"/>
        <v>0</v>
      </c>
      <c r="N236" s="119">
        <f t="shared" si="82"/>
        <v>0</v>
      </c>
      <c r="O236" s="119">
        <f t="shared" si="82"/>
        <v>0</v>
      </c>
      <c r="P236" s="119">
        <f t="shared" si="82"/>
        <v>0</v>
      </c>
      <c r="Q236" s="119">
        <f t="shared" si="82"/>
        <v>0</v>
      </c>
      <c r="R236" s="119">
        <f t="shared" si="82"/>
        <v>0</v>
      </c>
      <c r="S236" s="119">
        <f t="shared" si="82"/>
        <v>0</v>
      </c>
      <c r="T236" s="119">
        <f t="shared" si="82"/>
        <v>0</v>
      </c>
      <c r="U236" s="119">
        <f t="shared" si="82"/>
        <v>0</v>
      </c>
      <c r="V236" s="119">
        <f t="shared" si="82"/>
        <v>0</v>
      </c>
      <c r="W236" s="119">
        <f t="shared" si="82"/>
        <v>0</v>
      </c>
      <c r="X236" s="119">
        <f t="shared" si="82"/>
        <v>0</v>
      </c>
      <c r="Y236" s="119">
        <f t="shared" si="82"/>
        <v>0</v>
      </c>
      <c r="Z236" s="119">
        <f t="shared" si="82"/>
        <v>0</v>
      </c>
      <c r="AA236" s="119">
        <f t="shared" si="82"/>
        <v>0</v>
      </c>
      <c r="AB236" s="119">
        <f t="shared" si="82"/>
        <v>0</v>
      </c>
      <c r="AC236" s="119">
        <f t="shared" si="82"/>
        <v>0</v>
      </c>
      <c r="AD236" s="119">
        <f t="shared" si="82"/>
        <v>0</v>
      </c>
      <c r="AE236" s="119">
        <f t="shared" si="82"/>
        <v>0</v>
      </c>
      <c r="AF236" s="119">
        <f t="shared" si="82"/>
        <v>0</v>
      </c>
      <c r="AG236" s="119">
        <f t="shared" si="82"/>
        <v>0</v>
      </c>
      <c r="AH236" s="119">
        <f t="shared" si="82"/>
        <v>0</v>
      </c>
      <c r="AI236" s="119">
        <f t="shared" si="82"/>
        <v>0</v>
      </c>
      <c r="AJ236" s="119">
        <f t="shared" si="82"/>
        <v>0</v>
      </c>
      <c r="AK236" s="119">
        <f t="shared" si="82"/>
        <v>0</v>
      </c>
      <c r="AL236" s="119">
        <f t="shared" si="82"/>
        <v>0</v>
      </c>
      <c r="AM236" s="119">
        <f t="shared" si="82"/>
        <v>0</v>
      </c>
      <c r="AN236" s="119">
        <f t="shared" si="82"/>
        <v>0</v>
      </c>
      <c r="AO236" s="119">
        <f t="shared" si="82"/>
        <v>0</v>
      </c>
      <c r="AP236" s="119">
        <f t="shared" si="82"/>
        <v>0</v>
      </c>
    </row>
    <row r="237" spans="1:42" x14ac:dyDescent="0.2">
      <c r="A237" s="89" t="s">
        <v>5</v>
      </c>
      <c r="C237" s="119">
        <f t="shared" ref="C237:AP237" si="83">IF(AND(pbi_sta_tax_sta="Yes",pbi_sta_for_ds="No"),C618,0)</f>
        <v>0</v>
      </c>
      <c r="D237" s="119">
        <f t="shared" si="83"/>
        <v>0</v>
      </c>
      <c r="E237" s="119">
        <f t="shared" si="83"/>
        <v>0</v>
      </c>
      <c r="F237" s="119">
        <f t="shared" si="83"/>
        <v>0</v>
      </c>
      <c r="G237" s="119">
        <f t="shared" si="83"/>
        <v>0</v>
      </c>
      <c r="H237" s="119">
        <f t="shared" si="83"/>
        <v>0</v>
      </c>
      <c r="I237" s="119">
        <f t="shared" si="83"/>
        <v>0</v>
      </c>
      <c r="J237" s="119">
        <f t="shared" si="83"/>
        <v>0</v>
      </c>
      <c r="K237" s="119">
        <f t="shared" si="83"/>
        <v>0</v>
      </c>
      <c r="L237" s="119">
        <f t="shared" si="83"/>
        <v>0</v>
      </c>
      <c r="M237" s="119">
        <f t="shared" si="83"/>
        <v>0</v>
      </c>
      <c r="N237" s="119">
        <f t="shared" si="83"/>
        <v>0</v>
      </c>
      <c r="O237" s="119">
        <f t="shared" si="83"/>
        <v>0</v>
      </c>
      <c r="P237" s="119">
        <f t="shared" si="83"/>
        <v>0</v>
      </c>
      <c r="Q237" s="119">
        <f t="shared" si="83"/>
        <v>0</v>
      </c>
      <c r="R237" s="119">
        <f t="shared" si="83"/>
        <v>0</v>
      </c>
      <c r="S237" s="119">
        <f t="shared" si="83"/>
        <v>0</v>
      </c>
      <c r="T237" s="119">
        <f t="shared" si="83"/>
        <v>0</v>
      </c>
      <c r="U237" s="119">
        <f t="shared" si="83"/>
        <v>0</v>
      </c>
      <c r="V237" s="119">
        <f t="shared" si="83"/>
        <v>0</v>
      </c>
      <c r="W237" s="119">
        <f t="shared" si="83"/>
        <v>0</v>
      </c>
      <c r="X237" s="119">
        <f t="shared" si="83"/>
        <v>0</v>
      </c>
      <c r="Y237" s="119">
        <f t="shared" si="83"/>
        <v>0</v>
      </c>
      <c r="Z237" s="119">
        <f t="shared" si="83"/>
        <v>0</v>
      </c>
      <c r="AA237" s="119">
        <f t="shared" si="83"/>
        <v>0</v>
      </c>
      <c r="AB237" s="119">
        <f t="shared" si="83"/>
        <v>0</v>
      </c>
      <c r="AC237" s="119">
        <f t="shared" si="83"/>
        <v>0</v>
      </c>
      <c r="AD237" s="119">
        <f t="shared" si="83"/>
        <v>0</v>
      </c>
      <c r="AE237" s="119">
        <f t="shared" si="83"/>
        <v>0</v>
      </c>
      <c r="AF237" s="119">
        <f t="shared" si="83"/>
        <v>0</v>
      </c>
      <c r="AG237" s="119">
        <f t="shared" si="83"/>
        <v>0</v>
      </c>
      <c r="AH237" s="119">
        <f t="shared" si="83"/>
        <v>0</v>
      </c>
      <c r="AI237" s="119">
        <f t="shared" si="83"/>
        <v>0</v>
      </c>
      <c r="AJ237" s="119">
        <f t="shared" si="83"/>
        <v>0</v>
      </c>
      <c r="AK237" s="119">
        <f t="shared" si="83"/>
        <v>0</v>
      </c>
      <c r="AL237" s="119">
        <f t="shared" si="83"/>
        <v>0</v>
      </c>
      <c r="AM237" s="119">
        <f t="shared" si="83"/>
        <v>0</v>
      </c>
      <c r="AN237" s="119">
        <f t="shared" si="83"/>
        <v>0</v>
      </c>
      <c r="AO237" s="119">
        <f t="shared" si="83"/>
        <v>0</v>
      </c>
      <c r="AP237" s="119">
        <f t="shared" si="83"/>
        <v>0</v>
      </c>
    </row>
    <row r="238" spans="1:42" x14ac:dyDescent="0.2">
      <c r="A238" s="89" t="s">
        <v>186</v>
      </c>
      <c r="C238" s="119">
        <f t="shared" ref="C238:AP238" si="84">IF(AND(pbi_uti_tax_sta="Yes",pbi_uti_for_ds="No"),C622,0)</f>
        <v>0</v>
      </c>
      <c r="D238" s="119">
        <f t="shared" si="84"/>
        <v>0</v>
      </c>
      <c r="E238" s="119">
        <f t="shared" si="84"/>
        <v>0</v>
      </c>
      <c r="F238" s="119">
        <f t="shared" si="84"/>
        <v>0</v>
      </c>
      <c r="G238" s="119">
        <f t="shared" si="84"/>
        <v>0</v>
      </c>
      <c r="H238" s="119">
        <f t="shared" si="84"/>
        <v>0</v>
      </c>
      <c r="I238" s="119">
        <f t="shared" si="84"/>
        <v>0</v>
      </c>
      <c r="J238" s="119">
        <f t="shared" si="84"/>
        <v>0</v>
      </c>
      <c r="K238" s="119">
        <f t="shared" si="84"/>
        <v>0</v>
      </c>
      <c r="L238" s="119">
        <f t="shared" si="84"/>
        <v>0</v>
      </c>
      <c r="M238" s="119">
        <f t="shared" si="84"/>
        <v>0</v>
      </c>
      <c r="N238" s="119">
        <f t="shared" si="84"/>
        <v>0</v>
      </c>
      <c r="O238" s="119">
        <f t="shared" si="84"/>
        <v>0</v>
      </c>
      <c r="P238" s="119">
        <f t="shared" si="84"/>
        <v>0</v>
      </c>
      <c r="Q238" s="119">
        <f t="shared" si="84"/>
        <v>0</v>
      </c>
      <c r="R238" s="119">
        <f t="shared" si="84"/>
        <v>0</v>
      </c>
      <c r="S238" s="119">
        <f t="shared" si="84"/>
        <v>0</v>
      </c>
      <c r="T238" s="119">
        <f t="shared" si="84"/>
        <v>0</v>
      </c>
      <c r="U238" s="119">
        <f t="shared" si="84"/>
        <v>0</v>
      </c>
      <c r="V238" s="119">
        <f t="shared" si="84"/>
        <v>0</v>
      </c>
      <c r="W238" s="119">
        <f t="shared" si="84"/>
        <v>0</v>
      </c>
      <c r="X238" s="119">
        <f t="shared" si="84"/>
        <v>0</v>
      </c>
      <c r="Y238" s="119">
        <f t="shared" si="84"/>
        <v>0</v>
      </c>
      <c r="Z238" s="119">
        <f t="shared" si="84"/>
        <v>0</v>
      </c>
      <c r="AA238" s="119">
        <f t="shared" si="84"/>
        <v>0</v>
      </c>
      <c r="AB238" s="119">
        <f t="shared" si="84"/>
        <v>0</v>
      </c>
      <c r="AC238" s="119">
        <f t="shared" si="84"/>
        <v>0</v>
      </c>
      <c r="AD238" s="119">
        <f t="shared" si="84"/>
        <v>0</v>
      </c>
      <c r="AE238" s="119">
        <f t="shared" si="84"/>
        <v>0</v>
      </c>
      <c r="AF238" s="119">
        <f t="shared" si="84"/>
        <v>0</v>
      </c>
      <c r="AG238" s="119">
        <f t="shared" si="84"/>
        <v>0</v>
      </c>
      <c r="AH238" s="119">
        <f t="shared" si="84"/>
        <v>0</v>
      </c>
      <c r="AI238" s="119">
        <f t="shared" si="84"/>
        <v>0</v>
      </c>
      <c r="AJ238" s="119">
        <f t="shared" si="84"/>
        <v>0</v>
      </c>
      <c r="AK238" s="119">
        <f t="shared" si="84"/>
        <v>0</v>
      </c>
      <c r="AL238" s="119">
        <f t="shared" si="84"/>
        <v>0</v>
      </c>
      <c r="AM238" s="119">
        <f t="shared" si="84"/>
        <v>0</v>
      </c>
      <c r="AN238" s="119">
        <f t="shared" si="84"/>
        <v>0</v>
      </c>
      <c r="AO238" s="119">
        <f t="shared" si="84"/>
        <v>0</v>
      </c>
      <c r="AP238" s="119">
        <f t="shared" si="84"/>
        <v>0</v>
      </c>
    </row>
    <row r="239" spans="1:42" x14ac:dyDescent="0.2">
      <c r="A239" s="89" t="s">
        <v>187</v>
      </c>
      <c r="C239" s="120">
        <f t="shared" ref="C239:AP239" si="85">IF(AND(pbi_oth_tax_sta="Yes",pbi_oth_for_ds="No"),C626,0)</f>
        <v>0</v>
      </c>
      <c r="D239" s="120">
        <f t="shared" si="85"/>
        <v>0</v>
      </c>
      <c r="E239" s="120">
        <f t="shared" si="85"/>
        <v>0</v>
      </c>
      <c r="F239" s="120">
        <f t="shared" si="85"/>
        <v>0</v>
      </c>
      <c r="G239" s="120">
        <f t="shared" si="85"/>
        <v>0</v>
      </c>
      <c r="H239" s="120">
        <f t="shared" si="85"/>
        <v>0</v>
      </c>
      <c r="I239" s="120">
        <f t="shared" si="85"/>
        <v>0</v>
      </c>
      <c r="J239" s="120">
        <f t="shared" si="85"/>
        <v>0</v>
      </c>
      <c r="K239" s="120">
        <f t="shared" si="85"/>
        <v>0</v>
      </c>
      <c r="L239" s="120">
        <f t="shared" si="85"/>
        <v>0</v>
      </c>
      <c r="M239" s="120">
        <f t="shared" si="85"/>
        <v>0</v>
      </c>
      <c r="N239" s="120">
        <f t="shared" si="85"/>
        <v>0</v>
      </c>
      <c r="O239" s="120">
        <f t="shared" si="85"/>
        <v>0</v>
      </c>
      <c r="P239" s="120">
        <f t="shared" si="85"/>
        <v>0</v>
      </c>
      <c r="Q239" s="120">
        <f t="shared" si="85"/>
        <v>0</v>
      </c>
      <c r="R239" s="120">
        <f t="shared" si="85"/>
        <v>0</v>
      </c>
      <c r="S239" s="120">
        <f t="shared" si="85"/>
        <v>0</v>
      </c>
      <c r="T239" s="120">
        <f t="shared" si="85"/>
        <v>0</v>
      </c>
      <c r="U239" s="120">
        <f t="shared" si="85"/>
        <v>0</v>
      </c>
      <c r="V239" s="120">
        <f t="shared" si="85"/>
        <v>0</v>
      </c>
      <c r="W239" s="120">
        <f t="shared" si="85"/>
        <v>0</v>
      </c>
      <c r="X239" s="120">
        <f t="shared" si="85"/>
        <v>0</v>
      </c>
      <c r="Y239" s="120">
        <f t="shared" si="85"/>
        <v>0</v>
      </c>
      <c r="Z239" s="120">
        <f t="shared" si="85"/>
        <v>0</v>
      </c>
      <c r="AA239" s="120">
        <f t="shared" si="85"/>
        <v>0</v>
      </c>
      <c r="AB239" s="120">
        <f t="shared" si="85"/>
        <v>0</v>
      </c>
      <c r="AC239" s="120">
        <f t="shared" si="85"/>
        <v>0</v>
      </c>
      <c r="AD239" s="120">
        <f t="shared" si="85"/>
        <v>0</v>
      </c>
      <c r="AE239" s="120">
        <f t="shared" si="85"/>
        <v>0</v>
      </c>
      <c r="AF239" s="120">
        <f t="shared" si="85"/>
        <v>0</v>
      </c>
      <c r="AG239" s="120">
        <f t="shared" si="85"/>
        <v>0</v>
      </c>
      <c r="AH239" s="120">
        <f t="shared" si="85"/>
        <v>0</v>
      </c>
      <c r="AI239" s="120">
        <f t="shared" si="85"/>
        <v>0</v>
      </c>
      <c r="AJ239" s="120">
        <f t="shared" si="85"/>
        <v>0</v>
      </c>
      <c r="AK239" s="120">
        <f t="shared" si="85"/>
        <v>0</v>
      </c>
      <c r="AL239" s="120">
        <f t="shared" si="85"/>
        <v>0</v>
      </c>
      <c r="AM239" s="120">
        <f t="shared" si="85"/>
        <v>0</v>
      </c>
      <c r="AN239" s="120">
        <f t="shared" si="85"/>
        <v>0</v>
      </c>
      <c r="AO239" s="120">
        <f t="shared" si="85"/>
        <v>0</v>
      </c>
      <c r="AP239" s="120">
        <f t="shared" si="85"/>
        <v>0</v>
      </c>
    </row>
    <row r="240" spans="1:42" x14ac:dyDescent="0.2">
      <c r="A240" s="89" t="s">
        <v>13</v>
      </c>
      <c r="C240" s="148">
        <f>SUM(C236:C239)</f>
        <v>0</v>
      </c>
      <c r="D240" s="148">
        <f t="shared" ref="D240:AL240" si="86">SUM(D236:D239)</f>
        <v>0</v>
      </c>
      <c r="E240" s="148">
        <f t="shared" si="86"/>
        <v>0</v>
      </c>
      <c r="F240" s="148">
        <f t="shared" si="86"/>
        <v>0</v>
      </c>
      <c r="G240" s="148">
        <f t="shared" si="86"/>
        <v>0</v>
      </c>
      <c r="H240" s="148">
        <f t="shared" si="86"/>
        <v>0</v>
      </c>
      <c r="I240" s="148">
        <f t="shared" si="86"/>
        <v>0</v>
      </c>
      <c r="J240" s="148">
        <f t="shared" si="86"/>
        <v>0</v>
      </c>
      <c r="K240" s="148">
        <f t="shared" si="86"/>
        <v>0</v>
      </c>
      <c r="L240" s="148">
        <f t="shared" si="86"/>
        <v>0</v>
      </c>
      <c r="M240" s="148">
        <f t="shared" si="86"/>
        <v>0</v>
      </c>
      <c r="N240" s="148">
        <f t="shared" si="86"/>
        <v>0</v>
      </c>
      <c r="O240" s="148">
        <f t="shared" si="86"/>
        <v>0</v>
      </c>
      <c r="P240" s="148">
        <f t="shared" si="86"/>
        <v>0</v>
      </c>
      <c r="Q240" s="148">
        <f t="shared" si="86"/>
        <v>0</v>
      </c>
      <c r="R240" s="148">
        <f t="shared" si="86"/>
        <v>0</v>
      </c>
      <c r="S240" s="148">
        <f t="shared" si="86"/>
        <v>0</v>
      </c>
      <c r="T240" s="148">
        <f t="shared" si="86"/>
        <v>0</v>
      </c>
      <c r="U240" s="148">
        <f t="shared" si="86"/>
        <v>0</v>
      </c>
      <c r="V240" s="148">
        <f t="shared" si="86"/>
        <v>0</v>
      </c>
      <c r="W240" s="148">
        <f t="shared" si="86"/>
        <v>0</v>
      </c>
      <c r="X240" s="148">
        <f t="shared" si="86"/>
        <v>0</v>
      </c>
      <c r="Y240" s="148">
        <f t="shared" si="86"/>
        <v>0</v>
      </c>
      <c r="Z240" s="148">
        <f t="shared" si="86"/>
        <v>0</v>
      </c>
      <c r="AA240" s="148">
        <f t="shared" si="86"/>
        <v>0</v>
      </c>
      <c r="AB240" s="148">
        <f t="shared" si="86"/>
        <v>0</v>
      </c>
      <c r="AC240" s="148">
        <f t="shared" si="86"/>
        <v>0</v>
      </c>
      <c r="AD240" s="148">
        <f t="shared" si="86"/>
        <v>0</v>
      </c>
      <c r="AE240" s="148">
        <f t="shared" si="86"/>
        <v>0</v>
      </c>
      <c r="AF240" s="148">
        <f t="shared" si="86"/>
        <v>0</v>
      </c>
      <c r="AG240" s="148">
        <f t="shared" si="86"/>
        <v>0</v>
      </c>
      <c r="AH240" s="148">
        <f t="shared" si="86"/>
        <v>0</v>
      </c>
      <c r="AI240" s="148">
        <f t="shared" si="86"/>
        <v>0</v>
      </c>
      <c r="AJ240" s="148">
        <f t="shared" si="86"/>
        <v>0</v>
      </c>
      <c r="AK240" s="148">
        <f t="shared" si="86"/>
        <v>0</v>
      </c>
      <c r="AL240" s="148">
        <f t="shared" si="86"/>
        <v>0</v>
      </c>
      <c r="AM240" s="148">
        <f>SUM(AM236:AM239)</f>
        <v>0</v>
      </c>
      <c r="AN240" s="148">
        <f t="shared" ref="AN240:AP240" si="87">SUM(AN236:AN239)</f>
        <v>0</v>
      </c>
      <c r="AO240" s="148">
        <f t="shared" si="87"/>
        <v>0</v>
      </c>
      <c r="AP240" s="148">
        <f t="shared" si="87"/>
        <v>0</v>
      </c>
    </row>
    <row r="241" spans="1:42" x14ac:dyDescent="0.2">
      <c r="A241" s="88" t="s">
        <v>42</v>
      </c>
      <c r="C241" s="119">
        <f>C222+C228+C234+C240</f>
        <v>0</v>
      </c>
      <c r="D241" s="119">
        <f>D222+D228+D234+D240</f>
        <v>0</v>
      </c>
      <c r="E241" s="119">
        <f t="shared" ref="E241:AP241" si="88">E222+E228+E234+E240</f>
        <v>0</v>
      </c>
      <c r="F241" s="119">
        <f t="shared" si="88"/>
        <v>0</v>
      </c>
      <c r="G241" s="119">
        <f t="shared" si="88"/>
        <v>0</v>
      </c>
      <c r="H241" s="119">
        <f t="shared" si="88"/>
        <v>0</v>
      </c>
      <c r="I241" s="119">
        <f t="shared" si="88"/>
        <v>0</v>
      </c>
      <c r="J241" s="119">
        <f t="shared" si="88"/>
        <v>0</v>
      </c>
      <c r="K241" s="119">
        <f t="shared" si="88"/>
        <v>0</v>
      </c>
      <c r="L241" s="119">
        <f t="shared" si="88"/>
        <v>0</v>
      </c>
      <c r="M241" s="119">
        <f t="shared" si="88"/>
        <v>0</v>
      </c>
      <c r="N241" s="119">
        <f t="shared" si="88"/>
        <v>0</v>
      </c>
      <c r="O241" s="119">
        <f t="shared" si="88"/>
        <v>0</v>
      </c>
      <c r="P241" s="119">
        <f t="shared" si="88"/>
        <v>0</v>
      </c>
      <c r="Q241" s="119">
        <f t="shared" si="88"/>
        <v>0</v>
      </c>
      <c r="R241" s="119">
        <f t="shared" si="88"/>
        <v>0</v>
      </c>
      <c r="S241" s="119">
        <f t="shared" si="88"/>
        <v>0</v>
      </c>
      <c r="T241" s="119">
        <f t="shared" si="88"/>
        <v>0</v>
      </c>
      <c r="U241" s="119">
        <f t="shared" si="88"/>
        <v>0</v>
      </c>
      <c r="V241" s="119">
        <f t="shared" si="88"/>
        <v>0</v>
      </c>
      <c r="W241" s="119">
        <f t="shared" si="88"/>
        <v>0</v>
      </c>
      <c r="X241" s="119">
        <f t="shared" si="88"/>
        <v>0</v>
      </c>
      <c r="Y241" s="119">
        <f t="shared" si="88"/>
        <v>0</v>
      </c>
      <c r="Z241" s="119">
        <f t="shared" si="88"/>
        <v>0</v>
      </c>
      <c r="AA241" s="119">
        <f t="shared" si="88"/>
        <v>0</v>
      </c>
      <c r="AB241" s="119">
        <f t="shared" si="88"/>
        <v>0</v>
      </c>
      <c r="AC241" s="119">
        <f t="shared" si="88"/>
        <v>0</v>
      </c>
      <c r="AD241" s="119">
        <f t="shared" si="88"/>
        <v>0</v>
      </c>
      <c r="AE241" s="119">
        <f t="shared" si="88"/>
        <v>0</v>
      </c>
      <c r="AF241" s="119">
        <f t="shared" si="88"/>
        <v>0</v>
      </c>
      <c r="AG241" s="119">
        <f t="shared" si="88"/>
        <v>0</v>
      </c>
      <c r="AH241" s="119">
        <f t="shared" si="88"/>
        <v>0</v>
      </c>
      <c r="AI241" s="119">
        <f t="shared" si="88"/>
        <v>0</v>
      </c>
      <c r="AJ241" s="119">
        <f t="shared" si="88"/>
        <v>0</v>
      </c>
      <c r="AK241" s="119">
        <f t="shared" si="88"/>
        <v>0</v>
      </c>
      <c r="AL241" s="119">
        <f t="shared" si="88"/>
        <v>0</v>
      </c>
      <c r="AM241" s="119">
        <f t="shared" si="88"/>
        <v>0</v>
      </c>
      <c r="AN241" s="119">
        <f t="shared" si="88"/>
        <v>0</v>
      </c>
      <c r="AO241" s="119">
        <f t="shared" si="88"/>
        <v>0</v>
      </c>
      <c r="AP241" s="119">
        <f t="shared" si="88"/>
        <v>0</v>
      </c>
    </row>
    <row r="242" spans="1:42" x14ac:dyDescent="0.2">
      <c r="A242" s="89"/>
    </row>
    <row r="243" spans="1:42" x14ac:dyDescent="0.2">
      <c r="A243" s="88" t="s">
        <v>189</v>
      </c>
      <c r="C243" s="158">
        <f>C215+C241</f>
        <v>-10526476.488518748</v>
      </c>
      <c r="D243" s="158">
        <f t="shared" ref="D243:AP243" si="89">D215+D241</f>
        <v>-21114310.8033273</v>
      </c>
      <c r="E243" s="158">
        <f t="shared" si="89"/>
        <v>-10043028.856017105</v>
      </c>
      <c r="F243" s="158">
        <f t="shared" si="89"/>
        <v>-3389964.5421300307</v>
      </c>
      <c r="G243" s="158">
        <f t="shared" si="89"/>
        <v>-3362719.3181845993</v>
      </c>
      <c r="H243" s="158">
        <f t="shared" si="89"/>
        <v>1630314.4188021543</v>
      </c>
      <c r="I243" s="158">
        <f t="shared" si="89"/>
        <v>6616282.7412063489</v>
      </c>
      <c r="J243" s="158">
        <f t="shared" si="89"/>
        <v>6628060.823009707</v>
      </c>
      <c r="K243" s="158">
        <f t="shared" si="89"/>
        <v>6638799.3776458632</v>
      </c>
      <c r="L243" s="158">
        <f t="shared" si="89"/>
        <v>6648988.7236760445</v>
      </c>
      <c r="M243" s="158">
        <f t="shared" si="89"/>
        <v>6657924.7367367847</v>
      </c>
      <c r="N243" s="158">
        <f t="shared" si="89"/>
        <v>6666527.3270959165</v>
      </c>
      <c r="O243" s="158">
        <f t="shared" si="89"/>
        <v>6673255.4204702396</v>
      </c>
      <c r="P243" s="158">
        <f t="shared" si="89"/>
        <v>6679883.0388306342</v>
      </c>
      <c r="Q243" s="158">
        <f t="shared" si="89"/>
        <v>3858787.2536249696</v>
      </c>
      <c r="R243" s="158">
        <f t="shared" si="89"/>
        <v>2134711.4358852021</v>
      </c>
      <c r="S243" s="158">
        <f t="shared" si="89"/>
        <v>4078269.4066832168</v>
      </c>
      <c r="T243" s="158">
        <f t="shared" si="89"/>
        <v>5153522.2714211419</v>
      </c>
      <c r="U243" s="158">
        <f t="shared" si="89"/>
        <v>5142448.2159069646</v>
      </c>
      <c r="V243" s="158">
        <f t="shared" si="89"/>
        <v>5944059.4798858222</v>
      </c>
      <c r="W243" s="158">
        <f t="shared" si="89"/>
        <v>6828992.53556713</v>
      </c>
      <c r="X243" s="158">
        <f t="shared" si="89"/>
        <v>6898793.302909432</v>
      </c>
      <c r="Y243" s="158">
        <f t="shared" si="89"/>
        <v>6882742.6354821688</v>
      </c>
      <c r="Z243" s="158">
        <f t="shared" si="89"/>
        <v>6865367.2013692223</v>
      </c>
      <c r="AA243" s="158">
        <f t="shared" si="89"/>
        <v>6846607.8814034527</v>
      </c>
      <c r="AB243" s="158">
        <f t="shared" si="89"/>
        <v>0</v>
      </c>
      <c r="AC243" s="158">
        <f t="shared" si="89"/>
        <v>0</v>
      </c>
      <c r="AD243" s="158">
        <f t="shared" si="89"/>
        <v>0</v>
      </c>
      <c r="AE243" s="158">
        <f t="shared" si="89"/>
        <v>0</v>
      </c>
      <c r="AF243" s="158">
        <f t="shared" si="89"/>
        <v>0</v>
      </c>
      <c r="AG243" s="158">
        <f t="shared" si="89"/>
        <v>0</v>
      </c>
      <c r="AH243" s="158">
        <f t="shared" si="89"/>
        <v>0</v>
      </c>
      <c r="AI243" s="158">
        <f t="shared" si="89"/>
        <v>0</v>
      </c>
      <c r="AJ243" s="158">
        <f t="shared" si="89"/>
        <v>0</v>
      </c>
      <c r="AK243" s="158">
        <f t="shared" si="89"/>
        <v>0</v>
      </c>
      <c r="AL243" s="158">
        <f t="shared" si="89"/>
        <v>0</v>
      </c>
      <c r="AM243" s="158">
        <f t="shared" si="89"/>
        <v>0</v>
      </c>
      <c r="AN243" s="158">
        <f t="shared" si="89"/>
        <v>0</v>
      </c>
      <c r="AO243" s="158">
        <f t="shared" si="89"/>
        <v>0</v>
      </c>
      <c r="AP243" s="158">
        <f t="shared" si="89"/>
        <v>0</v>
      </c>
    </row>
    <row r="244" spans="1:42" x14ac:dyDescent="0.2">
      <c r="A244" s="88" t="s">
        <v>286</v>
      </c>
      <c r="B244" s="4">
        <f t="array" ref="B244:AP244">Inputs!C179:AQ179</f>
        <v>0</v>
      </c>
      <c r="C244" s="158">
        <v>7</v>
      </c>
      <c r="D244" s="158">
        <v>7</v>
      </c>
      <c r="E244" s="158">
        <v>7</v>
      </c>
      <c r="F244" s="158">
        <v>7</v>
      </c>
      <c r="G244" s="158">
        <v>7</v>
      </c>
      <c r="H244" s="158">
        <v>7</v>
      </c>
      <c r="I244" s="158">
        <v>7</v>
      </c>
      <c r="J244" s="158">
        <v>7</v>
      </c>
      <c r="K244" s="158">
        <v>7</v>
      </c>
      <c r="L244" s="158">
        <v>7</v>
      </c>
      <c r="M244" s="158">
        <v>7</v>
      </c>
      <c r="N244" s="158">
        <v>7</v>
      </c>
      <c r="O244" s="158">
        <v>7</v>
      </c>
      <c r="P244" s="158">
        <v>7</v>
      </c>
      <c r="Q244" s="158">
        <v>7</v>
      </c>
      <c r="R244" s="158">
        <v>7</v>
      </c>
      <c r="S244" s="158">
        <v>7</v>
      </c>
      <c r="T244" s="158">
        <v>7</v>
      </c>
      <c r="U244" s="158">
        <v>7</v>
      </c>
      <c r="V244" s="158">
        <v>7</v>
      </c>
      <c r="W244" s="158">
        <v>7</v>
      </c>
      <c r="X244" s="158">
        <v>7</v>
      </c>
      <c r="Y244" s="158">
        <v>7</v>
      </c>
      <c r="Z244" s="158">
        <v>7</v>
      </c>
      <c r="AA244" s="158">
        <v>7</v>
      </c>
      <c r="AB244" s="158">
        <v>0</v>
      </c>
      <c r="AC244" s="158">
        <v>0</v>
      </c>
      <c r="AD244" s="158">
        <v>0</v>
      </c>
      <c r="AE244" s="158">
        <v>0</v>
      </c>
      <c r="AF244" s="158">
        <v>0</v>
      </c>
      <c r="AG244" s="158">
        <v>0</v>
      </c>
      <c r="AH244" s="158">
        <v>0</v>
      </c>
      <c r="AI244" s="158">
        <v>0</v>
      </c>
      <c r="AJ244" s="158">
        <v>0</v>
      </c>
      <c r="AK244" s="158">
        <v>0</v>
      </c>
      <c r="AL244" s="158">
        <v>0</v>
      </c>
      <c r="AM244" s="158">
        <v>0</v>
      </c>
      <c r="AN244" s="158">
        <v>0</v>
      </c>
      <c r="AO244" s="158">
        <v>0</v>
      </c>
      <c r="AP244" s="158">
        <v>0</v>
      </c>
    </row>
    <row r="245" spans="1:42" x14ac:dyDescent="0.2">
      <c r="A245" s="18" t="s">
        <v>41</v>
      </c>
      <c r="C245" s="161">
        <f>C243*-C244/100</f>
        <v>736853.35419631237</v>
      </c>
      <c r="D245" s="161">
        <f t="shared" ref="D245:AP245" si="90">D243*-D244/100</f>
        <v>1478001.756232911</v>
      </c>
      <c r="E245" s="161">
        <f t="shared" si="90"/>
        <v>703012.01992119732</v>
      </c>
      <c r="F245" s="161">
        <f t="shared" si="90"/>
        <v>237297.51794910216</v>
      </c>
      <c r="G245" s="161">
        <f t="shared" si="90"/>
        <v>235390.35227292194</v>
      </c>
      <c r="H245" s="161">
        <f t="shared" si="90"/>
        <v>-114122.00931615081</v>
      </c>
      <c r="I245" s="161">
        <f t="shared" si="90"/>
        <v>-463139.79188444442</v>
      </c>
      <c r="J245" s="161">
        <f t="shared" si="90"/>
        <v>-463964.25761067949</v>
      </c>
      <c r="K245" s="161">
        <f t="shared" si="90"/>
        <v>-464715.95643521042</v>
      </c>
      <c r="L245" s="161">
        <f t="shared" si="90"/>
        <v>-465429.21065732313</v>
      </c>
      <c r="M245" s="161">
        <f t="shared" si="90"/>
        <v>-466054.73157157493</v>
      </c>
      <c r="N245" s="161">
        <f t="shared" si="90"/>
        <v>-466656.91289671412</v>
      </c>
      <c r="O245" s="161">
        <f t="shared" si="90"/>
        <v>-467127.87943291682</v>
      </c>
      <c r="P245" s="161">
        <f t="shared" si="90"/>
        <v>-467591.81271814439</v>
      </c>
      <c r="Q245" s="161">
        <f t="shared" si="90"/>
        <v>-270115.1077537479</v>
      </c>
      <c r="R245" s="161">
        <f t="shared" si="90"/>
        <v>-149429.80051196416</v>
      </c>
      <c r="S245" s="161">
        <f t="shared" si="90"/>
        <v>-285478.85846782516</v>
      </c>
      <c r="T245" s="161">
        <f t="shared" si="90"/>
        <v>-360746.55899947992</v>
      </c>
      <c r="U245" s="161">
        <f t="shared" si="90"/>
        <v>-359971.37511348753</v>
      </c>
      <c r="V245" s="161">
        <f t="shared" si="90"/>
        <v>-416084.16359200754</v>
      </c>
      <c r="W245" s="161">
        <f t="shared" si="90"/>
        <v>-478029.47748969914</v>
      </c>
      <c r="X245" s="161">
        <f t="shared" si="90"/>
        <v>-482915.53120366024</v>
      </c>
      <c r="Y245" s="161">
        <f t="shared" si="90"/>
        <v>-481791.98448375182</v>
      </c>
      <c r="Z245" s="161">
        <f t="shared" si="90"/>
        <v>-480575.70409584552</v>
      </c>
      <c r="AA245" s="161">
        <f t="shared" si="90"/>
        <v>-479262.55169824167</v>
      </c>
      <c r="AB245" s="161">
        <f t="shared" si="90"/>
        <v>0</v>
      </c>
      <c r="AC245" s="161">
        <f t="shared" si="90"/>
        <v>0</v>
      </c>
      <c r="AD245" s="161">
        <f t="shared" si="90"/>
        <v>0</v>
      </c>
      <c r="AE245" s="161">
        <f t="shared" si="90"/>
        <v>0</v>
      </c>
      <c r="AF245" s="161">
        <f t="shared" si="90"/>
        <v>0</v>
      </c>
      <c r="AG245" s="161">
        <f t="shared" si="90"/>
        <v>0</v>
      </c>
      <c r="AH245" s="161">
        <f t="shared" si="90"/>
        <v>0</v>
      </c>
      <c r="AI245" s="161">
        <f t="shared" si="90"/>
        <v>0</v>
      </c>
      <c r="AJ245" s="161">
        <f t="shared" si="90"/>
        <v>0</v>
      </c>
      <c r="AK245" s="161">
        <f t="shared" si="90"/>
        <v>0</v>
      </c>
      <c r="AL245" s="161">
        <f t="shared" si="90"/>
        <v>0</v>
      </c>
      <c r="AM245" s="161">
        <f t="shared" si="90"/>
        <v>0</v>
      </c>
      <c r="AN245" s="161">
        <f t="shared" si="90"/>
        <v>0</v>
      </c>
      <c r="AO245" s="161">
        <f t="shared" si="90"/>
        <v>0</v>
      </c>
      <c r="AP245" s="161">
        <f t="shared" si="90"/>
        <v>0</v>
      </c>
    </row>
    <row r="247" spans="1:42" x14ac:dyDescent="0.2">
      <c r="A247" s="20" t="s">
        <v>35</v>
      </c>
    </row>
    <row r="248" spans="1:42" x14ac:dyDescent="0.2">
      <c r="A248" s="88" t="s">
        <v>32</v>
      </c>
      <c r="C248" s="158">
        <f>C$65</f>
        <v>6976300</v>
      </c>
      <c r="D248" s="158">
        <f t="shared" ref="D248:AP248" si="91">D$65</f>
        <v>6980760</v>
      </c>
      <c r="E248" s="158">
        <f t="shared" si="91"/>
        <v>6984482.5</v>
      </c>
      <c r="F248" s="158">
        <f t="shared" si="91"/>
        <v>6987464.0625</v>
      </c>
      <c r="G248" s="158">
        <f t="shared" si="91"/>
        <v>6989660.6640625</v>
      </c>
      <c r="H248" s="158">
        <f t="shared" si="91"/>
        <v>6991057.6806640634</v>
      </c>
      <c r="I248" s="158">
        <f t="shared" si="91"/>
        <v>6991639.8726806641</v>
      </c>
      <c r="J248" s="158">
        <f t="shared" si="91"/>
        <v>6991371.369497681</v>
      </c>
      <c r="K248" s="158">
        <f t="shared" si="91"/>
        <v>6990225.6537351236</v>
      </c>
      <c r="L248" s="158">
        <f t="shared" si="91"/>
        <v>6988185.545078502</v>
      </c>
      <c r="M248" s="158">
        <f t="shared" si="91"/>
        <v>6985223.183705464</v>
      </c>
      <c r="N248" s="158">
        <f t="shared" si="91"/>
        <v>6981300.0132981008</v>
      </c>
      <c r="O248" s="158">
        <f t="shared" si="91"/>
        <v>6976396.7636305541</v>
      </c>
      <c r="P248" s="158">
        <f t="shared" si="91"/>
        <v>6970483.4327213177</v>
      </c>
      <c r="Q248" s="158">
        <f t="shared" si="91"/>
        <v>6963519.2685393505</v>
      </c>
      <c r="R248" s="158">
        <f t="shared" si="91"/>
        <v>6955502.7502528336</v>
      </c>
      <c r="S248" s="158">
        <f t="shared" si="91"/>
        <v>6946371.569009155</v>
      </c>
      <c r="T248" s="158">
        <f t="shared" si="91"/>
        <v>6936112.608234385</v>
      </c>
      <c r="U248" s="158">
        <f t="shared" si="91"/>
        <v>6924681.923440244</v>
      </c>
      <c r="V248" s="158">
        <f t="shared" si="91"/>
        <v>6912054.7215262502</v>
      </c>
      <c r="W248" s="158">
        <f t="shared" si="91"/>
        <v>6898185.3395644072</v>
      </c>
      <c r="X248" s="158">
        <f t="shared" si="91"/>
        <v>6883047.2230535168</v>
      </c>
      <c r="Y248" s="158">
        <f t="shared" si="91"/>
        <v>6866602.9036298553</v>
      </c>
      <c r="Z248" s="158">
        <f t="shared" si="91"/>
        <v>6848823.9762206012</v>
      </c>
      <c r="AA248" s="158">
        <f t="shared" si="91"/>
        <v>6829651.0756261162</v>
      </c>
      <c r="AB248" s="158">
        <f t="shared" si="91"/>
        <v>0</v>
      </c>
      <c r="AC248" s="158">
        <f t="shared" si="91"/>
        <v>0</v>
      </c>
      <c r="AD248" s="158">
        <f t="shared" si="91"/>
        <v>0</v>
      </c>
      <c r="AE248" s="158">
        <f t="shared" si="91"/>
        <v>0</v>
      </c>
      <c r="AF248" s="158">
        <f t="shared" si="91"/>
        <v>0</v>
      </c>
      <c r="AG248" s="158">
        <f t="shared" si="91"/>
        <v>0</v>
      </c>
      <c r="AH248" s="158">
        <f t="shared" si="91"/>
        <v>0</v>
      </c>
      <c r="AI248" s="158">
        <f t="shared" si="91"/>
        <v>0</v>
      </c>
      <c r="AJ248" s="158">
        <f t="shared" si="91"/>
        <v>0</v>
      </c>
      <c r="AK248" s="158">
        <f t="shared" si="91"/>
        <v>0</v>
      </c>
      <c r="AL248" s="158">
        <f t="shared" si="91"/>
        <v>0</v>
      </c>
      <c r="AM248" s="158">
        <f t="shared" si="91"/>
        <v>0</v>
      </c>
      <c r="AN248" s="158">
        <f t="shared" si="91"/>
        <v>0</v>
      </c>
      <c r="AO248" s="158">
        <f t="shared" si="91"/>
        <v>0</v>
      </c>
      <c r="AP248" s="158">
        <f t="shared" si="91"/>
        <v>0</v>
      </c>
    </row>
    <row r="249" spans="1:42" x14ac:dyDescent="0.2">
      <c r="A249" s="88" t="s">
        <v>40</v>
      </c>
      <c r="C249" s="158">
        <f t="shared" ref="C249:AP249" si="92">C774</f>
        <v>9375</v>
      </c>
      <c r="D249" s="158">
        <f t="shared" si="92"/>
        <v>21384.156841448046</v>
      </c>
      <c r="E249" s="158">
        <f t="shared" si="92"/>
        <v>33399.173057896092</v>
      </c>
      <c r="F249" s="158">
        <f t="shared" si="92"/>
        <v>45420.195133719149</v>
      </c>
      <c r="G249" s="158">
        <f t="shared" si="92"/>
        <v>57447.373215401567</v>
      </c>
      <c r="H249" s="158">
        <f t="shared" si="92"/>
        <v>69480.861203089866</v>
      </c>
      <c r="I249" s="158">
        <f t="shared" si="92"/>
        <v>81520.816844434157</v>
      </c>
      <c r="J249" s="158">
        <f t="shared" si="92"/>
        <v>93567.401830775852</v>
      </c>
      <c r="K249" s="158">
        <f t="shared" si="92"/>
        <v>105620.78189573988</v>
      </c>
      <c r="L249" s="158">
        <f t="shared" si="92"/>
        <v>117681.12691629183</v>
      </c>
      <c r="M249" s="158">
        <f t="shared" si="92"/>
        <v>129748.61101632135</v>
      </c>
      <c r="N249" s="158">
        <f t="shared" si="92"/>
        <v>141823.41267281541</v>
      </c>
      <c r="O249" s="158">
        <f t="shared" si="92"/>
        <v>153905.71482468562</v>
      </c>
      <c r="P249" s="158">
        <f t="shared" si="92"/>
        <v>165995.7049843164</v>
      </c>
      <c r="Q249" s="158">
        <f t="shared" si="92"/>
        <v>178093.57535190173</v>
      </c>
      <c r="R249" s="158">
        <f t="shared" si="92"/>
        <v>13577.795310919788</v>
      </c>
      <c r="S249" s="158">
        <f t="shared" si="92"/>
        <v>13917.240193692778</v>
      </c>
      <c r="T249" s="158">
        <f t="shared" si="92"/>
        <v>14265.171198535096</v>
      </c>
      <c r="U249" s="158">
        <f t="shared" si="92"/>
        <v>14621.800478498475</v>
      </c>
      <c r="V249" s="158">
        <f t="shared" si="92"/>
        <v>14987.345490460935</v>
      </c>
      <c r="W249" s="158">
        <f t="shared" si="92"/>
        <v>15362.029127722457</v>
      </c>
      <c r="X249" s="158">
        <f t="shared" si="92"/>
        <v>15746.079855915517</v>
      </c>
      <c r="Y249" s="158">
        <f t="shared" si="92"/>
        <v>16139.731852313405</v>
      </c>
      <c r="Z249" s="158">
        <f t="shared" si="92"/>
        <v>16543.225148621244</v>
      </c>
      <c r="AA249" s="158">
        <f t="shared" si="92"/>
        <v>16956.805777336773</v>
      </c>
      <c r="AB249" s="158">
        <f t="shared" si="92"/>
        <v>0</v>
      </c>
      <c r="AC249" s="158">
        <f t="shared" si="92"/>
        <v>0</v>
      </c>
      <c r="AD249" s="158">
        <f t="shared" si="92"/>
        <v>0</v>
      </c>
      <c r="AE249" s="158">
        <f t="shared" si="92"/>
        <v>0</v>
      </c>
      <c r="AF249" s="158">
        <f t="shared" si="92"/>
        <v>0</v>
      </c>
      <c r="AG249" s="158">
        <f t="shared" si="92"/>
        <v>0</v>
      </c>
      <c r="AH249" s="158">
        <f t="shared" si="92"/>
        <v>0</v>
      </c>
      <c r="AI249" s="158">
        <f t="shared" si="92"/>
        <v>0</v>
      </c>
      <c r="AJ249" s="158">
        <f t="shared" si="92"/>
        <v>0</v>
      </c>
      <c r="AK249" s="158">
        <f t="shared" si="92"/>
        <v>0</v>
      </c>
      <c r="AL249" s="158">
        <f t="shared" si="92"/>
        <v>0</v>
      </c>
      <c r="AM249" s="158">
        <f t="shared" si="92"/>
        <v>0</v>
      </c>
      <c r="AN249" s="158">
        <f t="shared" si="92"/>
        <v>0</v>
      </c>
      <c r="AO249" s="158">
        <f t="shared" si="92"/>
        <v>0</v>
      </c>
      <c r="AP249" s="158">
        <f t="shared" si="92"/>
        <v>0</v>
      </c>
    </row>
    <row r="250" spans="1:42" x14ac:dyDescent="0.2">
      <c r="A250" s="88" t="s">
        <v>33</v>
      </c>
      <c r="C250" s="158">
        <f t="shared" ref="C250:AP250" si="93">-C633</f>
        <v>0</v>
      </c>
      <c r="D250" s="158">
        <f t="shared" si="93"/>
        <v>0</v>
      </c>
      <c r="E250" s="158">
        <f t="shared" si="93"/>
        <v>0</v>
      </c>
      <c r="F250" s="158">
        <f t="shared" si="93"/>
        <v>0</v>
      </c>
      <c r="G250" s="158">
        <f t="shared" si="93"/>
        <v>0</v>
      </c>
      <c r="H250" s="158">
        <f t="shared" si="93"/>
        <v>0</v>
      </c>
      <c r="I250" s="158">
        <f t="shared" si="93"/>
        <v>0</v>
      </c>
      <c r="J250" s="158">
        <f t="shared" si="93"/>
        <v>0</v>
      </c>
      <c r="K250" s="158">
        <f t="shared" si="93"/>
        <v>0</v>
      </c>
      <c r="L250" s="158">
        <f t="shared" si="93"/>
        <v>0</v>
      </c>
      <c r="M250" s="158">
        <f t="shared" si="93"/>
        <v>0</v>
      </c>
      <c r="N250" s="158">
        <f t="shared" si="93"/>
        <v>0</v>
      </c>
      <c r="O250" s="158">
        <f t="shared" si="93"/>
        <v>0</v>
      </c>
      <c r="P250" s="158">
        <f t="shared" si="93"/>
        <v>0</v>
      </c>
      <c r="Q250" s="158">
        <f t="shared" si="93"/>
        <v>0</v>
      </c>
      <c r="R250" s="158">
        <f t="shared" si="93"/>
        <v>0</v>
      </c>
      <c r="S250" s="158">
        <f t="shared" si="93"/>
        <v>0</v>
      </c>
      <c r="T250" s="158">
        <f t="shared" si="93"/>
        <v>0</v>
      </c>
      <c r="U250" s="158">
        <f t="shared" si="93"/>
        <v>0</v>
      </c>
      <c r="V250" s="158">
        <f t="shared" si="93"/>
        <v>0</v>
      </c>
      <c r="W250" s="158">
        <f t="shared" si="93"/>
        <v>0</v>
      </c>
      <c r="X250" s="158">
        <f t="shared" si="93"/>
        <v>0</v>
      </c>
      <c r="Y250" s="158">
        <f t="shared" si="93"/>
        <v>0</v>
      </c>
      <c r="Z250" s="158">
        <f t="shared" si="93"/>
        <v>0</v>
      </c>
      <c r="AA250" s="158">
        <f t="shared" si="93"/>
        <v>0</v>
      </c>
      <c r="AB250" s="158">
        <f t="shared" si="93"/>
        <v>0</v>
      </c>
      <c r="AC250" s="158">
        <f t="shared" si="93"/>
        <v>0</v>
      </c>
      <c r="AD250" s="158">
        <f t="shared" si="93"/>
        <v>0</v>
      </c>
      <c r="AE250" s="158">
        <f t="shared" si="93"/>
        <v>0</v>
      </c>
      <c r="AF250" s="158">
        <f t="shared" si="93"/>
        <v>0</v>
      </c>
      <c r="AG250" s="158">
        <f t="shared" si="93"/>
        <v>0</v>
      </c>
      <c r="AH250" s="158">
        <f t="shared" si="93"/>
        <v>0</v>
      </c>
      <c r="AI250" s="158">
        <f t="shared" si="93"/>
        <v>0</v>
      </c>
      <c r="AJ250" s="158">
        <f t="shared" si="93"/>
        <v>0</v>
      </c>
      <c r="AK250" s="158">
        <f t="shared" si="93"/>
        <v>0</v>
      </c>
      <c r="AL250" s="158">
        <f t="shared" si="93"/>
        <v>0</v>
      </c>
      <c r="AM250" s="158">
        <f t="shared" si="93"/>
        <v>0</v>
      </c>
      <c r="AN250" s="158">
        <f t="shared" si="93"/>
        <v>0</v>
      </c>
      <c r="AO250" s="158">
        <f t="shared" si="93"/>
        <v>0</v>
      </c>
      <c r="AP250" s="158">
        <f t="shared" si="93"/>
        <v>0</v>
      </c>
    </row>
    <row r="251" spans="1:42" x14ac:dyDescent="0.2">
      <c r="A251" s="88" t="s">
        <v>36</v>
      </c>
      <c r="C251" s="158">
        <f t="shared" ref="C251:AP251" si="94">IF(C$2&lt;=analysis_period,-C476-C507-C533-C559,0)</f>
        <v>-17512151.488518748</v>
      </c>
      <c r="D251" s="158">
        <f t="shared" si="94"/>
        <v>-28116454.960168749</v>
      </c>
      <c r="E251" s="158">
        <f t="shared" si="94"/>
        <v>-17060910.529075</v>
      </c>
      <c r="F251" s="158">
        <f t="shared" si="94"/>
        <v>-10422848.79976375</v>
      </c>
      <c r="G251" s="158">
        <f t="shared" si="94"/>
        <v>-10409827.355462501</v>
      </c>
      <c r="H251" s="158">
        <f t="shared" si="94"/>
        <v>-5430224.1230649995</v>
      </c>
      <c r="I251" s="158">
        <f t="shared" si="94"/>
        <v>-456877.94831875002</v>
      </c>
      <c r="J251" s="158">
        <f t="shared" si="94"/>
        <v>-456877.94831875002</v>
      </c>
      <c r="K251" s="158">
        <f t="shared" si="94"/>
        <v>-457047.05798500002</v>
      </c>
      <c r="L251" s="158">
        <f t="shared" si="94"/>
        <v>-456877.94831875002</v>
      </c>
      <c r="M251" s="158">
        <f t="shared" si="94"/>
        <v>-457047.05798500002</v>
      </c>
      <c r="N251" s="158">
        <f t="shared" si="94"/>
        <v>-456596.09887500003</v>
      </c>
      <c r="O251" s="158">
        <f t="shared" si="94"/>
        <v>-457047.05798500002</v>
      </c>
      <c r="P251" s="158">
        <f t="shared" si="94"/>
        <v>-456596.09887500003</v>
      </c>
      <c r="Q251" s="158">
        <f t="shared" si="94"/>
        <v>-3282825.5902662822</v>
      </c>
      <c r="R251" s="158">
        <f t="shared" si="94"/>
        <v>-4834369.1096785516</v>
      </c>
      <c r="S251" s="158">
        <f t="shared" si="94"/>
        <v>-2882019.4025196312</v>
      </c>
      <c r="T251" s="158">
        <f t="shared" si="94"/>
        <v>-1796855.5080117784</v>
      </c>
      <c r="U251" s="158">
        <f t="shared" si="94"/>
        <v>-1796855.5080117784</v>
      </c>
      <c r="V251" s="158">
        <f t="shared" si="94"/>
        <v>-982982.58713088918</v>
      </c>
      <c r="W251" s="158">
        <f t="shared" si="94"/>
        <v>-84554.833125000005</v>
      </c>
      <c r="X251" s="158">
        <f t="shared" si="94"/>
        <v>0</v>
      </c>
      <c r="Y251" s="158">
        <f t="shared" si="94"/>
        <v>0</v>
      </c>
      <c r="Z251" s="158">
        <f t="shared" si="94"/>
        <v>0</v>
      </c>
      <c r="AA251" s="158">
        <f t="shared" si="94"/>
        <v>0</v>
      </c>
      <c r="AB251" s="158">
        <f t="shared" si="94"/>
        <v>0</v>
      </c>
      <c r="AC251" s="158">
        <f t="shared" si="94"/>
        <v>0</v>
      </c>
      <c r="AD251" s="158">
        <f t="shared" si="94"/>
        <v>0</v>
      </c>
      <c r="AE251" s="158">
        <f t="shared" si="94"/>
        <v>0</v>
      </c>
      <c r="AF251" s="158">
        <f t="shared" si="94"/>
        <v>0</v>
      </c>
      <c r="AG251" s="158">
        <f t="shared" si="94"/>
        <v>0</v>
      </c>
      <c r="AH251" s="158">
        <f t="shared" si="94"/>
        <v>0</v>
      </c>
      <c r="AI251" s="158">
        <f t="shared" si="94"/>
        <v>0</v>
      </c>
      <c r="AJ251" s="158">
        <f t="shared" si="94"/>
        <v>0</v>
      </c>
      <c r="AK251" s="158">
        <f t="shared" si="94"/>
        <v>0</v>
      </c>
      <c r="AL251" s="158">
        <f t="shared" si="94"/>
        <v>0</v>
      </c>
      <c r="AM251" s="158">
        <f t="shared" si="94"/>
        <v>0</v>
      </c>
      <c r="AN251" s="158">
        <f t="shared" si="94"/>
        <v>0</v>
      </c>
      <c r="AO251" s="158">
        <f t="shared" si="94"/>
        <v>0</v>
      </c>
      <c r="AP251" s="158">
        <f t="shared" si="94"/>
        <v>0</v>
      </c>
    </row>
    <row r="252" spans="1:42" x14ac:dyDescent="0.2">
      <c r="A252" s="88" t="s">
        <v>41</v>
      </c>
      <c r="C252" s="158">
        <f>C245</f>
        <v>736853.35419631237</v>
      </c>
      <c r="D252" s="158">
        <f t="shared" ref="D252:AP252" si="95">D245</f>
        <v>1478001.756232911</v>
      </c>
      <c r="E252" s="158">
        <f t="shared" si="95"/>
        <v>703012.01992119732</v>
      </c>
      <c r="F252" s="158">
        <f t="shared" si="95"/>
        <v>237297.51794910216</v>
      </c>
      <c r="G252" s="158">
        <f t="shared" si="95"/>
        <v>235390.35227292194</v>
      </c>
      <c r="H252" s="158">
        <f t="shared" si="95"/>
        <v>-114122.00931615081</v>
      </c>
      <c r="I252" s="158">
        <f t="shared" si="95"/>
        <v>-463139.79188444442</v>
      </c>
      <c r="J252" s="158">
        <f t="shared" si="95"/>
        <v>-463964.25761067949</v>
      </c>
      <c r="K252" s="158">
        <f t="shared" si="95"/>
        <v>-464715.95643521042</v>
      </c>
      <c r="L252" s="158">
        <f t="shared" si="95"/>
        <v>-465429.21065732313</v>
      </c>
      <c r="M252" s="158">
        <f t="shared" si="95"/>
        <v>-466054.73157157493</v>
      </c>
      <c r="N252" s="158">
        <f t="shared" si="95"/>
        <v>-466656.91289671412</v>
      </c>
      <c r="O252" s="158">
        <f t="shared" si="95"/>
        <v>-467127.87943291682</v>
      </c>
      <c r="P252" s="158">
        <f t="shared" si="95"/>
        <v>-467591.81271814439</v>
      </c>
      <c r="Q252" s="158">
        <f t="shared" si="95"/>
        <v>-270115.1077537479</v>
      </c>
      <c r="R252" s="158">
        <f t="shared" si="95"/>
        <v>-149429.80051196416</v>
      </c>
      <c r="S252" s="158">
        <f t="shared" si="95"/>
        <v>-285478.85846782516</v>
      </c>
      <c r="T252" s="158">
        <f t="shared" si="95"/>
        <v>-360746.55899947992</v>
      </c>
      <c r="U252" s="158">
        <f t="shared" si="95"/>
        <v>-359971.37511348753</v>
      </c>
      <c r="V252" s="158">
        <f t="shared" si="95"/>
        <v>-416084.16359200754</v>
      </c>
      <c r="W252" s="158">
        <f t="shared" si="95"/>
        <v>-478029.47748969914</v>
      </c>
      <c r="X252" s="158">
        <f t="shared" si="95"/>
        <v>-482915.53120366024</v>
      </c>
      <c r="Y252" s="158">
        <f t="shared" si="95"/>
        <v>-481791.98448375182</v>
      </c>
      <c r="Z252" s="158">
        <f t="shared" si="95"/>
        <v>-480575.70409584552</v>
      </c>
      <c r="AA252" s="158">
        <f t="shared" si="95"/>
        <v>-479262.55169824167</v>
      </c>
      <c r="AB252" s="158">
        <f t="shared" si="95"/>
        <v>0</v>
      </c>
      <c r="AC252" s="158">
        <f t="shared" si="95"/>
        <v>0</v>
      </c>
      <c r="AD252" s="158">
        <f t="shared" si="95"/>
        <v>0</v>
      </c>
      <c r="AE252" s="158">
        <f t="shared" si="95"/>
        <v>0</v>
      </c>
      <c r="AF252" s="158">
        <f t="shared" si="95"/>
        <v>0</v>
      </c>
      <c r="AG252" s="158">
        <f t="shared" si="95"/>
        <v>0</v>
      </c>
      <c r="AH252" s="158">
        <f t="shared" si="95"/>
        <v>0</v>
      </c>
      <c r="AI252" s="158">
        <f t="shared" si="95"/>
        <v>0</v>
      </c>
      <c r="AJ252" s="158">
        <f t="shared" si="95"/>
        <v>0</v>
      </c>
      <c r="AK252" s="158">
        <f t="shared" si="95"/>
        <v>0</v>
      </c>
      <c r="AL252" s="158">
        <f t="shared" si="95"/>
        <v>0</v>
      </c>
      <c r="AM252" s="158">
        <f t="shared" si="95"/>
        <v>0</v>
      </c>
      <c r="AN252" s="158">
        <f t="shared" si="95"/>
        <v>0</v>
      </c>
      <c r="AO252" s="158">
        <f t="shared" si="95"/>
        <v>0</v>
      </c>
      <c r="AP252" s="158">
        <f t="shared" si="95"/>
        <v>0</v>
      </c>
    </row>
    <row r="253" spans="1:42" x14ac:dyDescent="0.2">
      <c r="A253" s="88" t="s">
        <v>61</v>
      </c>
      <c r="C253" s="158">
        <f t="shared" ref="C253:AP253" si="96">C125</f>
        <v>0</v>
      </c>
      <c r="D253" s="158">
        <f t="shared" si="96"/>
        <v>0</v>
      </c>
      <c r="E253" s="158">
        <f t="shared" si="96"/>
        <v>0</v>
      </c>
      <c r="F253" s="158">
        <f t="shared" si="96"/>
        <v>0</v>
      </c>
      <c r="G253" s="158">
        <f t="shared" si="96"/>
        <v>0</v>
      </c>
      <c r="H253" s="158">
        <f t="shared" si="96"/>
        <v>0</v>
      </c>
      <c r="I253" s="158">
        <f t="shared" si="96"/>
        <v>0</v>
      </c>
      <c r="J253" s="158">
        <f t="shared" si="96"/>
        <v>0</v>
      </c>
      <c r="K253" s="158">
        <f t="shared" si="96"/>
        <v>0</v>
      </c>
      <c r="L253" s="158">
        <f t="shared" si="96"/>
        <v>0</v>
      </c>
      <c r="M253" s="158">
        <f t="shared" si="96"/>
        <v>0</v>
      </c>
      <c r="N253" s="158">
        <f t="shared" si="96"/>
        <v>0</v>
      </c>
      <c r="O253" s="158">
        <f t="shared" si="96"/>
        <v>0</v>
      </c>
      <c r="P253" s="158">
        <f t="shared" si="96"/>
        <v>0</v>
      </c>
      <c r="Q253" s="158">
        <f t="shared" si="96"/>
        <v>0</v>
      </c>
      <c r="R253" s="158">
        <f t="shared" si="96"/>
        <v>0</v>
      </c>
      <c r="S253" s="158">
        <f t="shared" si="96"/>
        <v>0</v>
      </c>
      <c r="T253" s="158">
        <f t="shared" si="96"/>
        <v>0</v>
      </c>
      <c r="U253" s="158">
        <f t="shared" si="96"/>
        <v>0</v>
      </c>
      <c r="V253" s="158">
        <f t="shared" si="96"/>
        <v>0</v>
      </c>
      <c r="W253" s="158">
        <f t="shared" si="96"/>
        <v>0</v>
      </c>
      <c r="X253" s="158">
        <f t="shared" si="96"/>
        <v>0</v>
      </c>
      <c r="Y253" s="158">
        <f t="shared" si="96"/>
        <v>0</v>
      </c>
      <c r="Z253" s="158">
        <f t="shared" si="96"/>
        <v>0</v>
      </c>
      <c r="AA253" s="158">
        <f t="shared" si="96"/>
        <v>0</v>
      </c>
      <c r="AB253" s="158">
        <f t="shared" si="96"/>
        <v>0</v>
      </c>
      <c r="AC253" s="158">
        <f t="shared" si="96"/>
        <v>0</v>
      </c>
      <c r="AD253" s="158">
        <f t="shared" si="96"/>
        <v>0</v>
      </c>
      <c r="AE253" s="158">
        <f t="shared" si="96"/>
        <v>0</v>
      </c>
      <c r="AF253" s="158">
        <f t="shared" si="96"/>
        <v>0</v>
      </c>
      <c r="AG253" s="158">
        <f t="shared" si="96"/>
        <v>0</v>
      </c>
      <c r="AH253" s="158">
        <f t="shared" si="96"/>
        <v>0</v>
      </c>
      <c r="AI253" s="158">
        <f t="shared" si="96"/>
        <v>0</v>
      </c>
      <c r="AJ253" s="158">
        <f t="shared" si="96"/>
        <v>0</v>
      </c>
      <c r="AK253" s="158">
        <f t="shared" si="96"/>
        <v>0</v>
      </c>
      <c r="AL253" s="158">
        <f t="shared" si="96"/>
        <v>0</v>
      </c>
      <c r="AM253" s="158">
        <f t="shared" si="96"/>
        <v>0</v>
      </c>
      <c r="AN253" s="158">
        <f t="shared" si="96"/>
        <v>0</v>
      </c>
      <c r="AO253" s="158">
        <f t="shared" si="96"/>
        <v>0</v>
      </c>
      <c r="AP253" s="158">
        <f t="shared" si="96"/>
        <v>0</v>
      </c>
    </row>
    <row r="254" spans="1:42" x14ac:dyDescent="0.2">
      <c r="A254" s="88" t="s">
        <v>100</v>
      </c>
      <c r="C254" s="159">
        <f t="shared" ref="C254:AP254" si="97">C129</f>
        <v>0</v>
      </c>
      <c r="D254" s="159">
        <f t="shared" si="97"/>
        <v>0</v>
      </c>
      <c r="E254" s="159">
        <f t="shared" si="97"/>
        <v>0</v>
      </c>
      <c r="F254" s="159">
        <f t="shared" si="97"/>
        <v>0</v>
      </c>
      <c r="G254" s="159">
        <f t="shared" si="97"/>
        <v>0</v>
      </c>
      <c r="H254" s="159">
        <f t="shared" si="97"/>
        <v>0</v>
      </c>
      <c r="I254" s="159">
        <f t="shared" si="97"/>
        <v>0</v>
      </c>
      <c r="J254" s="159">
        <f t="shared" si="97"/>
        <v>0</v>
      </c>
      <c r="K254" s="159">
        <f t="shared" si="97"/>
        <v>0</v>
      </c>
      <c r="L254" s="159">
        <f t="shared" si="97"/>
        <v>0</v>
      </c>
      <c r="M254" s="159">
        <f t="shared" si="97"/>
        <v>0</v>
      </c>
      <c r="N254" s="159">
        <f t="shared" si="97"/>
        <v>0</v>
      </c>
      <c r="O254" s="159">
        <f t="shared" si="97"/>
        <v>0</v>
      </c>
      <c r="P254" s="159">
        <f t="shared" si="97"/>
        <v>0</v>
      </c>
      <c r="Q254" s="159">
        <f t="shared" si="97"/>
        <v>0</v>
      </c>
      <c r="R254" s="159">
        <f t="shared" si="97"/>
        <v>0</v>
      </c>
      <c r="S254" s="159">
        <f t="shared" si="97"/>
        <v>0</v>
      </c>
      <c r="T254" s="159">
        <f t="shared" si="97"/>
        <v>0</v>
      </c>
      <c r="U254" s="159">
        <f t="shared" si="97"/>
        <v>0</v>
      </c>
      <c r="V254" s="159">
        <f t="shared" si="97"/>
        <v>0</v>
      </c>
      <c r="W254" s="159">
        <f t="shared" si="97"/>
        <v>0</v>
      </c>
      <c r="X254" s="159">
        <f t="shared" si="97"/>
        <v>0</v>
      </c>
      <c r="Y254" s="159">
        <f t="shared" si="97"/>
        <v>0</v>
      </c>
      <c r="Z254" s="159">
        <f t="shared" si="97"/>
        <v>0</v>
      </c>
      <c r="AA254" s="159">
        <f t="shared" si="97"/>
        <v>0</v>
      </c>
      <c r="AB254" s="159">
        <f t="shared" si="97"/>
        <v>0</v>
      </c>
      <c r="AC254" s="159">
        <f t="shared" si="97"/>
        <v>0</v>
      </c>
      <c r="AD254" s="159">
        <f t="shared" si="97"/>
        <v>0</v>
      </c>
      <c r="AE254" s="159">
        <f t="shared" si="97"/>
        <v>0</v>
      </c>
      <c r="AF254" s="159">
        <f t="shared" si="97"/>
        <v>0</v>
      </c>
      <c r="AG254" s="159">
        <f t="shared" si="97"/>
        <v>0</v>
      </c>
      <c r="AH254" s="159">
        <f t="shared" si="97"/>
        <v>0</v>
      </c>
      <c r="AI254" s="159">
        <f t="shared" si="97"/>
        <v>0</v>
      </c>
      <c r="AJ254" s="159">
        <f t="shared" si="97"/>
        <v>0</v>
      </c>
      <c r="AK254" s="159">
        <f t="shared" si="97"/>
        <v>0</v>
      </c>
      <c r="AL254" s="159">
        <f t="shared" si="97"/>
        <v>0</v>
      </c>
      <c r="AM254" s="159">
        <f t="shared" si="97"/>
        <v>0</v>
      </c>
      <c r="AN254" s="159">
        <f t="shared" si="97"/>
        <v>0</v>
      </c>
      <c r="AO254" s="159">
        <f t="shared" si="97"/>
        <v>0</v>
      </c>
      <c r="AP254" s="159">
        <f t="shared" si="97"/>
        <v>0</v>
      </c>
    </row>
    <row r="255" spans="1:42" x14ac:dyDescent="0.2">
      <c r="A255" s="88" t="s">
        <v>34</v>
      </c>
      <c r="C255" s="158">
        <f>SUM(C248:C254)</f>
        <v>-9789623.1343224365</v>
      </c>
      <c r="D255" s="158">
        <f t="shared" ref="D255:AP255" si="98">SUM(D248:D254)</f>
        <v>-19636309.04709439</v>
      </c>
      <c r="E255" s="158">
        <f t="shared" si="98"/>
        <v>-9340016.8360959087</v>
      </c>
      <c r="F255" s="158">
        <f t="shared" si="98"/>
        <v>-3152667.0241809287</v>
      </c>
      <c r="G255" s="158">
        <f t="shared" si="98"/>
        <v>-3127328.9659116771</v>
      </c>
      <c r="H255" s="158">
        <f t="shared" si="98"/>
        <v>1516192.4094860035</v>
      </c>
      <c r="I255" s="158">
        <f t="shared" si="98"/>
        <v>6153142.9493219042</v>
      </c>
      <c r="J255" s="158">
        <f t="shared" si="98"/>
        <v>6164096.5653990274</v>
      </c>
      <c r="K255" s="158">
        <f t="shared" si="98"/>
        <v>6174083.4212106531</v>
      </c>
      <c r="L255" s="158">
        <f t="shared" si="98"/>
        <v>6183559.5130187217</v>
      </c>
      <c r="M255" s="158">
        <f t="shared" si="98"/>
        <v>6191870.00516521</v>
      </c>
      <c r="N255" s="158">
        <f t="shared" si="98"/>
        <v>6199870.4141992023</v>
      </c>
      <c r="O255" s="158">
        <f t="shared" si="98"/>
        <v>6206127.541037323</v>
      </c>
      <c r="P255" s="158">
        <f t="shared" si="98"/>
        <v>6212291.2261124896</v>
      </c>
      <c r="Q255" s="158">
        <f t="shared" si="98"/>
        <v>3588672.1458712216</v>
      </c>
      <c r="R255" s="158">
        <f t="shared" si="98"/>
        <v>1985281.635373238</v>
      </c>
      <c r="S255" s="158">
        <f t="shared" si="98"/>
        <v>3792790.5482153916</v>
      </c>
      <c r="T255" s="158">
        <f t="shared" si="98"/>
        <v>4792775.7124216622</v>
      </c>
      <c r="U255" s="158">
        <f t="shared" si="98"/>
        <v>4782476.8407934774</v>
      </c>
      <c r="V255" s="158">
        <f t="shared" si="98"/>
        <v>5527975.3162938142</v>
      </c>
      <c r="W255" s="158">
        <f t="shared" si="98"/>
        <v>6350963.0580774304</v>
      </c>
      <c r="X255" s="158">
        <f t="shared" si="98"/>
        <v>6415877.7717057718</v>
      </c>
      <c r="Y255" s="158">
        <f t="shared" si="98"/>
        <v>6400950.6509984173</v>
      </c>
      <c r="Z255" s="158">
        <f t="shared" si="98"/>
        <v>6384791.4972733771</v>
      </c>
      <c r="AA255" s="158">
        <f t="shared" si="98"/>
        <v>6367345.3297052113</v>
      </c>
      <c r="AB255" s="158">
        <f t="shared" si="98"/>
        <v>0</v>
      </c>
      <c r="AC255" s="158">
        <f t="shared" si="98"/>
        <v>0</v>
      </c>
      <c r="AD255" s="158">
        <f t="shared" si="98"/>
        <v>0</v>
      </c>
      <c r="AE255" s="158">
        <f t="shared" si="98"/>
        <v>0</v>
      </c>
      <c r="AF255" s="158">
        <f t="shared" si="98"/>
        <v>0</v>
      </c>
      <c r="AG255" s="158">
        <f t="shared" si="98"/>
        <v>0</v>
      </c>
      <c r="AH255" s="158">
        <f t="shared" si="98"/>
        <v>0</v>
      </c>
      <c r="AI255" s="158">
        <f t="shared" si="98"/>
        <v>0</v>
      </c>
      <c r="AJ255" s="158">
        <f t="shared" si="98"/>
        <v>0</v>
      </c>
      <c r="AK255" s="158">
        <f t="shared" si="98"/>
        <v>0</v>
      </c>
      <c r="AL255" s="158">
        <f t="shared" si="98"/>
        <v>0</v>
      </c>
      <c r="AM255" s="158">
        <f t="shared" si="98"/>
        <v>0</v>
      </c>
      <c r="AN255" s="158">
        <f t="shared" si="98"/>
        <v>0</v>
      </c>
      <c r="AO255" s="158">
        <f t="shared" si="98"/>
        <v>0</v>
      </c>
      <c r="AP255" s="158">
        <f t="shared" si="98"/>
        <v>0</v>
      </c>
    </row>
    <row r="256" spans="1:42" x14ac:dyDescent="0.2">
      <c r="A256" s="88" t="str">
        <f>Inputs!B126</f>
        <v>Investment Based Incentive (IBI)</v>
      </c>
    </row>
    <row r="257" spans="1:42" x14ac:dyDescent="0.2">
      <c r="A257" s="89" t="str">
        <f>Inputs!B127</f>
        <v>As fixed amount</v>
      </c>
    </row>
    <row r="258" spans="1:42" x14ac:dyDescent="0.2">
      <c r="A258" s="82" t="s">
        <v>4</v>
      </c>
      <c r="C258" s="158">
        <f>IF(ibi_fed_amount_tax_fed="Yes",C591,0)</f>
        <v>0</v>
      </c>
    </row>
    <row r="259" spans="1:42" x14ac:dyDescent="0.2">
      <c r="A259" s="82" t="s">
        <v>5</v>
      </c>
      <c r="C259" s="158">
        <f>IF(ibi_sta_amount_tax_fed="Yes",C592,0)</f>
        <v>0</v>
      </c>
    </row>
    <row r="260" spans="1:42" x14ac:dyDescent="0.2">
      <c r="A260" s="82" t="s">
        <v>186</v>
      </c>
      <c r="C260" s="158">
        <f>IF(ibi_uti_amount_tax_fed="Yes",C593,0)</f>
        <v>0</v>
      </c>
    </row>
    <row r="261" spans="1:42" x14ac:dyDescent="0.2">
      <c r="A261" s="82" t="s">
        <v>187</v>
      </c>
      <c r="C261" s="159">
        <f>IF(ibi_oth_amount_tax_fed="Yes",C594,0)</f>
        <v>0</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row>
    <row r="262" spans="1:42" x14ac:dyDescent="0.2">
      <c r="A262" s="82" t="s">
        <v>13</v>
      </c>
      <c r="C262" s="158">
        <f>SUM(C258:C261)</f>
        <v>0</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row>
    <row r="263" spans="1:42" x14ac:dyDescent="0.2">
      <c r="A263" s="89" t="str">
        <f>Inputs!B132</f>
        <v>As percentage</v>
      </c>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row>
    <row r="264" spans="1:42" x14ac:dyDescent="0.2">
      <c r="A264" s="82" t="s">
        <v>4</v>
      </c>
      <c r="C264" s="158">
        <f>IF(ibi_fed_percent_tax_fed="YES",C597,0)</f>
        <v>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row>
    <row r="265" spans="1:42" x14ac:dyDescent="0.2">
      <c r="A265" s="82" t="s">
        <v>5</v>
      </c>
      <c r="C265" s="158">
        <f>IF(ibi_sta_percent_tax_fed="YES",C598,0)</f>
        <v>0</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row>
    <row r="266" spans="1:42" x14ac:dyDescent="0.2">
      <c r="A266" s="82" t="s">
        <v>186</v>
      </c>
      <c r="C266" s="158">
        <f>IF(ibi_uti_percent_tax_fed="YES",C599,0)</f>
        <v>0</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row>
    <row r="267" spans="1:42" x14ac:dyDescent="0.2">
      <c r="A267" s="82" t="s">
        <v>187</v>
      </c>
      <c r="C267" s="159">
        <f>IF(ibi_oth_percent_tax_fed="YES",C600,0)</f>
        <v>0</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row>
    <row r="268" spans="1:42" x14ac:dyDescent="0.2">
      <c r="A268" s="82" t="s">
        <v>13</v>
      </c>
      <c r="C268" s="158">
        <f>SUM(C264:C267)</f>
        <v>0</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row>
    <row r="269" spans="1:42" x14ac:dyDescent="0.2">
      <c r="A269" s="88" t="str">
        <f>Inputs!B137</f>
        <v>Capacity Based Incentive (CBI)</v>
      </c>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row>
    <row r="270" spans="1:42" x14ac:dyDescent="0.2">
      <c r="A270" s="89" t="s">
        <v>4</v>
      </c>
      <c r="C270" s="158">
        <f>IF(cbi_fed_tax_fed="Yes",C604,0)</f>
        <v>0</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row>
    <row r="271" spans="1:42" x14ac:dyDescent="0.2">
      <c r="A271" s="89" t="s">
        <v>5</v>
      </c>
      <c r="C271" s="158">
        <f>IF(cbi_sta_tax_fed="Yes",C605,0)</f>
        <v>0</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row>
    <row r="272" spans="1:42" x14ac:dyDescent="0.2">
      <c r="A272" s="89" t="s">
        <v>186</v>
      </c>
      <c r="C272" s="158">
        <f>IF(cbi_uti_tax_fed="Yes",C606,0)</f>
        <v>0</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row>
    <row r="273" spans="1:42" x14ac:dyDescent="0.2">
      <c r="A273" s="89" t="s">
        <v>187</v>
      </c>
      <c r="C273" s="159">
        <f>IF(cbi_oth_tax_fed="Yes",C607,0)</f>
        <v>0</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row>
    <row r="274" spans="1:42" x14ac:dyDescent="0.2">
      <c r="A274" s="89" t="s">
        <v>13</v>
      </c>
      <c r="C274" s="158">
        <f>SUM(C270:C273)</f>
        <v>0</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row>
    <row r="275" spans="1:42" x14ac:dyDescent="0.2">
      <c r="A275" s="88" t="str">
        <f>Inputs!B142</f>
        <v>Production Based Incentive (PBI)</v>
      </c>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row>
    <row r="276" spans="1:42" x14ac:dyDescent="0.2">
      <c r="A276" s="89" t="s">
        <v>4</v>
      </c>
      <c r="C276" s="158">
        <f t="shared" ref="C276:AP276" si="99">IF(AND(pbi_fed_tax_fed="Yes",pbi_fed_for_ds="No"),C614,0)</f>
        <v>0</v>
      </c>
      <c r="D276" s="158">
        <f t="shared" si="99"/>
        <v>0</v>
      </c>
      <c r="E276" s="158">
        <f t="shared" si="99"/>
        <v>0</v>
      </c>
      <c r="F276" s="158">
        <f t="shared" si="99"/>
        <v>0</v>
      </c>
      <c r="G276" s="158">
        <f t="shared" si="99"/>
        <v>0</v>
      </c>
      <c r="H276" s="158">
        <f t="shared" si="99"/>
        <v>0</v>
      </c>
      <c r="I276" s="158">
        <f t="shared" si="99"/>
        <v>0</v>
      </c>
      <c r="J276" s="158">
        <f t="shared" si="99"/>
        <v>0</v>
      </c>
      <c r="K276" s="158">
        <f t="shared" si="99"/>
        <v>0</v>
      </c>
      <c r="L276" s="158">
        <f t="shared" si="99"/>
        <v>0</v>
      </c>
      <c r="M276" s="158">
        <f t="shared" si="99"/>
        <v>0</v>
      </c>
      <c r="N276" s="158">
        <f t="shared" si="99"/>
        <v>0</v>
      </c>
      <c r="O276" s="158">
        <f t="shared" si="99"/>
        <v>0</v>
      </c>
      <c r="P276" s="158">
        <f t="shared" si="99"/>
        <v>0</v>
      </c>
      <c r="Q276" s="158">
        <f t="shared" si="99"/>
        <v>0</v>
      </c>
      <c r="R276" s="158">
        <f t="shared" si="99"/>
        <v>0</v>
      </c>
      <c r="S276" s="158">
        <f t="shared" si="99"/>
        <v>0</v>
      </c>
      <c r="T276" s="158">
        <f t="shared" si="99"/>
        <v>0</v>
      </c>
      <c r="U276" s="158">
        <f t="shared" si="99"/>
        <v>0</v>
      </c>
      <c r="V276" s="158">
        <f t="shared" si="99"/>
        <v>0</v>
      </c>
      <c r="W276" s="158">
        <f t="shared" si="99"/>
        <v>0</v>
      </c>
      <c r="X276" s="158">
        <f t="shared" si="99"/>
        <v>0</v>
      </c>
      <c r="Y276" s="158">
        <f t="shared" si="99"/>
        <v>0</v>
      </c>
      <c r="Z276" s="158">
        <f t="shared" si="99"/>
        <v>0</v>
      </c>
      <c r="AA276" s="158">
        <f t="shared" si="99"/>
        <v>0</v>
      </c>
      <c r="AB276" s="158">
        <f t="shared" si="99"/>
        <v>0</v>
      </c>
      <c r="AC276" s="158">
        <f t="shared" si="99"/>
        <v>0</v>
      </c>
      <c r="AD276" s="158">
        <f t="shared" si="99"/>
        <v>0</v>
      </c>
      <c r="AE276" s="158">
        <f t="shared" si="99"/>
        <v>0</v>
      </c>
      <c r="AF276" s="158">
        <f t="shared" si="99"/>
        <v>0</v>
      </c>
      <c r="AG276" s="158">
        <f t="shared" si="99"/>
        <v>0</v>
      </c>
      <c r="AH276" s="158">
        <f t="shared" si="99"/>
        <v>0</v>
      </c>
      <c r="AI276" s="158">
        <f t="shared" si="99"/>
        <v>0</v>
      </c>
      <c r="AJ276" s="158">
        <f t="shared" si="99"/>
        <v>0</v>
      </c>
      <c r="AK276" s="158">
        <f t="shared" si="99"/>
        <v>0</v>
      </c>
      <c r="AL276" s="158">
        <f t="shared" si="99"/>
        <v>0</v>
      </c>
      <c r="AM276" s="158">
        <f t="shared" si="99"/>
        <v>0</v>
      </c>
      <c r="AN276" s="158">
        <f t="shared" si="99"/>
        <v>0</v>
      </c>
      <c r="AO276" s="158">
        <f t="shared" si="99"/>
        <v>0</v>
      </c>
      <c r="AP276" s="158">
        <f t="shared" si="99"/>
        <v>0</v>
      </c>
    </row>
    <row r="277" spans="1:42" x14ac:dyDescent="0.2">
      <c r="A277" s="89" t="s">
        <v>5</v>
      </c>
      <c r="C277" s="158">
        <f t="shared" ref="C277:AP277" si="100">IF(AND(pbi_sta_tax_fed="Yes",pbi_sta_for_ds="No"),C618,0)</f>
        <v>0</v>
      </c>
      <c r="D277" s="158">
        <f t="shared" si="100"/>
        <v>0</v>
      </c>
      <c r="E277" s="158">
        <f t="shared" si="100"/>
        <v>0</v>
      </c>
      <c r="F277" s="158">
        <f t="shared" si="100"/>
        <v>0</v>
      </c>
      <c r="G277" s="158">
        <f t="shared" si="100"/>
        <v>0</v>
      </c>
      <c r="H277" s="158">
        <f t="shared" si="100"/>
        <v>0</v>
      </c>
      <c r="I277" s="158">
        <f t="shared" si="100"/>
        <v>0</v>
      </c>
      <c r="J277" s="158">
        <f t="shared" si="100"/>
        <v>0</v>
      </c>
      <c r="K277" s="158">
        <f t="shared" si="100"/>
        <v>0</v>
      </c>
      <c r="L277" s="158">
        <f t="shared" si="100"/>
        <v>0</v>
      </c>
      <c r="M277" s="158">
        <f t="shared" si="100"/>
        <v>0</v>
      </c>
      <c r="N277" s="158">
        <f t="shared" si="100"/>
        <v>0</v>
      </c>
      <c r="O277" s="158">
        <f t="shared" si="100"/>
        <v>0</v>
      </c>
      <c r="P277" s="158">
        <f t="shared" si="100"/>
        <v>0</v>
      </c>
      <c r="Q277" s="158">
        <f t="shared" si="100"/>
        <v>0</v>
      </c>
      <c r="R277" s="158">
        <f t="shared" si="100"/>
        <v>0</v>
      </c>
      <c r="S277" s="158">
        <f t="shared" si="100"/>
        <v>0</v>
      </c>
      <c r="T277" s="158">
        <f t="shared" si="100"/>
        <v>0</v>
      </c>
      <c r="U277" s="158">
        <f t="shared" si="100"/>
        <v>0</v>
      </c>
      <c r="V277" s="158">
        <f t="shared" si="100"/>
        <v>0</v>
      </c>
      <c r="W277" s="158">
        <f t="shared" si="100"/>
        <v>0</v>
      </c>
      <c r="X277" s="158">
        <f t="shared" si="100"/>
        <v>0</v>
      </c>
      <c r="Y277" s="158">
        <f t="shared" si="100"/>
        <v>0</v>
      </c>
      <c r="Z277" s="158">
        <f t="shared" si="100"/>
        <v>0</v>
      </c>
      <c r="AA277" s="158">
        <f t="shared" si="100"/>
        <v>0</v>
      </c>
      <c r="AB277" s="158">
        <f t="shared" si="100"/>
        <v>0</v>
      </c>
      <c r="AC277" s="158">
        <f t="shared" si="100"/>
        <v>0</v>
      </c>
      <c r="AD277" s="158">
        <f t="shared" si="100"/>
        <v>0</v>
      </c>
      <c r="AE277" s="158">
        <f t="shared" si="100"/>
        <v>0</v>
      </c>
      <c r="AF277" s="158">
        <f t="shared" si="100"/>
        <v>0</v>
      </c>
      <c r="AG277" s="158">
        <f t="shared" si="100"/>
        <v>0</v>
      </c>
      <c r="AH277" s="158">
        <f t="shared" si="100"/>
        <v>0</v>
      </c>
      <c r="AI277" s="158">
        <f t="shared" si="100"/>
        <v>0</v>
      </c>
      <c r="AJ277" s="158">
        <f t="shared" si="100"/>
        <v>0</v>
      </c>
      <c r="AK277" s="158">
        <f t="shared" si="100"/>
        <v>0</v>
      </c>
      <c r="AL277" s="158">
        <f t="shared" si="100"/>
        <v>0</v>
      </c>
      <c r="AM277" s="158">
        <f t="shared" si="100"/>
        <v>0</v>
      </c>
      <c r="AN277" s="158">
        <f t="shared" si="100"/>
        <v>0</v>
      </c>
      <c r="AO277" s="158">
        <f t="shared" si="100"/>
        <v>0</v>
      </c>
      <c r="AP277" s="158">
        <f t="shared" si="100"/>
        <v>0</v>
      </c>
    </row>
    <row r="278" spans="1:42" x14ac:dyDescent="0.2">
      <c r="A278" s="89" t="s">
        <v>186</v>
      </c>
      <c r="C278" s="158">
        <f t="shared" ref="C278:AP278" si="101">IF(AND(pbi_uti_tax_fed="Yes",pbi_uti_for_ds="No"),C622,0)</f>
        <v>0</v>
      </c>
      <c r="D278" s="158">
        <f t="shared" si="101"/>
        <v>0</v>
      </c>
      <c r="E278" s="158">
        <f t="shared" si="101"/>
        <v>0</v>
      </c>
      <c r="F278" s="158">
        <f t="shared" si="101"/>
        <v>0</v>
      </c>
      <c r="G278" s="158">
        <f t="shared" si="101"/>
        <v>0</v>
      </c>
      <c r="H278" s="158">
        <f t="shared" si="101"/>
        <v>0</v>
      </c>
      <c r="I278" s="158">
        <f t="shared" si="101"/>
        <v>0</v>
      </c>
      <c r="J278" s="158">
        <f t="shared" si="101"/>
        <v>0</v>
      </c>
      <c r="K278" s="158">
        <f t="shared" si="101"/>
        <v>0</v>
      </c>
      <c r="L278" s="158">
        <f t="shared" si="101"/>
        <v>0</v>
      </c>
      <c r="M278" s="158">
        <f t="shared" si="101"/>
        <v>0</v>
      </c>
      <c r="N278" s="158">
        <f t="shared" si="101"/>
        <v>0</v>
      </c>
      <c r="O278" s="158">
        <f t="shared" si="101"/>
        <v>0</v>
      </c>
      <c r="P278" s="158">
        <f t="shared" si="101"/>
        <v>0</v>
      </c>
      <c r="Q278" s="158">
        <f t="shared" si="101"/>
        <v>0</v>
      </c>
      <c r="R278" s="158">
        <f t="shared" si="101"/>
        <v>0</v>
      </c>
      <c r="S278" s="158">
        <f t="shared" si="101"/>
        <v>0</v>
      </c>
      <c r="T278" s="158">
        <f t="shared" si="101"/>
        <v>0</v>
      </c>
      <c r="U278" s="158">
        <f t="shared" si="101"/>
        <v>0</v>
      </c>
      <c r="V278" s="158">
        <f t="shared" si="101"/>
        <v>0</v>
      </c>
      <c r="W278" s="158">
        <f t="shared" si="101"/>
        <v>0</v>
      </c>
      <c r="X278" s="158">
        <f t="shared" si="101"/>
        <v>0</v>
      </c>
      <c r="Y278" s="158">
        <f t="shared" si="101"/>
        <v>0</v>
      </c>
      <c r="Z278" s="158">
        <f t="shared" si="101"/>
        <v>0</v>
      </c>
      <c r="AA278" s="158">
        <f t="shared" si="101"/>
        <v>0</v>
      </c>
      <c r="AB278" s="158">
        <f t="shared" si="101"/>
        <v>0</v>
      </c>
      <c r="AC278" s="158">
        <f t="shared" si="101"/>
        <v>0</v>
      </c>
      <c r="AD278" s="158">
        <f t="shared" si="101"/>
        <v>0</v>
      </c>
      <c r="AE278" s="158">
        <f t="shared" si="101"/>
        <v>0</v>
      </c>
      <c r="AF278" s="158">
        <f t="shared" si="101"/>
        <v>0</v>
      </c>
      <c r="AG278" s="158">
        <f t="shared" si="101"/>
        <v>0</v>
      </c>
      <c r="AH278" s="158">
        <f t="shared" si="101"/>
        <v>0</v>
      </c>
      <c r="AI278" s="158">
        <f t="shared" si="101"/>
        <v>0</v>
      </c>
      <c r="AJ278" s="158">
        <f t="shared" si="101"/>
        <v>0</v>
      </c>
      <c r="AK278" s="158">
        <f t="shared" si="101"/>
        <v>0</v>
      </c>
      <c r="AL278" s="158">
        <f t="shared" si="101"/>
        <v>0</v>
      </c>
      <c r="AM278" s="158">
        <f t="shared" si="101"/>
        <v>0</v>
      </c>
      <c r="AN278" s="158">
        <f t="shared" si="101"/>
        <v>0</v>
      </c>
      <c r="AO278" s="158">
        <f t="shared" si="101"/>
        <v>0</v>
      </c>
      <c r="AP278" s="158">
        <f t="shared" si="101"/>
        <v>0</v>
      </c>
    </row>
    <row r="279" spans="1:42" x14ac:dyDescent="0.2">
      <c r="A279" s="89" t="s">
        <v>187</v>
      </c>
      <c r="C279" s="158">
        <f t="shared" ref="C279:AP279" si="102">IF(AND(pbi_oth_tax_fed="Yes",pbi_oth_for_ds="No"),C626,0)</f>
        <v>0</v>
      </c>
      <c r="D279" s="158">
        <f t="shared" si="102"/>
        <v>0</v>
      </c>
      <c r="E279" s="158">
        <f t="shared" si="102"/>
        <v>0</v>
      </c>
      <c r="F279" s="158">
        <f t="shared" si="102"/>
        <v>0</v>
      </c>
      <c r="G279" s="158">
        <f t="shared" si="102"/>
        <v>0</v>
      </c>
      <c r="H279" s="158">
        <f t="shared" si="102"/>
        <v>0</v>
      </c>
      <c r="I279" s="158">
        <f t="shared" si="102"/>
        <v>0</v>
      </c>
      <c r="J279" s="158">
        <f t="shared" si="102"/>
        <v>0</v>
      </c>
      <c r="K279" s="158">
        <f t="shared" si="102"/>
        <v>0</v>
      </c>
      <c r="L279" s="158">
        <f t="shared" si="102"/>
        <v>0</v>
      </c>
      <c r="M279" s="158">
        <f t="shared" si="102"/>
        <v>0</v>
      </c>
      <c r="N279" s="158">
        <f t="shared" si="102"/>
        <v>0</v>
      </c>
      <c r="O279" s="158">
        <f t="shared" si="102"/>
        <v>0</v>
      </c>
      <c r="P279" s="158">
        <f t="shared" si="102"/>
        <v>0</v>
      </c>
      <c r="Q279" s="158">
        <f t="shared" si="102"/>
        <v>0</v>
      </c>
      <c r="R279" s="158">
        <f t="shared" si="102"/>
        <v>0</v>
      </c>
      <c r="S279" s="158">
        <f t="shared" si="102"/>
        <v>0</v>
      </c>
      <c r="T279" s="158">
        <f t="shared" si="102"/>
        <v>0</v>
      </c>
      <c r="U279" s="158">
        <f t="shared" si="102"/>
        <v>0</v>
      </c>
      <c r="V279" s="158">
        <f t="shared" si="102"/>
        <v>0</v>
      </c>
      <c r="W279" s="158">
        <f t="shared" si="102"/>
        <v>0</v>
      </c>
      <c r="X279" s="158">
        <f t="shared" si="102"/>
        <v>0</v>
      </c>
      <c r="Y279" s="158">
        <f t="shared" si="102"/>
        <v>0</v>
      </c>
      <c r="Z279" s="158">
        <f t="shared" si="102"/>
        <v>0</v>
      </c>
      <c r="AA279" s="158">
        <f t="shared" si="102"/>
        <v>0</v>
      </c>
      <c r="AB279" s="158">
        <f t="shared" si="102"/>
        <v>0</v>
      </c>
      <c r="AC279" s="158">
        <f t="shared" si="102"/>
        <v>0</v>
      </c>
      <c r="AD279" s="158">
        <f t="shared" si="102"/>
        <v>0</v>
      </c>
      <c r="AE279" s="158">
        <f t="shared" si="102"/>
        <v>0</v>
      </c>
      <c r="AF279" s="158">
        <f t="shared" si="102"/>
        <v>0</v>
      </c>
      <c r="AG279" s="158">
        <f t="shared" si="102"/>
        <v>0</v>
      </c>
      <c r="AH279" s="158">
        <f t="shared" si="102"/>
        <v>0</v>
      </c>
      <c r="AI279" s="158">
        <f t="shared" si="102"/>
        <v>0</v>
      </c>
      <c r="AJ279" s="158">
        <f t="shared" si="102"/>
        <v>0</v>
      </c>
      <c r="AK279" s="158">
        <f t="shared" si="102"/>
        <v>0</v>
      </c>
      <c r="AL279" s="158">
        <f t="shared" si="102"/>
        <v>0</v>
      </c>
      <c r="AM279" s="158">
        <f t="shared" si="102"/>
        <v>0</v>
      </c>
      <c r="AN279" s="158">
        <f t="shared" si="102"/>
        <v>0</v>
      </c>
      <c r="AO279" s="158">
        <f t="shared" si="102"/>
        <v>0</v>
      </c>
      <c r="AP279" s="158">
        <f t="shared" si="102"/>
        <v>0</v>
      </c>
    </row>
    <row r="280" spans="1:42" x14ac:dyDescent="0.2">
      <c r="A280" s="89" t="s">
        <v>13</v>
      </c>
      <c r="C280" s="160">
        <f>SUM(C276:C279)</f>
        <v>0</v>
      </c>
      <c r="D280" s="160">
        <f t="shared" ref="D280:AP280" si="103">SUM(D276:D279)</f>
        <v>0</v>
      </c>
      <c r="E280" s="160">
        <f t="shared" si="103"/>
        <v>0</v>
      </c>
      <c r="F280" s="160">
        <f t="shared" si="103"/>
        <v>0</v>
      </c>
      <c r="G280" s="160">
        <f t="shared" si="103"/>
        <v>0</v>
      </c>
      <c r="H280" s="160">
        <f t="shared" si="103"/>
        <v>0</v>
      </c>
      <c r="I280" s="160">
        <f t="shared" si="103"/>
        <v>0</v>
      </c>
      <c r="J280" s="160">
        <f t="shared" si="103"/>
        <v>0</v>
      </c>
      <c r="K280" s="160">
        <f t="shared" si="103"/>
        <v>0</v>
      </c>
      <c r="L280" s="160">
        <f t="shared" si="103"/>
        <v>0</v>
      </c>
      <c r="M280" s="160">
        <f t="shared" si="103"/>
        <v>0</v>
      </c>
      <c r="N280" s="160">
        <f t="shared" si="103"/>
        <v>0</v>
      </c>
      <c r="O280" s="160">
        <f t="shared" si="103"/>
        <v>0</v>
      </c>
      <c r="P280" s="160">
        <f t="shared" si="103"/>
        <v>0</v>
      </c>
      <c r="Q280" s="160">
        <f t="shared" si="103"/>
        <v>0</v>
      </c>
      <c r="R280" s="160">
        <f t="shared" si="103"/>
        <v>0</v>
      </c>
      <c r="S280" s="160">
        <f t="shared" si="103"/>
        <v>0</v>
      </c>
      <c r="T280" s="160">
        <f t="shared" si="103"/>
        <v>0</v>
      </c>
      <c r="U280" s="160">
        <f t="shared" si="103"/>
        <v>0</v>
      </c>
      <c r="V280" s="160">
        <f t="shared" si="103"/>
        <v>0</v>
      </c>
      <c r="W280" s="160">
        <f t="shared" si="103"/>
        <v>0</v>
      </c>
      <c r="X280" s="160">
        <f t="shared" si="103"/>
        <v>0</v>
      </c>
      <c r="Y280" s="160">
        <f t="shared" si="103"/>
        <v>0</v>
      </c>
      <c r="Z280" s="160">
        <f t="shared" si="103"/>
        <v>0</v>
      </c>
      <c r="AA280" s="160">
        <f t="shared" si="103"/>
        <v>0</v>
      </c>
      <c r="AB280" s="160">
        <f t="shared" si="103"/>
        <v>0</v>
      </c>
      <c r="AC280" s="160">
        <f t="shared" si="103"/>
        <v>0</v>
      </c>
      <c r="AD280" s="160">
        <f t="shared" si="103"/>
        <v>0</v>
      </c>
      <c r="AE280" s="160">
        <f t="shared" si="103"/>
        <v>0</v>
      </c>
      <c r="AF280" s="160">
        <f t="shared" si="103"/>
        <v>0</v>
      </c>
      <c r="AG280" s="160">
        <f t="shared" si="103"/>
        <v>0</v>
      </c>
      <c r="AH280" s="160">
        <f t="shared" si="103"/>
        <v>0</v>
      </c>
      <c r="AI280" s="160">
        <f t="shared" si="103"/>
        <v>0</v>
      </c>
      <c r="AJ280" s="160">
        <f t="shared" si="103"/>
        <v>0</v>
      </c>
      <c r="AK280" s="160">
        <f t="shared" si="103"/>
        <v>0</v>
      </c>
      <c r="AL280" s="160">
        <f t="shared" si="103"/>
        <v>0</v>
      </c>
      <c r="AM280" s="160">
        <f t="shared" si="103"/>
        <v>0</v>
      </c>
      <c r="AN280" s="160">
        <f t="shared" si="103"/>
        <v>0</v>
      </c>
      <c r="AO280" s="160">
        <f t="shared" si="103"/>
        <v>0</v>
      </c>
      <c r="AP280" s="160">
        <f t="shared" si="103"/>
        <v>0</v>
      </c>
    </row>
    <row r="281" spans="1:42" x14ac:dyDescent="0.2">
      <c r="A281" s="88" t="s">
        <v>42</v>
      </c>
      <c r="C281" s="158">
        <f>C262+C268+C274+C280</f>
        <v>0</v>
      </c>
      <c r="D281" s="158">
        <f t="shared" ref="D281:AP281" si="104">D262+D268+D274+D280</f>
        <v>0</v>
      </c>
      <c r="E281" s="158">
        <f t="shared" si="104"/>
        <v>0</v>
      </c>
      <c r="F281" s="158">
        <f t="shared" si="104"/>
        <v>0</v>
      </c>
      <c r="G281" s="158">
        <f t="shared" si="104"/>
        <v>0</v>
      </c>
      <c r="H281" s="158">
        <f t="shared" si="104"/>
        <v>0</v>
      </c>
      <c r="I281" s="158">
        <f t="shared" si="104"/>
        <v>0</v>
      </c>
      <c r="J281" s="158">
        <f t="shared" si="104"/>
        <v>0</v>
      </c>
      <c r="K281" s="158">
        <f t="shared" si="104"/>
        <v>0</v>
      </c>
      <c r="L281" s="158">
        <f t="shared" si="104"/>
        <v>0</v>
      </c>
      <c r="M281" s="158">
        <f t="shared" si="104"/>
        <v>0</v>
      </c>
      <c r="N281" s="158">
        <f t="shared" si="104"/>
        <v>0</v>
      </c>
      <c r="O281" s="158">
        <f t="shared" si="104"/>
        <v>0</v>
      </c>
      <c r="P281" s="158">
        <f t="shared" si="104"/>
        <v>0</v>
      </c>
      <c r="Q281" s="158">
        <f t="shared" si="104"/>
        <v>0</v>
      </c>
      <c r="R281" s="158">
        <f t="shared" si="104"/>
        <v>0</v>
      </c>
      <c r="S281" s="158">
        <f t="shared" si="104"/>
        <v>0</v>
      </c>
      <c r="T281" s="158">
        <f t="shared" si="104"/>
        <v>0</v>
      </c>
      <c r="U281" s="158">
        <f t="shared" si="104"/>
        <v>0</v>
      </c>
      <c r="V281" s="158">
        <f t="shared" si="104"/>
        <v>0</v>
      </c>
      <c r="W281" s="158">
        <f t="shared" si="104"/>
        <v>0</v>
      </c>
      <c r="X281" s="158">
        <f t="shared" si="104"/>
        <v>0</v>
      </c>
      <c r="Y281" s="158">
        <f t="shared" si="104"/>
        <v>0</v>
      </c>
      <c r="Z281" s="158">
        <f t="shared" si="104"/>
        <v>0</v>
      </c>
      <c r="AA281" s="158">
        <f t="shared" si="104"/>
        <v>0</v>
      </c>
      <c r="AB281" s="158">
        <f t="shared" si="104"/>
        <v>0</v>
      </c>
      <c r="AC281" s="158">
        <f t="shared" si="104"/>
        <v>0</v>
      </c>
      <c r="AD281" s="158">
        <f t="shared" si="104"/>
        <v>0</v>
      </c>
      <c r="AE281" s="158">
        <f t="shared" si="104"/>
        <v>0</v>
      </c>
      <c r="AF281" s="158">
        <f t="shared" si="104"/>
        <v>0</v>
      </c>
      <c r="AG281" s="158">
        <f t="shared" si="104"/>
        <v>0</v>
      </c>
      <c r="AH281" s="158">
        <f t="shared" si="104"/>
        <v>0</v>
      </c>
      <c r="AI281" s="158">
        <f t="shared" si="104"/>
        <v>0</v>
      </c>
      <c r="AJ281" s="158">
        <f t="shared" si="104"/>
        <v>0</v>
      </c>
      <c r="AK281" s="158">
        <f t="shared" si="104"/>
        <v>0</v>
      </c>
      <c r="AL281" s="158">
        <f t="shared" si="104"/>
        <v>0</v>
      </c>
      <c r="AM281" s="158">
        <f t="shared" si="104"/>
        <v>0</v>
      </c>
      <c r="AN281" s="158">
        <f t="shared" si="104"/>
        <v>0</v>
      </c>
      <c r="AO281" s="158">
        <f t="shared" si="104"/>
        <v>0</v>
      </c>
      <c r="AP281" s="158">
        <f t="shared" si="104"/>
        <v>0</v>
      </c>
    </row>
    <row r="282" spans="1:42" x14ac:dyDescent="0.2">
      <c r="A282" s="89"/>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row>
    <row r="283" spans="1:42" x14ac:dyDescent="0.2">
      <c r="A283" s="88" t="s">
        <v>43</v>
      </c>
      <c r="C283" s="161">
        <f>C255+C281</f>
        <v>-9789623.1343224365</v>
      </c>
      <c r="D283" s="161">
        <f t="shared" ref="D283:AP283" si="105">D255+D281</f>
        <v>-19636309.04709439</v>
      </c>
      <c r="E283" s="161">
        <f t="shared" si="105"/>
        <v>-9340016.8360959087</v>
      </c>
      <c r="F283" s="161">
        <f t="shared" si="105"/>
        <v>-3152667.0241809287</v>
      </c>
      <c r="G283" s="161">
        <f t="shared" si="105"/>
        <v>-3127328.9659116771</v>
      </c>
      <c r="H283" s="161">
        <f t="shared" si="105"/>
        <v>1516192.4094860035</v>
      </c>
      <c r="I283" s="161">
        <f t="shared" si="105"/>
        <v>6153142.9493219042</v>
      </c>
      <c r="J283" s="161">
        <f t="shared" si="105"/>
        <v>6164096.5653990274</v>
      </c>
      <c r="K283" s="161">
        <f t="shared" si="105"/>
        <v>6174083.4212106531</v>
      </c>
      <c r="L283" s="161">
        <f t="shared" si="105"/>
        <v>6183559.5130187217</v>
      </c>
      <c r="M283" s="161">
        <f t="shared" si="105"/>
        <v>6191870.00516521</v>
      </c>
      <c r="N283" s="161">
        <f t="shared" si="105"/>
        <v>6199870.4141992023</v>
      </c>
      <c r="O283" s="161">
        <f t="shared" si="105"/>
        <v>6206127.541037323</v>
      </c>
      <c r="P283" s="161">
        <f t="shared" si="105"/>
        <v>6212291.2261124896</v>
      </c>
      <c r="Q283" s="161">
        <f t="shared" si="105"/>
        <v>3588672.1458712216</v>
      </c>
      <c r="R283" s="161">
        <f t="shared" si="105"/>
        <v>1985281.635373238</v>
      </c>
      <c r="S283" s="161">
        <f t="shared" si="105"/>
        <v>3792790.5482153916</v>
      </c>
      <c r="T283" s="161">
        <f t="shared" si="105"/>
        <v>4792775.7124216622</v>
      </c>
      <c r="U283" s="161">
        <f t="shared" si="105"/>
        <v>4782476.8407934774</v>
      </c>
      <c r="V283" s="161">
        <f t="shared" si="105"/>
        <v>5527975.3162938142</v>
      </c>
      <c r="W283" s="161">
        <f t="shared" si="105"/>
        <v>6350963.0580774304</v>
      </c>
      <c r="X283" s="161">
        <f t="shared" si="105"/>
        <v>6415877.7717057718</v>
      </c>
      <c r="Y283" s="161">
        <f t="shared" si="105"/>
        <v>6400950.6509984173</v>
      </c>
      <c r="Z283" s="161">
        <f t="shared" si="105"/>
        <v>6384791.4972733771</v>
      </c>
      <c r="AA283" s="161">
        <f t="shared" si="105"/>
        <v>6367345.3297052113</v>
      </c>
      <c r="AB283" s="161">
        <f t="shared" si="105"/>
        <v>0</v>
      </c>
      <c r="AC283" s="161">
        <f t="shared" si="105"/>
        <v>0</v>
      </c>
      <c r="AD283" s="161">
        <f t="shared" si="105"/>
        <v>0</v>
      </c>
      <c r="AE283" s="161">
        <f t="shared" si="105"/>
        <v>0</v>
      </c>
      <c r="AF283" s="161">
        <f t="shared" si="105"/>
        <v>0</v>
      </c>
      <c r="AG283" s="161">
        <f t="shared" si="105"/>
        <v>0</v>
      </c>
      <c r="AH283" s="161">
        <f t="shared" si="105"/>
        <v>0</v>
      </c>
      <c r="AI283" s="161">
        <f t="shared" si="105"/>
        <v>0</v>
      </c>
      <c r="AJ283" s="161">
        <f t="shared" si="105"/>
        <v>0</v>
      </c>
      <c r="AK283" s="161">
        <f t="shared" si="105"/>
        <v>0</v>
      </c>
      <c r="AL283" s="161">
        <f t="shared" si="105"/>
        <v>0</v>
      </c>
      <c r="AM283" s="161">
        <f t="shared" si="105"/>
        <v>0</v>
      </c>
      <c r="AN283" s="161">
        <f t="shared" si="105"/>
        <v>0</v>
      </c>
      <c r="AO283" s="161">
        <f t="shared" si="105"/>
        <v>0</v>
      </c>
      <c r="AP283" s="161">
        <f t="shared" si="105"/>
        <v>0</v>
      </c>
    </row>
    <row r="284" spans="1:42" x14ac:dyDescent="0.2">
      <c r="A284" s="88" t="s">
        <v>287</v>
      </c>
      <c r="B284" s="4">
        <f t="array" ref="B284:AP284">Inputs!C180:AQ180</f>
        <v>0</v>
      </c>
      <c r="C284" s="160">
        <v>21</v>
      </c>
      <c r="D284" s="160">
        <v>21</v>
      </c>
      <c r="E284" s="160">
        <v>21</v>
      </c>
      <c r="F284" s="160">
        <v>21</v>
      </c>
      <c r="G284" s="160">
        <v>21</v>
      </c>
      <c r="H284" s="160">
        <v>21</v>
      </c>
      <c r="I284" s="160">
        <v>21</v>
      </c>
      <c r="J284" s="160">
        <v>21</v>
      </c>
      <c r="K284" s="160">
        <v>21</v>
      </c>
      <c r="L284" s="160">
        <v>21</v>
      </c>
      <c r="M284" s="160">
        <v>21</v>
      </c>
      <c r="N284" s="160">
        <v>21</v>
      </c>
      <c r="O284" s="160">
        <v>21</v>
      </c>
      <c r="P284" s="160">
        <v>21</v>
      </c>
      <c r="Q284" s="160">
        <v>21</v>
      </c>
      <c r="R284" s="160">
        <v>21</v>
      </c>
      <c r="S284" s="160">
        <v>21</v>
      </c>
      <c r="T284" s="160">
        <v>21</v>
      </c>
      <c r="U284" s="160">
        <v>21</v>
      </c>
      <c r="V284" s="160">
        <v>21</v>
      </c>
      <c r="W284" s="160">
        <v>21</v>
      </c>
      <c r="X284" s="160">
        <v>21</v>
      </c>
      <c r="Y284" s="160">
        <v>21</v>
      </c>
      <c r="Z284" s="160">
        <v>21</v>
      </c>
      <c r="AA284" s="160">
        <v>21</v>
      </c>
      <c r="AB284" s="160">
        <v>0</v>
      </c>
      <c r="AC284" s="160">
        <v>0</v>
      </c>
      <c r="AD284" s="160">
        <v>0</v>
      </c>
      <c r="AE284" s="160">
        <v>0</v>
      </c>
      <c r="AF284" s="160">
        <v>0</v>
      </c>
      <c r="AG284" s="160">
        <v>0</v>
      </c>
      <c r="AH284" s="160">
        <v>0</v>
      </c>
      <c r="AI284" s="160">
        <v>0</v>
      </c>
      <c r="AJ284" s="160">
        <v>0</v>
      </c>
      <c r="AK284" s="160">
        <v>0</v>
      </c>
      <c r="AL284" s="160">
        <v>0</v>
      </c>
      <c r="AM284" s="160">
        <v>0</v>
      </c>
      <c r="AN284" s="160">
        <v>0</v>
      </c>
      <c r="AO284" s="160">
        <v>0</v>
      </c>
      <c r="AP284" s="160">
        <v>0</v>
      </c>
    </row>
    <row r="285" spans="1:42" x14ac:dyDescent="0.2">
      <c r="A285" s="88" t="s">
        <v>83</v>
      </c>
      <c r="C285" s="161">
        <f>C283*-C284/100</f>
        <v>2055820.8582077115</v>
      </c>
      <c r="D285" s="161">
        <f t="shared" ref="D285:AP285" si="106">D283*-D284/100</f>
        <v>4123624.8998898221</v>
      </c>
      <c r="E285" s="161">
        <f t="shared" si="106"/>
        <v>1961403.535580141</v>
      </c>
      <c r="F285" s="161">
        <f t="shared" si="106"/>
        <v>662060.07507799508</v>
      </c>
      <c r="G285" s="161">
        <f t="shared" si="106"/>
        <v>656739.08284145221</v>
      </c>
      <c r="H285" s="161">
        <f t="shared" si="106"/>
        <v>-318400.40599206073</v>
      </c>
      <c r="I285" s="161">
        <f t="shared" si="106"/>
        <v>-1292160.0193576</v>
      </c>
      <c r="J285" s="161">
        <f t="shared" si="106"/>
        <v>-1294460.2787337957</v>
      </c>
      <c r="K285" s="161">
        <f t="shared" si="106"/>
        <v>-1296557.5184542371</v>
      </c>
      <c r="L285" s="161">
        <f t="shared" si="106"/>
        <v>-1298547.4977339315</v>
      </c>
      <c r="M285" s="161">
        <f t="shared" si="106"/>
        <v>-1300292.7010846941</v>
      </c>
      <c r="N285" s="161">
        <f t="shared" si="106"/>
        <v>-1301972.7869818325</v>
      </c>
      <c r="O285" s="161">
        <f t="shared" si="106"/>
        <v>-1303286.7836178378</v>
      </c>
      <c r="P285" s="161">
        <f t="shared" si="106"/>
        <v>-1304581.1574836229</v>
      </c>
      <c r="Q285" s="161">
        <f t="shared" si="106"/>
        <v>-753621.15063295653</v>
      </c>
      <c r="R285" s="161">
        <f t="shared" si="106"/>
        <v>-416909.14342837996</v>
      </c>
      <c r="S285" s="161">
        <f t="shared" si="106"/>
        <v>-796486.01512523217</v>
      </c>
      <c r="T285" s="161">
        <f t="shared" si="106"/>
        <v>-1006482.8996085491</v>
      </c>
      <c r="U285" s="161">
        <f t="shared" si="106"/>
        <v>-1004320.1365666303</v>
      </c>
      <c r="V285" s="161">
        <f t="shared" si="106"/>
        <v>-1160874.8164217011</v>
      </c>
      <c r="W285" s="161">
        <f t="shared" si="106"/>
        <v>-1333702.2421962605</v>
      </c>
      <c r="X285" s="161">
        <f t="shared" si="106"/>
        <v>-1347334.3320582123</v>
      </c>
      <c r="Y285" s="161">
        <f t="shared" si="106"/>
        <v>-1344199.6367096677</v>
      </c>
      <c r="Z285" s="161">
        <f t="shared" si="106"/>
        <v>-1340806.2144274092</v>
      </c>
      <c r="AA285" s="161">
        <f t="shared" si="106"/>
        <v>-1337142.5192380943</v>
      </c>
      <c r="AB285" s="161">
        <f t="shared" si="106"/>
        <v>0</v>
      </c>
      <c r="AC285" s="161">
        <f t="shared" si="106"/>
        <v>0</v>
      </c>
      <c r="AD285" s="161">
        <f t="shared" si="106"/>
        <v>0</v>
      </c>
      <c r="AE285" s="161">
        <f t="shared" si="106"/>
        <v>0</v>
      </c>
      <c r="AF285" s="161">
        <f t="shared" si="106"/>
        <v>0</v>
      </c>
      <c r="AG285" s="161">
        <f t="shared" si="106"/>
        <v>0</v>
      </c>
      <c r="AH285" s="161">
        <f t="shared" si="106"/>
        <v>0</v>
      </c>
      <c r="AI285" s="161">
        <f t="shared" si="106"/>
        <v>0</v>
      </c>
      <c r="AJ285" s="161">
        <f t="shared" si="106"/>
        <v>0</v>
      </c>
      <c r="AK285" s="161">
        <f t="shared" si="106"/>
        <v>0</v>
      </c>
      <c r="AL285" s="161">
        <f t="shared" si="106"/>
        <v>0</v>
      </c>
      <c r="AM285" s="161">
        <f t="shared" si="106"/>
        <v>0</v>
      </c>
      <c r="AN285" s="161">
        <f t="shared" si="106"/>
        <v>0</v>
      </c>
      <c r="AO285" s="161">
        <f t="shared" si="106"/>
        <v>0</v>
      </c>
      <c r="AP285" s="161">
        <f t="shared" si="106"/>
        <v>0</v>
      </c>
    </row>
    <row r="286" spans="1:42" x14ac:dyDescent="0.2">
      <c r="A286" s="22"/>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row>
    <row r="287" spans="1:42" x14ac:dyDescent="0.2">
      <c r="A287" s="84" t="s">
        <v>468</v>
      </c>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row>
    <row r="288" spans="1:42" x14ac:dyDescent="0.2">
      <c r="A288" s="20" t="s">
        <v>98</v>
      </c>
    </row>
    <row r="289" spans="1:17" x14ac:dyDescent="0.2">
      <c r="A289" s="4" t="s">
        <v>237</v>
      </c>
      <c r="G289" s="336" t="s">
        <v>67</v>
      </c>
      <c r="H289" s="337"/>
      <c r="I289" s="337"/>
      <c r="J289" s="338"/>
      <c r="K289" s="339" t="s">
        <v>68</v>
      </c>
      <c r="L289" s="340"/>
    </row>
    <row r="290" spans="1:17" ht="51" x14ac:dyDescent="0.2">
      <c r="B290" s="14" t="s">
        <v>57</v>
      </c>
      <c r="C290" s="14" t="s">
        <v>53</v>
      </c>
      <c r="D290" s="14" t="s">
        <v>55</v>
      </c>
      <c r="E290" s="24" t="s">
        <v>56</v>
      </c>
      <c r="F290" s="14" t="s">
        <v>58</v>
      </c>
      <c r="G290" s="14" t="s">
        <v>62</v>
      </c>
      <c r="H290" s="14" t="s">
        <v>64</v>
      </c>
      <c r="I290" s="52" t="s">
        <v>63</v>
      </c>
      <c r="J290" s="14" t="s">
        <v>65</v>
      </c>
      <c r="K290" s="14" t="s">
        <v>63</v>
      </c>
      <c r="L290" s="140" t="s">
        <v>65</v>
      </c>
      <c r="M290" s="25" t="s">
        <v>69</v>
      </c>
      <c r="N290" s="25" t="s">
        <v>70</v>
      </c>
      <c r="O290" s="14" t="s">
        <v>59</v>
      </c>
      <c r="P290" s="139" t="s">
        <v>90</v>
      </c>
      <c r="Q290" s="14" t="s">
        <v>91</v>
      </c>
    </row>
    <row r="291" spans="1:17" x14ac:dyDescent="0.2">
      <c r="A291" s="22" t="str">
        <f>Inputs!B150</f>
        <v>5-yr MACRS</v>
      </c>
      <c r="B291" s="211">
        <f>IF(Inputs!$C$158=0,0,depr_alloc_macrs_5_percent*100/Inputs!$C$158)</f>
        <v>92.783505154639172</v>
      </c>
      <c r="C291" s="119">
        <f>-$B$105*depr_alloc_macrs_5_percent/100</f>
        <v>101465799.75</v>
      </c>
      <c r="D291" s="119">
        <f t="shared" ref="D291:E297" si="107">$B291/100*D$298</f>
        <v>0</v>
      </c>
      <c r="E291" s="119">
        <f t="shared" si="107"/>
        <v>0</v>
      </c>
      <c r="F291" s="121">
        <f>C291-D291-E291</f>
        <v>101465799.75</v>
      </c>
      <c r="G291" s="122">
        <f>IF(depr_itc_sta_macrs_5="Yes",F291,0)</f>
        <v>101465799.75</v>
      </c>
      <c r="H291" s="129">
        <f t="shared" ref="H291:H297" si="108">IF($G$298=0,0,G291/$G$298)*100</f>
        <v>100</v>
      </c>
      <c r="I291" s="125">
        <f t="shared" ref="I291:I297" si="109">$I$298*H291/100</f>
        <v>0</v>
      </c>
      <c r="J291" s="126">
        <f>I291*0.5</f>
        <v>0</v>
      </c>
      <c r="K291" s="123">
        <f t="shared" ref="K291:K297" si="110">H291/100*$K$298</f>
        <v>0</v>
      </c>
      <c r="L291" s="126">
        <f>K291*0.5</f>
        <v>0</v>
      </c>
      <c r="M291" s="119">
        <f t="shared" ref="M291:M295" si="111">IF(itc_sta_amount_deprbas_sta="Yes",L291,0)+IF(itc_sta_percent_deprbas_sta="Yes",J291,0)</f>
        <v>0</v>
      </c>
      <c r="N291" s="119">
        <f t="shared" ref="N291:N296" si="112">IF(itc_fed_amount_deprbas_sta="Yes",L427,0)+IF(itc_fed_percent_deprbas_sta="Yes",J427,0)</f>
        <v>15219869.962499999</v>
      </c>
      <c r="O291" s="127">
        <f t="shared" ref="O291:O295" si="113">F291-M291-N291</f>
        <v>86245929.787499994</v>
      </c>
      <c r="P291" s="119">
        <f>IF(depr_bonus_sta_macrs_5="Yes",O291*depr_bonus_sta/100,0)</f>
        <v>0</v>
      </c>
      <c r="Q291" s="121">
        <f>O291-P291</f>
        <v>86245929.787499994</v>
      </c>
    </row>
    <row r="292" spans="1:17" x14ac:dyDescent="0.2">
      <c r="A292" s="22" t="str">
        <f>Inputs!B151</f>
        <v>15-yr MACRS</v>
      </c>
      <c r="B292" s="211">
        <f>IF(Inputs!$C$158=0,0,depr_alloc_macrs_15_percent*100/Inputs!$C$158)</f>
        <v>1.5463917525773196</v>
      </c>
      <c r="C292" s="119">
        <f>-$B$105*depr_alloc_macrs_15_percent/100</f>
        <v>1691096.6625000001</v>
      </c>
      <c r="D292" s="119">
        <f t="shared" si="107"/>
        <v>0</v>
      </c>
      <c r="E292" s="119">
        <f t="shared" si="107"/>
        <v>0</v>
      </c>
      <c r="F292" s="121">
        <f t="shared" ref="F292:F296" si="114">C292-D292-E292</f>
        <v>1691096.6625000001</v>
      </c>
      <c r="G292" s="123">
        <f>IF(depr_itc_sta_macrs_15="Yes",F292,0)</f>
        <v>0</v>
      </c>
      <c r="H292" s="130">
        <f t="shared" si="108"/>
        <v>0</v>
      </c>
      <c r="I292" s="119">
        <f t="shared" si="109"/>
        <v>0</v>
      </c>
      <c r="J292" s="128">
        <f t="shared" ref="J292:J297" si="115">I292*0.5</f>
        <v>0</v>
      </c>
      <c r="K292" s="123">
        <f t="shared" si="110"/>
        <v>0</v>
      </c>
      <c r="L292" s="128">
        <f t="shared" ref="L292:L297" si="116">K292*0.5</f>
        <v>0</v>
      </c>
      <c r="M292" s="119">
        <f t="shared" si="111"/>
        <v>0</v>
      </c>
      <c r="N292" s="119">
        <f t="shared" si="112"/>
        <v>0</v>
      </c>
      <c r="O292" s="121">
        <f t="shared" si="113"/>
        <v>1691096.6625000001</v>
      </c>
      <c r="P292" s="119">
        <f>IF(depr_bonus_sta_macrs_15="Yes",O292*depr_bonus_sta/100,0)</f>
        <v>0</v>
      </c>
      <c r="Q292" s="121">
        <f t="shared" ref="Q292:Q295" si="117">O292-P292</f>
        <v>1691096.6625000001</v>
      </c>
    </row>
    <row r="293" spans="1:17" x14ac:dyDescent="0.2">
      <c r="A293" s="22" t="str">
        <f>Inputs!B152</f>
        <v>5-yr SL</v>
      </c>
      <c r="B293" s="211">
        <f>IF(Inputs!$C$158=0,0,depr_alloc_sl_5_percent*100/Inputs!$C$158)</f>
        <v>0</v>
      </c>
      <c r="C293" s="119">
        <f>-$B$105*depr_alloc_sl_5_percent/100</f>
        <v>0</v>
      </c>
      <c r="D293" s="119">
        <f t="shared" si="107"/>
        <v>0</v>
      </c>
      <c r="E293" s="119">
        <f t="shared" si="107"/>
        <v>0</v>
      </c>
      <c r="F293" s="121">
        <f t="shared" si="114"/>
        <v>0</v>
      </c>
      <c r="G293" s="123">
        <f>IF(depr_itc_sta_sl_5="Yes",F293,0)</f>
        <v>0</v>
      </c>
      <c r="H293" s="130">
        <f t="shared" si="108"/>
        <v>0</v>
      </c>
      <c r="I293" s="119">
        <f t="shared" si="109"/>
        <v>0</v>
      </c>
      <c r="J293" s="128">
        <f t="shared" si="115"/>
        <v>0</v>
      </c>
      <c r="K293" s="123">
        <f t="shared" si="110"/>
        <v>0</v>
      </c>
      <c r="L293" s="128">
        <f t="shared" si="116"/>
        <v>0</v>
      </c>
      <c r="M293" s="119">
        <f t="shared" si="111"/>
        <v>0</v>
      </c>
      <c r="N293" s="119">
        <f t="shared" si="112"/>
        <v>0</v>
      </c>
      <c r="O293" s="121">
        <f t="shared" si="113"/>
        <v>0</v>
      </c>
      <c r="P293" s="119">
        <f>IF(depr_bonus_sta_sl_5="Yes",O293*depr_bonus_sta/100,0)</f>
        <v>0</v>
      </c>
      <c r="Q293" s="121">
        <f t="shared" si="117"/>
        <v>0</v>
      </c>
    </row>
    <row r="294" spans="1:17" x14ac:dyDescent="0.2">
      <c r="A294" s="22" t="str">
        <f>Inputs!B153</f>
        <v>15-yr SL</v>
      </c>
      <c r="B294" s="211">
        <f>IF(Inputs!$C$158=0,0,depr_alloc_sl_15_percent*100/Inputs!$C$158)</f>
        <v>2.5773195876288661</v>
      </c>
      <c r="C294" s="119">
        <f>-$B$105*depr_alloc_sl_15_percent/100</f>
        <v>2818494.4375</v>
      </c>
      <c r="D294" s="119">
        <f t="shared" si="107"/>
        <v>0</v>
      </c>
      <c r="E294" s="119">
        <f t="shared" si="107"/>
        <v>0</v>
      </c>
      <c r="F294" s="121">
        <f t="shared" si="114"/>
        <v>2818494.4375</v>
      </c>
      <c r="G294" s="123">
        <f>IF(depr_itc_sta_sl_15="Yes",F294,0)</f>
        <v>0</v>
      </c>
      <c r="H294" s="130">
        <f t="shared" si="108"/>
        <v>0</v>
      </c>
      <c r="I294" s="119">
        <f t="shared" si="109"/>
        <v>0</v>
      </c>
      <c r="J294" s="128">
        <f t="shared" si="115"/>
        <v>0</v>
      </c>
      <c r="K294" s="123">
        <f t="shared" si="110"/>
        <v>0</v>
      </c>
      <c r="L294" s="128">
        <f t="shared" si="116"/>
        <v>0</v>
      </c>
      <c r="M294" s="119">
        <f t="shared" si="111"/>
        <v>0</v>
      </c>
      <c r="N294" s="119">
        <f t="shared" si="112"/>
        <v>0</v>
      </c>
      <c r="O294" s="121">
        <f t="shared" si="113"/>
        <v>2818494.4375</v>
      </c>
      <c r="P294" s="119">
        <f>IF(depr_bonus_sta_sl_15="Yes",O294*depr_bonus_sta/100,0)</f>
        <v>0</v>
      </c>
      <c r="Q294" s="121">
        <f t="shared" si="117"/>
        <v>2818494.4375</v>
      </c>
    </row>
    <row r="295" spans="1:17" x14ac:dyDescent="0.2">
      <c r="A295" s="22" t="str">
        <f>Inputs!B154</f>
        <v>20-yr SL</v>
      </c>
      <c r="B295" s="211">
        <f>IF(Inputs!$C$158=0,0,depr_alloc_sl_20_percent*100/Inputs!$C$158)</f>
        <v>3.0927835051546393</v>
      </c>
      <c r="C295" s="119">
        <f>-$B$105*depr_alloc_sl_20_percent/100</f>
        <v>3382193.3250000002</v>
      </c>
      <c r="D295" s="119">
        <f t="shared" si="107"/>
        <v>0</v>
      </c>
      <c r="E295" s="119">
        <f t="shared" si="107"/>
        <v>0</v>
      </c>
      <c r="F295" s="121">
        <f t="shared" si="114"/>
        <v>3382193.3250000002</v>
      </c>
      <c r="G295" s="123">
        <f>IF(depr_itc_sta_sl_20="Yes",F295,0)</f>
        <v>0</v>
      </c>
      <c r="H295" s="130">
        <f t="shared" si="108"/>
        <v>0</v>
      </c>
      <c r="I295" s="119">
        <f t="shared" si="109"/>
        <v>0</v>
      </c>
      <c r="J295" s="128">
        <f t="shared" si="115"/>
        <v>0</v>
      </c>
      <c r="K295" s="123">
        <f t="shared" si="110"/>
        <v>0</v>
      </c>
      <c r="L295" s="128">
        <f t="shared" si="116"/>
        <v>0</v>
      </c>
      <c r="M295" s="119">
        <f t="shared" si="111"/>
        <v>0</v>
      </c>
      <c r="N295" s="119">
        <f t="shared" si="112"/>
        <v>0</v>
      </c>
      <c r="O295" s="121">
        <f t="shared" si="113"/>
        <v>3382193.3250000002</v>
      </c>
      <c r="P295" s="119">
        <f>IF(depr_bonus_sta_sl_20="Yes",O295*depr_bonus_sta/100,0)</f>
        <v>0</v>
      </c>
      <c r="Q295" s="121">
        <f t="shared" si="117"/>
        <v>3382193.3250000002</v>
      </c>
    </row>
    <row r="296" spans="1:17" x14ac:dyDescent="0.2">
      <c r="A296" s="22" t="str">
        <f>Inputs!B155</f>
        <v>39-yr SL</v>
      </c>
      <c r="B296" s="278">
        <f>IF(Inputs!$C$158=0,0,depr_alloc_sl_39_percent*100/Inputs!$C$158)</f>
        <v>0</v>
      </c>
      <c r="C296" s="119">
        <f>-$B$105*depr_alloc_sl_39_percent/100</f>
        <v>0</v>
      </c>
      <c r="D296" s="119">
        <f t="shared" si="107"/>
        <v>0</v>
      </c>
      <c r="E296" s="119">
        <f t="shared" si="107"/>
        <v>0</v>
      </c>
      <c r="F296" s="121">
        <f t="shared" si="114"/>
        <v>0</v>
      </c>
      <c r="G296" s="123">
        <f>IF(depr_itc_sta_sl_39="Yes",F296,0)</f>
        <v>0</v>
      </c>
      <c r="H296" s="130">
        <f t="shared" si="108"/>
        <v>0</v>
      </c>
      <c r="I296" s="119">
        <f t="shared" si="109"/>
        <v>0</v>
      </c>
      <c r="J296" s="128">
        <f t="shared" si="115"/>
        <v>0</v>
      </c>
      <c r="K296" s="123">
        <f t="shared" si="110"/>
        <v>0</v>
      </c>
      <c r="L296" s="128">
        <f t="shared" si="116"/>
        <v>0</v>
      </c>
      <c r="M296" s="123">
        <f>IF(itc_sta_amount_deprbas_sta="Yes",L296,0)+IF(itc_sta_percent_deprbas_sta="Yes",J296,0)</f>
        <v>0</v>
      </c>
      <c r="N296" s="119">
        <f t="shared" si="112"/>
        <v>0</v>
      </c>
      <c r="O296" s="121">
        <f>F296-M296-N296</f>
        <v>0</v>
      </c>
      <c r="P296" s="119">
        <f>IF(depr_bonus_sta_sl_39="Yes",O296*depr_bonus_sta/100,0)</f>
        <v>0</v>
      </c>
      <c r="Q296" s="121">
        <f>O296-P296</f>
        <v>0</v>
      </c>
    </row>
    <row r="297" spans="1:17" x14ac:dyDescent="0.2">
      <c r="A297" s="22" t="s">
        <v>322</v>
      </c>
      <c r="B297" s="212">
        <f>IF(Inputs!$C$158=0,0,depr_alloc_custom_percent*100/Inputs!$C$158)</f>
        <v>0</v>
      </c>
      <c r="C297" s="119">
        <f>-$B$105*depr_alloc_custom_percent/100</f>
        <v>0</v>
      </c>
      <c r="D297" s="119">
        <f t="shared" si="107"/>
        <v>0</v>
      </c>
      <c r="E297" s="119">
        <f t="shared" si="107"/>
        <v>0</v>
      </c>
      <c r="F297" s="121">
        <f>C297-D297-E297</f>
        <v>0</v>
      </c>
      <c r="G297" s="123">
        <f>IF(depr_itc_sta_custom="Yes",F296,0)</f>
        <v>0</v>
      </c>
      <c r="H297" s="130">
        <f t="shared" si="108"/>
        <v>0</v>
      </c>
      <c r="I297" s="119">
        <f t="shared" si="109"/>
        <v>0</v>
      </c>
      <c r="J297" s="128">
        <f t="shared" si="115"/>
        <v>0</v>
      </c>
      <c r="K297" s="123">
        <f t="shared" si="110"/>
        <v>0</v>
      </c>
      <c r="L297" s="119">
        <f t="shared" si="116"/>
        <v>0</v>
      </c>
      <c r="M297" s="123">
        <f>IF(itc_sta_amount_deprbas_sta="Yes",L297,0)+IF(itc_sta_percent_deprbas_sta="Yes",J297,0)</f>
        <v>0</v>
      </c>
      <c r="N297" s="128">
        <f>IF(itc_fed_amount_deprbas_sta="Yes",L433,0)+IF(itc_fed_percent_deprbas_sta="Yes",J433,0)</f>
        <v>0</v>
      </c>
      <c r="O297" s="124">
        <f>F297-M297-N297</f>
        <v>0</v>
      </c>
      <c r="P297" s="119">
        <f>IF(depr_bonus_sta_custom="Yes",O297*depr_bonus_sta/100,0)</f>
        <v>0</v>
      </c>
      <c r="Q297" s="124">
        <f>O297-P297</f>
        <v>0</v>
      </c>
    </row>
    <row r="298" spans="1:17" x14ac:dyDescent="0.2">
      <c r="A298" s="22" t="s">
        <v>13</v>
      </c>
      <c r="B298" s="212">
        <f>SUM(B291:B297)</f>
        <v>100</v>
      </c>
      <c r="C298" s="137">
        <f>SUM(C291:C297)</f>
        <v>109357584.175</v>
      </c>
      <c r="D298" s="137">
        <f>B307+B313</f>
        <v>0</v>
      </c>
      <c r="E298" s="137">
        <f>B319</f>
        <v>0</v>
      </c>
      <c r="F298" s="180">
        <f>SUM(F291:F297)</f>
        <v>109357584.175</v>
      </c>
      <c r="G298" s="135">
        <f>SUM(G291:G297)</f>
        <v>101465799.75</v>
      </c>
      <c r="H298" s="131">
        <f>SUM(H291:H297)</f>
        <v>100</v>
      </c>
      <c r="I298" s="137">
        <f>SUM(C567:AP567)</f>
        <v>0</v>
      </c>
      <c r="J298" s="137">
        <f>SUM(J291:J297)</f>
        <v>0</v>
      </c>
      <c r="K298" s="135">
        <f>SUM(C564:AP564)</f>
        <v>0</v>
      </c>
      <c r="L298" s="138">
        <f t="shared" ref="L298:Q298" si="118">SUM(L291:L297)</f>
        <v>0</v>
      </c>
      <c r="M298" s="135">
        <f t="shared" si="118"/>
        <v>0</v>
      </c>
      <c r="N298" s="138">
        <f t="shared" si="118"/>
        <v>15219869.962499999</v>
      </c>
      <c r="O298" s="124">
        <f t="shared" si="118"/>
        <v>94137714.212499991</v>
      </c>
      <c r="P298" s="180">
        <f t="shared" si="118"/>
        <v>0</v>
      </c>
      <c r="Q298" s="124">
        <f t="shared" si="118"/>
        <v>94137714.212499991</v>
      </c>
    </row>
    <row r="300" spans="1:17" x14ac:dyDescent="0.2">
      <c r="A300" s="4" t="s">
        <v>66</v>
      </c>
    </row>
    <row r="301" spans="1:17" x14ac:dyDescent="0.2">
      <c r="A301" s="88" t="str">
        <f>A589</f>
        <v>Investment Based Incentive (IBI)</v>
      </c>
    </row>
    <row r="302" spans="1:17" x14ac:dyDescent="0.2">
      <c r="A302" s="22" t="str">
        <f t="shared" ref="A302:A313" si="119">A590</f>
        <v>As fixed amount</v>
      </c>
    </row>
    <row r="303" spans="1:17" x14ac:dyDescent="0.2">
      <c r="A303" s="89" t="str">
        <f t="shared" si="119"/>
        <v>Federal ($)</v>
      </c>
      <c r="B303" s="158">
        <f>IF(ibi_fed_amount_deprbas_sta="Yes",ibi_fed_amount,0)</f>
        <v>0</v>
      </c>
    </row>
    <row r="304" spans="1:17" x14ac:dyDescent="0.2">
      <c r="A304" s="89" t="str">
        <f t="shared" si="119"/>
        <v>State ($)</v>
      </c>
      <c r="B304" s="158">
        <f>IF(ibi_sta_amount_deprbas_sta="Yes",ibi_sta_amount,0)</f>
        <v>0</v>
      </c>
    </row>
    <row r="305" spans="1:2" x14ac:dyDescent="0.2">
      <c r="A305" s="89" t="str">
        <f t="shared" si="119"/>
        <v>Utility ($)</v>
      </c>
      <c r="B305" s="158">
        <f>IF(ibi_uti_amount_deprbas_sta="Yes",ibi_uti_amount,0)</f>
        <v>0</v>
      </c>
    </row>
    <row r="306" spans="1:2" x14ac:dyDescent="0.2">
      <c r="A306" s="89" t="str">
        <f t="shared" si="119"/>
        <v>Other ($)</v>
      </c>
      <c r="B306" s="159">
        <f>IF(ibi_oth_amount_deprbas_sta="Yes",ibi_oth_amount,0)</f>
        <v>0</v>
      </c>
    </row>
    <row r="307" spans="1:2" x14ac:dyDescent="0.2">
      <c r="A307" s="89" t="str">
        <f t="shared" si="119"/>
        <v>Total</v>
      </c>
      <c r="B307" s="158">
        <f>SUM(B303:B306)</f>
        <v>0</v>
      </c>
    </row>
    <row r="308" spans="1:2" x14ac:dyDescent="0.2">
      <c r="A308" s="22" t="str">
        <f t="shared" si="119"/>
        <v>As percentage</v>
      </c>
    </row>
    <row r="309" spans="1:2" x14ac:dyDescent="0.2">
      <c r="A309" s="89" t="str">
        <f t="shared" si="119"/>
        <v>Federal (% of total installed cost)</v>
      </c>
      <c r="B309" s="158">
        <f>IF(ibi_fed_percent_deprbas_sta="Yes",C597,0)</f>
        <v>0</v>
      </c>
    </row>
    <row r="310" spans="1:2" x14ac:dyDescent="0.2">
      <c r="A310" s="89" t="str">
        <f>A598</f>
        <v>State (% of total installed cost)</v>
      </c>
      <c r="B310" s="158">
        <f>IF(ibi_sta_percent_deprbas_sta="Yes",C598,0)</f>
        <v>0</v>
      </c>
    </row>
    <row r="311" spans="1:2" x14ac:dyDescent="0.2">
      <c r="A311" s="89" t="str">
        <f t="shared" si="119"/>
        <v>Utility (% of total installed cost)</v>
      </c>
      <c r="B311" s="158">
        <f>IF(ibi_uti_percent_deprbas_sta="Yes",C599,0)</f>
        <v>0</v>
      </c>
    </row>
    <row r="312" spans="1:2" x14ac:dyDescent="0.2">
      <c r="A312" s="89" t="str">
        <f t="shared" si="119"/>
        <v>Other (% of total installed cost)</v>
      </c>
      <c r="B312" s="159">
        <f>IF(ibi_oth_percent_deprbas_sta="Yes",C600,0)</f>
        <v>0</v>
      </c>
    </row>
    <row r="313" spans="1:2" x14ac:dyDescent="0.2">
      <c r="A313" s="89" t="str">
        <f t="shared" si="119"/>
        <v>Total</v>
      </c>
      <c r="B313" s="158">
        <f>SUM(B309:B312)</f>
        <v>0</v>
      </c>
    </row>
    <row r="314" spans="1:2" x14ac:dyDescent="0.2">
      <c r="A314" s="88" t="str">
        <f t="shared" ref="A314:A319" si="120">A603</f>
        <v>Capacity Based Incentive (CBI)</v>
      </c>
    </row>
    <row r="315" spans="1:2" x14ac:dyDescent="0.2">
      <c r="A315" s="22" t="str">
        <f t="shared" si="120"/>
        <v>Federal ($/W)</v>
      </c>
      <c r="B315" s="158">
        <f>IF(cbi_fed_deprbas_sta="Yes",C604,0)</f>
        <v>0</v>
      </c>
    </row>
    <row r="316" spans="1:2" x14ac:dyDescent="0.2">
      <c r="A316" s="22" t="str">
        <f t="shared" si="120"/>
        <v>State ($/W)</v>
      </c>
      <c r="B316" s="158">
        <f>IF(cbi_sta_deprbas_sta="Yes",C605,0)</f>
        <v>0</v>
      </c>
    </row>
    <row r="317" spans="1:2" x14ac:dyDescent="0.2">
      <c r="A317" s="22" t="str">
        <f t="shared" si="120"/>
        <v>Utility ($/W)</v>
      </c>
      <c r="B317" s="158">
        <f>IF(cbi_uti_deprbas_sta="Yes",C606,0)</f>
        <v>0</v>
      </c>
    </row>
    <row r="318" spans="1:2" x14ac:dyDescent="0.2">
      <c r="A318" s="22" t="str">
        <f t="shared" si="120"/>
        <v>Other ($/W)</v>
      </c>
      <c r="B318" s="158">
        <f>IF(cbi_oth_deprbas_sta="Yes",C607,0)</f>
        <v>0</v>
      </c>
    </row>
    <row r="319" spans="1:2" x14ac:dyDescent="0.2">
      <c r="A319" s="22" t="str">
        <f t="shared" si="120"/>
        <v>Total</v>
      </c>
      <c r="B319" s="161">
        <f>SUM(B315:B318)</f>
        <v>0</v>
      </c>
    </row>
    <row r="320" spans="1:2" x14ac:dyDescent="0.2">
      <c r="A320" s="88" t="s">
        <v>54</v>
      </c>
      <c r="B320" s="158">
        <f>B307+B313+B319</f>
        <v>0</v>
      </c>
    </row>
    <row r="322" spans="1:42" x14ac:dyDescent="0.2">
      <c r="A322" s="4" t="s">
        <v>84</v>
      </c>
    </row>
    <row r="323" spans="1:42" x14ac:dyDescent="0.2">
      <c r="A323" s="22" t="s">
        <v>60</v>
      </c>
    </row>
    <row r="324" spans="1:42" x14ac:dyDescent="0.2">
      <c r="A324" s="23" t="str">
        <f t="shared" ref="A324:A329" si="121">A291</f>
        <v>5-yr MACRS</v>
      </c>
      <c r="B324" s="166">
        <f t="array" ref="B324">SUM(IF(ISNUMBER(C324:AP324),C324:AP324))</f>
        <v>100</v>
      </c>
      <c r="C324" s="167">
        <f>LOOKUP(C$2,'Depreciation Schedules'!$A$3:$A$42,'Depreciation Schedules'!$B$3:$B$42)</f>
        <v>20</v>
      </c>
      <c r="D324" s="167">
        <f>LOOKUP(D$2,'Depreciation Schedules'!$A$3:$A$42,'Depreciation Schedules'!$B$3:$B$42)</f>
        <v>32</v>
      </c>
      <c r="E324" s="167">
        <f>LOOKUP(E$2,'Depreciation Schedules'!$A$3:$A$42,'Depreciation Schedules'!$B$3:$B$42)</f>
        <v>19.2</v>
      </c>
      <c r="F324" s="167">
        <f>LOOKUP(F$2,'Depreciation Schedules'!$A$3:$A$42,'Depreciation Schedules'!$B$3:$B$42)</f>
        <v>11.52</v>
      </c>
      <c r="G324" s="167">
        <f>LOOKUP(G$2,'Depreciation Schedules'!$A$3:$A$42,'Depreciation Schedules'!$B$3:$B$42)</f>
        <v>11.52</v>
      </c>
      <c r="H324" s="167">
        <f>LOOKUP(H$2,'Depreciation Schedules'!$A$3:$A$42,'Depreciation Schedules'!$B$3:$B$42)</f>
        <v>5.76</v>
      </c>
      <c r="I324" s="167">
        <f>LOOKUP(I$2,'Depreciation Schedules'!$A$3:$A$42,'Depreciation Schedules'!$B$3:$B$42)</f>
        <v>0</v>
      </c>
      <c r="J324" s="167">
        <f>LOOKUP(J$2,'Depreciation Schedules'!$A$3:$A$42,'Depreciation Schedules'!$B$3:$B$42)</f>
        <v>0</v>
      </c>
      <c r="K324" s="167">
        <f>LOOKUP(K$2,'Depreciation Schedules'!$A$3:$A$42,'Depreciation Schedules'!$B$3:$B$42)</f>
        <v>0</v>
      </c>
      <c r="L324" s="167">
        <f>LOOKUP(L$2,'Depreciation Schedules'!$A$3:$A$42,'Depreciation Schedules'!$B$3:$B$42)</f>
        <v>0</v>
      </c>
      <c r="M324" s="167">
        <f>LOOKUP(M$2,'Depreciation Schedules'!$A$3:$A$42,'Depreciation Schedules'!$B$3:$B$42)</f>
        <v>0</v>
      </c>
      <c r="N324" s="167">
        <f>LOOKUP(N$2,'Depreciation Schedules'!$A$3:$A$42,'Depreciation Schedules'!$B$3:$B$42)</f>
        <v>0</v>
      </c>
      <c r="O324" s="167">
        <f>LOOKUP(O$2,'Depreciation Schedules'!$A$3:$A$42,'Depreciation Schedules'!$B$3:$B$42)</f>
        <v>0</v>
      </c>
      <c r="P324" s="167">
        <f>LOOKUP(P$2,'Depreciation Schedules'!$A$3:$A$42,'Depreciation Schedules'!$B$3:$B$42)</f>
        <v>0</v>
      </c>
      <c r="Q324" s="167">
        <f>LOOKUP(Q$2,'Depreciation Schedules'!$A$3:$A$42,'Depreciation Schedules'!$B$3:$B$42)</f>
        <v>0</v>
      </c>
      <c r="R324" s="167">
        <f>LOOKUP(R$2,'Depreciation Schedules'!$A$3:$A$42,'Depreciation Schedules'!$B$3:$B$42)</f>
        <v>0</v>
      </c>
      <c r="S324" s="167">
        <f>LOOKUP(S$2,'Depreciation Schedules'!$A$3:$A$42,'Depreciation Schedules'!$B$3:$B$42)</f>
        <v>0</v>
      </c>
      <c r="T324" s="167">
        <f>LOOKUP(T$2,'Depreciation Schedules'!$A$3:$A$42,'Depreciation Schedules'!$B$3:$B$42)</f>
        <v>0</v>
      </c>
      <c r="U324" s="167">
        <f>LOOKUP(U$2,'Depreciation Schedules'!$A$3:$A$42,'Depreciation Schedules'!$B$3:$B$42)</f>
        <v>0</v>
      </c>
      <c r="V324" s="167">
        <f>LOOKUP(V$2,'Depreciation Schedules'!$A$3:$A$42,'Depreciation Schedules'!$B$3:$B$42)</f>
        <v>0</v>
      </c>
      <c r="W324" s="167">
        <f>LOOKUP(W$2,'Depreciation Schedules'!$A$3:$A$42,'Depreciation Schedules'!$B$3:$B$42)</f>
        <v>0</v>
      </c>
      <c r="X324" s="167">
        <f>LOOKUP(X$2,'Depreciation Schedules'!$A$3:$A$42,'Depreciation Schedules'!$B$3:$B$42)</f>
        <v>0</v>
      </c>
      <c r="Y324" s="167">
        <f>LOOKUP(Y$2,'Depreciation Schedules'!$A$3:$A$42,'Depreciation Schedules'!$B$3:$B$42)</f>
        <v>0</v>
      </c>
      <c r="Z324" s="167">
        <f>LOOKUP(Z$2,'Depreciation Schedules'!$A$3:$A$42,'Depreciation Schedules'!$B$3:$B$42)</f>
        <v>0</v>
      </c>
      <c r="AA324" s="167">
        <f>LOOKUP(AA$2,'Depreciation Schedules'!$A$3:$A$42,'Depreciation Schedules'!$B$3:$B$42)</f>
        <v>0</v>
      </c>
      <c r="AB324" s="167" t="e">
        <f>LOOKUP(AB$2,'Depreciation Schedules'!$A$3:$A$42,'Depreciation Schedules'!$B$3:$B$42)</f>
        <v>#N/A</v>
      </c>
      <c r="AC324" s="167" t="e">
        <f>LOOKUP(AC$2,'Depreciation Schedules'!$A$3:$A$42,'Depreciation Schedules'!$B$3:$B$42)</f>
        <v>#N/A</v>
      </c>
      <c r="AD324" s="167" t="e">
        <f>LOOKUP(AD$2,'Depreciation Schedules'!$A$3:$A$42,'Depreciation Schedules'!$B$3:$B$42)</f>
        <v>#N/A</v>
      </c>
      <c r="AE324" s="167" t="e">
        <f>LOOKUP(AE$2,'Depreciation Schedules'!$A$3:$A$42,'Depreciation Schedules'!$B$3:$B$42)</f>
        <v>#N/A</v>
      </c>
      <c r="AF324" s="167" t="e">
        <f>LOOKUP(AF$2,'Depreciation Schedules'!$A$3:$A$42,'Depreciation Schedules'!$B$3:$B$42)</f>
        <v>#N/A</v>
      </c>
      <c r="AG324" s="167" t="e">
        <f>LOOKUP(AG$2,'Depreciation Schedules'!$A$3:$A$42,'Depreciation Schedules'!$B$3:$B$42)</f>
        <v>#N/A</v>
      </c>
      <c r="AH324" s="167" t="e">
        <f>LOOKUP(AH$2,'Depreciation Schedules'!$A$3:$A$42,'Depreciation Schedules'!$B$3:$B$42)</f>
        <v>#N/A</v>
      </c>
      <c r="AI324" s="167" t="e">
        <f>LOOKUP(AI$2,'Depreciation Schedules'!$A$3:$A$42,'Depreciation Schedules'!$B$3:$B$42)</f>
        <v>#N/A</v>
      </c>
      <c r="AJ324" s="167" t="e">
        <f>LOOKUP(AJ$2,'Depreciation Schedules'!$A$3:$A$42,'Depreciation Schedules'!$B$3:$B$42)</f>
        <v>#N/A</v>
      </c>
      <c r="AK324" s="167" t="e">
        <f>LOOKUP(AK$2,'Depreciation Schedules'!$A$3:$A$42,'Depreciation Schedules'!$B$3:$B$42)</f>
        <v>#N/A</v>
      </c>
      <c r="AL324" s="167" t="e">
        <f>LOOKUP(AL$2,'Depreciation Schedules'!$A$3:$A$42,'Depreciation Schedules'!$B$3:$B$42)</f>
        <v>#N/A</v>
      </c>
      <c r="AM324" s="167" t="e">
        <f>LOOKUP(AM$2,'Depreciation Schedules'!$A$3:$A$42,'Depreciation Schedules'!$B$3:$B$42)</f>
        <v>#N/A</v>
      </c>
      <c r="AN324" s="167" t="e">
        <f>LOOKUP(AN$2,'Depreciation Schedules'!$A$3:$A$42,'Depreciation Schedules'!$B$3:$B$42)</f>
        <v>#N/A</v>
      </c>
      <c r="AO324" s="167" t="e">
        <f>LOOKUP(AO$2,'Depreciation Schedules'!$A$3:$A$42,'Depreciation Schedules'!$B$3:$B$42)</f>
        <v>#N/A</v>
      </c>
      <c r="AP324" s="167" t="e">
        <f>LOOKUP(AP$2,'Depreciation Schedules'!$A$3:$A$42,'Depreciation Schedules'!$B$3:$B$42)</f>
        <v>#N/A</v>
      </c>
    </row>
    <row r="325" spans="1:42" x14ac:dyDescent="0.2">
      <c r="A325" s="23" t="str">
        <f t="shared" si="121"/>
        <v>15-yr MACRS</v>
      </c>
      <c r="B325" s="166">
        <f t="array" ref="B325">SUM(IF(ISNUMBER(C325:AP325),C325:AP325))</f>
        <v>99.990000000000009</v>
      </c>
      <c r="C325" s="167">
        <f>LOOKUP(C$2,'Depreciation Schedules'!$A$3:$A$42,'Depreciation Schedules'!$C$3:$C$42)</f>
        <v>5</v>
      </c>
      <c r="D325" s="167">
        <f>LOOKUP(D$2,'Depreciation Schedules'!$A$3:$A$42,'Depreciation Schedules'!$C$3:$C$42)</f>
        <v>9.5</v>
      </c>
      <c r="E325" s="167">
        <f>LOOKUP(E$2,'Depreciation Schedules'!$A$3:$A$42,'Depreciation Schedules'!$C$3:$C$42)</f>
        <v>8.5500000000000007</v>
      </c>
      <c r="F325" s="167">
        <f>LOOKUP(F$2,'Depreciation Schedules'!$A$3:$A$42,'Depreciation Schedules'!$C$3:$C$42)</f>
        <v>7.7</v>
      </c>
      <c r="G325" s="167">
        <f>LOOKUP(G$2,'Depreciation Schedules'!$A$3:$A$42,'Depreciation Schedules'!$C$3:$C$42)</f>
        <v>6.93</v>
      </c>
      <c r="H325" s="167">
        <f>LOOKUP(H$2,'Depreciation Schedules'!$A$3:$A$42,'Depreciation Schedules'!$C$3:$C$42)</f>
        <v>6.23</v>
      </c>
      <c r="I325" s="167">
        <f>LOOKUP(I$2,'Depreciation Schedules'!$A$3:$A$42,'Depreciation Schedules'!$C$3:$C$42)</f>
        <v>5.9</v>
      </c>
      <c r="J325" s="167">
        <f>LOOKUP(J$2,'Depreciation Schedules'!$A$3:$A$42,'Depreciation Schedules'!$C$3:$C$42)</f>
        <v>5.9</v>
      </c>
      <c r="K325" s="167">
        <f>LOOKUP(K$2,'Depreciation Schedules'!$A$3:$A$42,'Depreciation Schedules'!$C$3:$C$42)</f>
        <v>5.91</v>
      </c>
      <c r="L325" s="167">
        <f>LOOKUP(L$2,'Depreciation Schedules'!$A$3:$A$42,'Depreciation Schedules'!$C$3:$C$42)</f>
        <v>5.9</v>
      </c>
      <c r="M325" s="167">
        <f>LOOKUP(M$2,'Depreciation Schedules'!$A$3:$A$42,'Depreciation Schedules'!$C$3:$C$42)</f>
        <v>5.91</v>
      </c>
      <c r="N325" s="167">
        <f>LOOKUP(N$2,'Depreciation Schedules'!$A$3:$A$42,'Depreciation Schedules'!$C$3:$C$42)</f>
        <v>5.9</v>
      </c>
      <c r="O325" s="167">
        <f>LOOKUP(O$2,'Depreciation Schedules'!$A$3:$A$42,'Depreciation Schedules'!$C$3:$C$42)</f>
        <v>5.91</v>
      </c>
      <c r="P325" s="167">
        <f>LOOKUP(P$2,'Depreciation Schedules'!$A$3:$A$42,'Depreciation Schedules'!$C$3:$C$42)</f>
        <v>5.9</v>
      </c>
      <c r="Q325" s="167">
        <f>LOOKUP(Q$2,'Depreciation Schedules'!$A$3:$A$42,'Depreciation Schedules'!$C$3:$C$42)</f>
        <v>5.9</v>
      </c>
      <c r="R325" s="167">
        <f>LOOKUP(R$2,'Depreciation Schedules'!$A$3:$A$42,'Depreciation Schedules'!$C$3:$C$42)</f>
        <v>2.95</v>
      </c>
      <c r="S325" s="167">
        <f>LOOKUP(S$2,'Depreciation Schedules'!$A$3:$A$42,'Depreciation Schedules'!$C$3:$C$42)</f>
        <v>0</v>
      </c>
      <c r="T325" s="167">
        <f>LOOKUP(T$2,'Depreciation Schedules'!$A$3:$A$42,'Depreciation Schedules'!$C$3:$C$42)</f>
        <v>0</v>
      </c>
      <c r="U325" s="167">
        <f>LOOKUP(U$2,'Depreciation Schedules'!$A$3:$A$42,'Depreciation Schedules'!$C$3:$C$42)</f>
        <v>0</v>
      </c>
      <c r="V325" s="167">
        <f>LOOKUP(V$2,'Depreciation Schedules'!$A$3:$A$42,'Depreciation Schedules'!$C$3:$C$42)</f>
        <v>0</v>
      </c>
      <c r="W325" s="167">
        <f>LOOKUP(W$2,'Depreciation Schedules'!$A$3:$A$42,'Depreciation Schedules'!$C$3:$C$42)</f>
        <v>0</v>
      </c>
      <c r="X325" s="167">
        <f>LOOKUP(X$2,'Depreciation Schedules'!$A$3:$A$42,'Depreciation Schedules'!$C$3:$C$42)</f>
        <v>0</v>
      </c>
      <c r="Y325" s="167">
        <f>LOOKUP(Y$2,'Depreciation Schedules'!$A$3:$A$42,'Depreciation Schedules'!$C$3:$C$42)</f>
        <v>0</v>
      </c>
      <c r="Z325" s="167">
        <f>LOOKUP(Z$2,'Depreciation Schedules'!$A$3:$A$42,'Depreciation Schedules'!$C$3:$C$42)</f>
        <v>0</v>
      </c>
      <c r="AA325" s="167">
        <f>LOOKUP(AA$2,'Depreciation Schedules'!$A$3:$A$42,'Depreciation Schedules'!$C$3:$C$42)</f>
        <v>0</v>
      </c>
      <c r="AB325" s="167" t="e">
        <f>LOOKUP(AB$2,'Depreciation Schedules'!$A$3:$A$42,'Depreciation Schedules'!$C$3:$C$42)</f>
        <v>#N/A</v>
      </c>
      <c r="AC325" s="167" t="e">
        <f>LOOKUP(AC$2,'Depreciation Schedules'!$A$3:$A$42,'Depreciation Schedules'!$C$3:$C$42)</f>
        <v>#N/A</v>
      </c>
      <c r="AD325" s="167" t="e">
        <f>LOOKUP(AD$2,'Depreciation Schedules'!$A$3:$A$42,'Depreciation Schedules'!$C$3:$C$42)</f>
        <v>#N/A</v>
      </c>
      <c r="AE325" s="167" t="e">
        <f>LOOKUP(AE$2,'Depreciation Schedules'!$A$3:$A$42,'Depreciation Schedules'!$C$3:$C$42)</f>
        <v>#N/A</v>
      </c>
      <c r="AF325" s="167" t="e">
        <f>LOOKUP(AF$2,'Depreciation Schedules'!$A$3:$A$42,'Depreciation Schedules'!$C$3:$C$42)</f>
        <v>#N/A</v>
      </c>
      <c r="AG325" s="167" t="e">
        <f>LOOKUP(AG$2,'Depreciation Schedules'!$A$3:$A$42,'Depreciation Schedules'!$C$3:$C$42)</f>
        <v>#N/A</v>
      </c>
      <c r="AH325" s="167" t="e">
        <f>LOOKUP(AH$2,'Depreciation Schedules'!$A$3:$A$42,'Depreciation Schedules'!$C$3:$C$42)</f>
        <v>#N/A</v>
      </c>
      <c r="AI325" s="167" t="e">
        <f>LOOKUP(AI$2,'Depreciation Schedules'!$A$3:$A$42,'Depreciation Schedules'!$C$3:$C$42)</f>
        <v>#N/A</v>
      </c>
      <c r="AJ325" s="167" t="e">
        <f>LOOKUP(AJ$2,'Depreciation Schedules'!$A$3:$A$42,'Depreciation Schedules'!$C$3:$C$42)</f>
        <v>#N/A</v>
      </c>
      <c r="AK325" s="167" t="e">
        <f>LOOKUP(AK$2,'Depreciation Schedules'!$A$3:$A$42,'Depreciation Schedules'!$C$3:$C$42)</f>
        <v>#N/A</v>
      </c>
      <c r="AL325" s="167" t="e">
        <f>LOOKUP(AL$2,'Depreciation Schedules'!$A$3:$A$42,'Depreciation Schedules'!$C$3:$C$42)</f>
        <v>#N/A</v>
      </c>
      <c r="AM325" s="167" t="e">
        <f>LOOKUP(AM$2,'Depreciation Schedules'!$A$3:$A$42,'Depreciation Schedules'!$C$3:$C$42)</f>
        <v>#N/A</v>
      </c>
      <c r="AN325" s="167" t="e">
        <f>LOOKUP(AN$2,'Depreciation Schedules'!$A$3:$A$42,'Depreciation Schedules'!$C$3:$C$42)</f>
        <v>#N/A</v>
      </c>
      <c r="AO325" s="167" t="e">
        <f>LOOKUP(AO$2,'Depreciation Schedules'!$A$3:$A$42,'Depreciation Schedules'!$C$3:$C$42)</f>
        <v>#N/A</v>
      </c>
      <c r="AP325" s="167" t="e">
        <f>LOOKUP(AP$2,'Depreciation Schedules'!$A$3:$A$42,'Depreciation Schedules'!$C$3:$C$42)</f>
        <v>#N/A</v>
      </c>
    </row>
    <row r="326" spans="1:42" x14ac:dyDescent="0.2">
      <c r="A326" s="23" t="str">
        <f t="shared" si="121"/>
        <v>5-yr SL</v>
      </c>
      <c r="B326" s="166">
        <f t="array" ref="B326">SUM(IF(ISNUMBER(C326:AP326),C326:AP326))</f>
        <v>100</v>
      </c>
      <c r="C326" s="167">
        <f>LOOKUP(C$2,'Depreciation Schedules'!$A$3:$A$42,'Depreciation Schedules'!$D$3:$D$42)</f>
        <v>10</v>
      </c>
      <c r="D326" s="167">
        <f>LOOKUP(D$2,'Depreciation Schedules'!$A$3:$A$42,'Depreciation Schedules'!$D$3:$D$42)</f>
        <v>20</v>
      </c>
      <c r="E326" s="167">
        <f>LOOKUP(E$2,'Depreciation Schedules'!$A$3:$A$42,'Depreciation Schedules'!$D$3:$D$42)</f>
        <v>20</v>
      </c>
      <c r="F326" s="167">
        <f>LOOKUP(F$2,'Depreciation Schedules'!$A$3:$A$42,'Depreciation Schedules'!$D$3:$D$42)</f>
        <v>20</v>
      </c>
      <c r="G326" s="167">
        <f>LOOKUP(G$2,'Depreciation Schedules'!$A$3:$A$42,'Depreciation Schedules'!$D$3:$D$42)</f>
        <v>20</v>
      </c>
      <c r="H326" s="167">
        <f>LOOKUP(H$2,'Depreciation Schedules'!$A$3:$A$42,'Depreciation Schedules'!$D$3:$D$42)</f>
        <v>10</v>
      </c>
      <c r="I326" s="167">
        <f>LOOKUP(I$2,'Depreciation Schedules'!$A$3:$A$42,'Depreciation Schedules'!$D$3:$D$42)</f>
        <v>0</v>
      </c>
      <c r="J326" s="167">
        <f>LOOKUP(J$2,'Depreciation Schedules'!$A$3:$A$42,'Depreciation Schedules'!$D$3:$D$42)</f>
        <v>0</v>
      </c>
      <c r="K326" s="167">
        <f>LOOKUP(K$2,'Depreciation Schedules'!$A$3:$A$42,'Depreciation Schedules'!$D$3:$D$42)</f>
        <v>0</v>
      </c>
      <c r="L326" s="167">
        <f>LOOKUP(L$2,'Depreciation Schedules'!$A$3:$A$42,'Depreciation Schedules'!$D$3:$D$42)</f>
        <v>0</v>
      </c>
      <c r="M326" s="167">
        <f>LOOKUP(M$2,'Depreciation Schedules'!$A$3:$A$42,'Depreciation Schedules'!$D$3:$D$42)</f>
        <v>0</v>
      </c>
      <c r="N326" s="167">
        <f>LOOKUP(N$2,'Depreciation Schedules'!$A$3:$A$42,'Depreciation Schedules'!$D$3:$D$42)</f>
        <v>0</v>
      </c>
      <c r="O326" s="167">
        <f>LOOKUP(O$2,'Depreciation Schedules'!$A$3:$A$42,'Depreciation Schedules'!$D$3:$D$42)</f>
        <v>0</v>
      </c>
      <c r="P326" s="167">
        <f>LOOKUP(P$2,'Depreciation Schedules'!$A$3:$A$42,'Depreciation Schedules'!$D$3:$D$42)</f>
        <v>0</v>
      </c>
      <c r="Q326" s="167">
        <f>LOOKUP(Q$2,'Depreciation Schedules'!$A$3:$A$42,'Depreciation Schedules'!$D$3:$D$42)</f>
        <v>0</v>
      </c>
      <c r="R326" s="167">
        <f>LOOKUP(R$2,'Depreciation Schedules'!$A$3:$A$42,'Depreciation Schedules'!$D$3:$D$42)</f>
        <v>0</v>
      </c>
      <c r="S326" s="167">
        <f>LOOKUP(S$2,'Depreciation Schedules'!$A$3:$A$42,'Depreciation Schedules'!$D$3:$D$42)</f>
        <v>0</v>
      </c>
      <c r="T326" s="167">
        <f>LOOKUP(T$2,'Depreciation Schedules'!$A$3:$A$42,'Depreciation Schedules'!$D$3:$D$42)</f>
        <v>0</v>
      </c>
      <c r="U326" s="167">
        <f>LOOKUP(U$2,'Depreciation Schedules'!$A$3:$A$42,'Depreciation Schedules'!$D$3:$D$42)</f>
        <v>0</v>
      </c>
      <c r="V326" s="167">
        <f>LOOKUP(V$2,'Depreciation Schedules'!$A$3:$A$42,'Depreciation Schedules'!$D$3:$D$42)</f>
        <v>0</v>
      </c>
      <c r="W326" s="167">
        <f>LOOKUP(W$2,'Depreciation Schedules'!$A$3:$A$42,'Depreciation Schedules'!$D$3:$D$42)</f>
        <v>0</v>
      </c>
      <c r="X326" s="167">
        <f>LOOKUP(X$2,'Depreciation Schedules'!$A$3:$A$42,'Depreciation Schedules'!$D$3:$D$42)</f>
        <v>0</v>
      </c>
      <c r="Y326" s="167">
        <f>LOOKUP(Y$2,'Depreciation Schedules'!$A$3:$A$42,'Depreciation Schedules'!$D$3:$D$42)</f>
        <v>0</v>
      </c>
      <c r="Z326" s="167">
        <f>LOOKUP(Z$2,'Depreciation Schedules'!$A$3:$A$42,'Depreciation Schedules'!$D$3:$D$42)</f>
        <v>0</v>
      </c>
      <c r="AA326" s="167">
        <f>LOOKUP(AA$2,'Depreciation Schedules'!$A$3:$A$42,'Depreciation Schedules'!$D$3:$D$42)</f>
        <v>0</v>
      </c>
      <c r="AB326" s="167" t="e">
        <f>LOOKUP(AB$2,'Depreciation Schedules'!$A$3:$A$42,'Depreciation Schedules'!$D$3:$D$42)</f>
        <v>#N/A</v>
      </c>
      <c r="AC326" s="167" t="e">
        <f>LOOKUP(AC$2,'Depreciation Schedules'!$A$3:$A$42,'Depreciation Schedules'!$D$3:$D$42)</f>
        <v>#N/A</v>
      </c>
      <c r="AD326" s="167" t="e">
        <f>LOOKUP(AD$2,'Depreciation Schedules'!$A$3:$A$42,'Depreciation Schedules'!$D$3:$D$42)</f>
        <v>#N/A</v>
      </c>
      <c r="AE326" s="167" t="e">
        <f>LOOKUP(AE$2,'Depreciation Schedules'!$A$3:$A$42,'Depreciation Schedules'!$D$3:$D$42)</f>
        <v>#N/A</v>
      </c>
      <c r="AF326" s="167" t="e">
        <f>LOOKUP(AF$2,'Depreciation Schedules'!$A$3:$A$42,'Depreciation Schedules'!$D$3:$D$42)</f>
        <v>#N/A</v>
      </c>
      <c r="AG326" s="167" t="e">
        <f>LOOKUP(AG$2,'Depreciation Schedules'!$A$3:$A$42,'Depreciation Schedules'!$D$3:$D$42)</f>
        <v>#N/A</v>
      </c>
      <c r="AH326" s="167" t="e">
        <f>LOOKUP(AH$2,'Depreciation Schedules'!$A$3:$A$42,'Depreciation Schedules'!$D$3:$D$42)</f>
        <v>#N/A</v>
      </c>
      <c r="AI326" s="167" t="e">
        <f>LOOKUP(AI$2,'Depreciation Schedules'!$A$3:$A$42,'Depreciation Schedules'!$D$3:$D$42)</f>
        <v>#N/A</v>
      </c>
      <c r="AJ326" s="167" t="e">
        <f>LOOKUP(AJ$2,'Depreciation Schedules'!$A$3:$A$42,'Depreciation Schedules'!$D$3:$D$42)</f>
        <v>#N/A</v>
      </c>
      <c r="AK326" s="167" t="e">
        <f>LOOKUP(AK$2,'Depreciation Schedules'!$A$3:$A$42,'Depreciation Schedules'!$D$3:$D$42)</f>
        <v>#N/A</v>
      </c>
      <c r="AL326" s="167" t="e">
        <f>LOOKUP(AL$2,'Depreciation Schedules'!$A$3:$A$42,'Depreciation Schedules'!$D$3:$D$42)</f>
        <v>#N/A</v>
      </c>
      <c r="AM326" s="167" t="e">
        <f>LOOKUP(AM$2,'Depreciation Schedules'!$A$3:$A$42,'Depreciation Schedules'!$D$3:$D$42)</f>
        <v>#N/A</v>
      </c>
      <c r="AN326" s="167" t="e">
        <f>LOOKUP(AN$2,'Depreciation Schedules'!$A$3:$A$42,'Depreciation Schedules'!$D$3:$D$42)</f>
        <v>#N/A</v>
      </c>
      <c r="AO326" s="167" t="e">
        <f>LOOKUP(AO$2,'Depreciation Schedules'!$A$3:$A$42,'Depreciation Schedules'!$D$3:$D$42)</f>
        <v>#N/A</v>
      </c>
      <c r="AP326" s="167" t="e">
        <f>LOOKUP(AP$2,'Depreciation Schedules'!$A$3:$A$42,'Depreciation Schedules'!$D$3:$D$42)</f>
        <v>#N/A</v>
      </c>
    </row>
    <row r="327" spans="1:42" x14ac:dyDescent="0.2">
      <c r="A327" s="23" t="str">
        <f t="shared" si="121"/>
        <v>15-yr SL</v>
      </c>
      <c r="B327" s="166">
        <f t="array" ref="B327">SUM(IF(ISNUMBER(C327:AP327),C327:AP327))</f>
        <v>100.02000000000001</v>
      </c>
      <c r="C327" s="167">
        <f>LOOKUP(C$2,'Depreciation Schedules'!$A$3:$A$42,'Depreciation Schedules'!$E$3:$E$42)</f>
        <v>3.33</v>
      </c>
      <c r="D327" s="167">
        <f>LOOKUP(D$2,'Depreciation Schedules'!$A$3:$A$42,'Depreciation Schedules'!$E$3:$E$42)</f>
        <v>6.67</v>
      </c>
      <c r="E327" s="167">
        <f>LOOKUP(E$2,'Depreciation Schedules'!$A$3:$A$42,'Depreciation Schedules'!$E$3:$E$42)</f>
        <v>6.67</v>
      </c>
      <c r="F327" s="167">
        <f>LOOKUP(F$2,'Depreciation Schedules'!$A$3:$A$42,'Depreciation Schedules'!$E$3:$E$42)</f>
        <v>6.67</v>
      </c>
      <c r="G327" s="167">
        <f>LOOKUP(G$2,'Depreciation Schedules'!$A$3:$A$42,'Depreciation Schedules'!$E$3:$E$42)</f>
        <v>6.67</v>
      </c>
      <c r="H327" s="167">
        <f>LOOKUP(H$2,'Depreciation Schedules'!$A$3:$A$42,'Depreciation Schedules'!$E$3:$E$42)</f>
        <v>6.67</v>
      </c>
      <c r="I327" s="167">
        <f>LOOKUP(I$2,'Depreciation Schedules'!$A$3:$A$42,'Depreciation Schedules'!$E$3:$E$42)</f>
        <v>6.67</v>
      </c>
      <c r="J327" s="167">
        <f>LOOKUP(J$2,'Depreciation Schedules'!$A$3:$A$42,'Depreciation Schedules'!$E$3:$E$42)</f>
        <v>6.67</v>
      </c>
      <c r="K327" s="167">
        <f>LOOKUP(K$2,'Depreciation Schedules'!$A$3:$A$42,'Depreciation Schedules'!$E$3:$E$42)</f>
        <v>6.67</v>
      </c>
      <c r="L327" s="167">
        <f>LOOKUP(L$2,'Depreciation Schedules'!$A$3:$A$42,'Depreciation Schedules'!$E$3:$E$42)</f>
        <v>6.67</v>
      </c>
      <c r="M327" s="167">
        <f>LOOKUP(M$2,'Depreciation Schedules'!$A$3:$A$42,'Depreciation Schedules'!$E$3:$E$42)</f>
        <v>6.67</v>
      </c>
      <c r="N327" s="167">
        <f>LOOKUP(N$2,'Depreciation Schedules'!$A$3:$A$42,'Depreciation Schedules'!$E$3:$E$42)</f>
        <v>6.66</v>
      </c>
      <c r="O327" s="167">
        <f>LOOKUP(O$2,'Depreciation Schedules'!$A$3:$A$42,'Depreciation Schedules'!$E$3:$E$42)</f>
        <v>6.67</v>
      </c>
      <c r="P327" s="167">
        <f>LOOKUP(P$2,'Depreciation Schedules'!$A$3:$A$42,'Depreciation Schedules'!$E$3:$E$42)</f>
        <v>6.66</v>
      </c>
      <c r="Q327" s="167">
        <f>LOOKUP(Q$2,'Depreciation Schedules'!$A$3:$A$42,'Depreciation Schedules'!$E$3:$E$42)</f>
        <v>6.67</v>
      </c>
      <c r="R327" s="167">
        <f>LOOKUP(R$2,'Depreciation Schedules'!$A$3:$A$42,'Depreciation Schedules'!$E$3:$E$42)</f>
        <v>3.33</v>
      </c>
      <c r="S327" s="167">
        <f>LOOKUP(S$2,'Depreciation Schedules'!$A$3:$A$42,'Depreciation Schedules'!$E$3:$E$42)</f>
        <v>0</v>
      </c>
      <c r="T327" s="167">
        <f>LOOKUP(T$2,'Depreciation Schedules'!$A$3:$A$42,'Depreciation Schedules'!$E$3:$E$42)</f>
        <v>0</v>
      </c>
      <c r="U327" s="167">
        <f>LOOKUP(U$2,'Depreciation Schedules'!$A$3:$A$42,'Depreciation Schedules'!$E$3:$E$42)</f>
        <v>0</v>
      </c>
      <c r="V327" s="167">
        <f>LOOKUP(V$2,'Depreciation Schedules'!$A$3:$A$42,'Depreciation Schedules'!$E$3:$E$42)</f>
        <v>0</v>
      </c>
      <c r="W327" s="167">
        <f>LOOKUP(W$2,'Depreciation Schedules'!$A$3:$A$42,'Depreciation Schedules'!$E$3:$E$42)</f>
        <v>0</v>
      </c>
      <c r="X327" s="167">
        <f>LOOKUP(X$2,'Depreciation Schedules'!$A$3:$A$42,'Depreciation Schedules'!$E$3:$E$42)</f>
        <v>0</v>
      </c>
      <c r="Y327" s="167">
        <f>LOOKUP(Y$2,'Depreciation Schedules'!$A$3:$A$42,'Depreciation Schedules'!$E$3:$E$42)</f>
        <v>0</v>
      </c>
      <c r="Z327" s="167">
        <f>LOOKUP(Z$2,'Depreciation Schedules'!$A$3:$A$42,'Depreciation Schedules'!$E$3:$E$42)</f>
        <v>0</v>
      </c>
      <c r="AA327" s="167">
        <f>LOOKUP(AA$2,'Depreciation Schedules'!$A$3:$A$42,'Depreciation Schedules'!$E$3:$E$42)</f>
        <v>0</v>
      </c>
      <c r="AB327" s="167" t="e">
        <f>LOOKUP(AB$2,'Depreciation Schedules'!$A$3:$A$42,'Depreciation Schedules'!$E$3:$E$42)</f>
        <v>#N/A</v>
      </c>
      <c r="AC327" s="167" t="e">
        <f>LOOKUP(AC$2,'Depreciation Schedules'!$A$3:$A$42,'Depreciation Schedules'!$E$3:$E$42)</f>
        <v>#N/A</v>
      </c>
      <c r="AD327" s="167" t="e">
        <f>LOOKUP(AD$2,'Depreciation Schedules'!$A$3:$A$42,'Depreciation Schedules'!$E$3:$E$42)</f>
        <v>#N/A</v>
      </c>
      <c r="AE327" s="167" t="e">
        <f>LOOKUP(AE$2,'Depreciation Schedules'!$A$3:$A$42,'Depreciation Schedules'!$E$3:$E$42)</f>
        <v>#N/A</v>
      </c>
      <c r="AF327" s="167" t="e">
        <f>LOOKUP(AF$2,'Depreciation Schedules'!$A$3:$A$42,'Depreciation Schedules'!$E$3:$E$42)</f>
        <v>#N/A</v>
      </c>
      <c r="AG327" s="167" t="e">
        <f>LOOKUP(AG$2,'Depreciation Schedules'!$A$3:$A$42,'Depreciation Schedules'!$E$3:$E$42)</f>
        <v>#N/A</v>
      </c>
      <c r="AH327" s="167" t="e">
        <f>LOOKUP(AH$2,'Depreciation Schedules'!$A$3:$A$42,'Depreciation Schedules'!$E$3:$E$42)</f>
        <v>#N/A</v>
      </c>
      <c r="AI327" s="167" t="e">
        <f>LOOKUP(AI$2,'Depreciation Schedules'!$A$3:$A$42,'Depreciation Schedules'!$E$3:$E$42)</f>
        <v>#N/A</v>
      </c>
      <c r="AJ327" s="167" t="e">
        <f>LOOKUP(AJ$2,'Depreciation Schedules'!$A$3:$A$42,'Depreciation Schedules'!$E$3:$E$42)</f>
        <v>#N/A</v>
      </c>
      <c r="AK327" s="167" t="e">
        <f>LOOKUP(AK$2,'Depreciation Schedules'!$A$3:$A$42,'Depreciation Schedules'!$E$3:$E$42)</f>
        <v>#N/A</v>
      </c>
      <c r="AL327" s="167" t="e">
        <f>LOOKUP(AL$2,'Depreciation Schedules'!$A$3:$A$42,'Depreciation Schedules'!$E$3:$E$42)</f>
        <v>#N/A</v>
      </c>
      <c r="AM327" s="167" t="e">
        <f>LOOKUP(AM$2,'Depreciation Schedules'!$A$3:$A$42,'Depreciation Schedules'!$E$3:$E$42)</f>
        <v>#N/A</v>
      </c>
      <c r="AN327" s="167" t="e">
        <f>LOOKUP(AN$2,'Depreciation Schedules'!$A$3:$A$42,'Depreciation Schedules'!$E$3:$E$42)</f>
        <v>#N/A</v>
      </c>
      <c r="AO327" s="167" t="e">
        <f>LOOKUP(AO$2,'Depreciation Schedules'!$A$3:$A$42,'Depreciation Schedules'!$E$3:$E$42)</f>
        <v>#N/A</v>
      </c>
      <c r="AP327" s="167" t="e">
        <f>LOOKUP(AP$2,'Depreciation Schedules'!$A$3:$A$42,'Depreciation Schedules'!$E$3:$E$42)</f>
        <v>#N/A</v>
      </c>
    </row>
    <row r="328" spans="1:42" x14ac:dyDescent="0.2">
      <c r="A328" s="23" t="str">
        <f t="shared" si="121"/>
        <v>20-yr SL</v>
      </c>
      <c r="B328" s="166">
        <f t="array" ref="B328">SUM(IF(ISNUMBER(C328:AP328),C328:AP328))</f>
        <v>100</v>
      </c>
      <c r="C328" s="167">
        <f>LOOKUP(C$2,'Depreciation Schedules'!$A$3:$A$42,'Depreciation Schedules'!$F$3:$F$42)</f>
        <v>2.5</v>
      </c>
      <c r="D328" s="167">
        <f>LOOKUP(D$2,'Depreciation Schedules'!$A$3:$A$42,'Depreciation Schedules'!$F$3:$F$42)</f>
        <v>5</v>
      </c>
      <c r="E328" s="167">
        <f>LOOKUP(E$2,'Depreciation Schedules'!$A$3:$A$42,'Depreciation Schedules'!$F$3:$F$42)</f>
        <v>5</v>
      </c>
      <c r="F328" s="167">
        <f>LOOKUP(F$2,'Depreciation Schedules'!$A$3:$A$42,'Depreciation Schedules'!$F$3:$F$42)</f>
        <v>5</v>
      </c>
      <c r="G328" s="167">
        <f>LOOKUP(G$2,'Depreciation Schedules'!$A$3:$A$42,'Depreciation Schedules'!$F$3:$F$42)</f>
        <v>5</v>
      </c>
      <c r="H328" s="167">
        <f>LOOKUP(H$2,'Depreciation Schedules'!$A$3:$A$42,'Depreciation Schedules'!$F$3:$F$42)</f>
        <v>5</v>
      </c>
      <c r="I328" s="167">
        <f>LOOKUP(I$2,'Depreciation Schedules'!$A$3:$A$42,'Depreciation Schedules'!$F$3:$F$42)</f>
        <v>5</v>
      </c>
      <c r="J328" s="167">
        <f>LOOKUP(J$2,'Depreciation Schedules'!$A$3:$A$42,'Depreciation Schedules'!$F$3:$F$42)</f>
        <v>5</v>
      </c>
      <c r="K328" s="167">
        <f>LOOKUP(K$2,'Depreciation Schedules'!$A$3:$A$42,'Depreciation Schedules'!$F$3:$F$42)</f>
        <v>5</v>
      </c>
      <c r="L328" s="167">
        <f>LOOKUP(L$2,'Depreciation Schedules'!$A$3:$A$42,'Depreciation Schedules'!$F$3:$F$42)</f>
        <v>5</v>
      </c>
      <c r="M328" s="167">
        <f>LOOKUP(M$2,'Depreciation Schedules'!$A$3:$A$42,'Depreciation Schedules'!$F$3:$F$42)</f>
        <v>5</v>
      </c>
      <c r="N328" s="167">
        <f>LOOKUP(N$2,'Depreciation Schedules'!$A$3:$A$42,'Depreciation Schedules'!$F$3:$F$42)</f>
        <v>5</v>
      </c>
      <c r="O328" s="167">
        <f>LOOKUP(O$2,'Depreciation Schedules'!$A$3:$A$42,'Depreciation Schedules'!$F$3:$F$42)</f>
        <v>5</v>
      </c>
      <c r="P328" s="167">
        <f>LOOKUP(P$2,'Depreciation Schedules'!$A$3:$A$42,'Depreciation Schedules'!$F$3:$F$42)</f>
        <v>5</v>
      </c>
      <c r="Q328" s="167">
        <f>LOOKUP(Q$2,'Depreciation Schedules'!$A$3:$A$42,'Depreciation Schedules'!$F$3:$F$42)</f>
        <v>5</v>
      </c>
      <c r="R328" s="167">
        <f>LOOKUP(R$2,'Depreciation Schedules'!$A$3:$A$42,'Depreciation Schedules'!$F$3:$F$42)</f>
        <v>5</v>
      </c>
      <c r="S328" s="167">
        <f>LOOKUP(S$2,'Depreciation Schedules'!$A$3:$A$42,'Depreciation Schedules'!$F$3:$F$42)</f>
        <v>5</v>
      </c>
      <c r="T328" s="167">
        <f>LOOKUP(T$2,'Depreciation Schedules'!$A$3:$A$42,'Depreciation Schedules'!$F$3:$F$42)</f>
        <v>5</v>
      </c>
      <c r="U328" s="167">
        <f>LOOKUP(U$2,'Depreciation Schedules'!$A$3:$A$42,'Depreciation Schedules'!$F$3:$F$42)</f>
        <v>5</v>
      </c>
      <c r="V328" s="167">
        <f>LOOKUP(V$2,'Depreciation Schedules'!$A$3:$A$42,'Depreciation Schedules'!$F$3:$F$42)</f>
        <v>5</v>
      </c>
      <c r="W328" s="167">
        <f>LOOKUP(W$2,'Depreciation Schedules'!$A$3:$A$42,'Depreciation Schedules'!$F$3:$F$42)</f>
        <v>2.5</v>
      </c>
      <c r="X328" s="167">
        <f>LOOKUP(X$2,'Depreciation Schedules'!$A$3:$A$42,'Depreciation Schedules'!$F$3:$F$42)</f>
        <v>0</v>
      </c>
      <c r="Y328" s="167">
        <f>LOOKUP(Y$2,'Depreciation Schedules'!$A$3:$A$42,'Depreciation Schedules'!$F$3:$F$42)</f>
        <v>0</v>
      </c>
      <c r="Z328" s="167">
        <f>LOOKUP(Z$2,'Depreciation Schedules'!$A$3:$A$42,'Depreciation Schedules'!$F$3:$F$42)</f>
        <v>0</v>
      </c>
      <c r="AA328" s="167">
        <f>LOOKUP(AA$2,'Depreciation Schedules'!$A$3:$A$42,'Depreciation Schedules'!$F$3:$F$42)</f>
        <v>0</v>
      </c>
      <c r="AB328" s="167" t="e">
        <f>LOOKUP(AB$2,'Depreciation Schedules'!$A$3:$A$42,'Depreciation Schedules'!$F$3:$F$42)</f>
        <v>#N/A</v>
      </c>
      <c r="AC328" s="167" t="e">
        <f>LOOKUP(AC$2,'Depreciation Schedules'!$A$3:$A$42,'Depreciation Schedules'!$F$3:$F$42)</f>
        <v>#N/A</v>
      </c>
      <c r="AD328" s="167" t="e">
        <f>LOOKUP(AD$2,'Depreciation Schedules'!$A$3:$A$42,'Depreciation Schedules'!$F$3:$F$42)</f>
        <v>#N/A</v>
      </c>
      <c r="AE328" s="167" t="e">
        <f>LOOKUP(AE$2,'Depreciation Schedules'!$A$3:$A$42,'Depreciation Schedules'!$F$3:$F$42)</f>
        <v>#N/A</v>
      </c>
      <c r="AF328" s="167" t="e">
        <f>LOOKUP(AF$2,'Depreciation Schedules'!$A$3:$A$42,'Depreciation Schedules'!$F$3:$F$42)</f>
        <v>#N/A</v>
      </c>
      <c r="AG328" s="167" t="e">
        <f>LOOKUP(AG$2,'Depreciation Schedules'!$A$3:$A$42,'Depreciation Schedules'!$F$3:$F$42)</f>
        <v>#N/A</v>
      </c>
      <c r="AH328" s="167" t="e">
        <f>LOOKUP(AH$2,'Depreciation Schedules'!$A$3:$A$42,'Depreciation Schedules'!$F$3:$F$42)</f>
        <v>#N/A</v>
      </c>
      <c r="AI328" s="167" t="e">
        <f>LOOKUP(AI$2,'Depreciation Schedules'!$A$3:$A$42,'Depreciation Schedules'!$F$3:$F$42)</f>
        <v>#N/A</v>
      </c>
      <c r="AJ328" s="167" t="e">
        <f>LOOKUP(AJ$2,'Depreciation Schedules'!$A$3:$A$42,'Depreciation Schedules'!$F$3:$F$42)</f>
        <v>#N/A</v>
      </c>
      <c r="AK328" s="167" t="e">
        <f>LOOKUP(AK$2,'Depreciation Schedules'!$A$3:$A$42,'Depreciation Schedules'!$F$3:$F$42)</f>
        <v>#N/A</v>
      </c>
      <c r="AL328" s="167" t="e">
        <f>LOOKUP(AL$2,'Depreciation Schedules'!$A$3:$A$42,'Depreciation Schedules'!$F$3:$F$42)</f>
        <v>#N/A</v>
      </c>
      <c r="AM328" s="167" t="e">
        <f>LOOKUP(AM$2,'Depreciation Schedules'!$A$3:$A$42,'Depreciation Schedules'!$F$3:$F$42)</f>
        <v>#N/A</v>
      </c>
      <c r="AN328" s="167" t="e">
        <f>LOOKUP(AN$2,'Depreciation Schedules'!$A$3:$A$42,'Depreciation Schedules'!$F$3:$F$42)</f>
        <v>#N/A</v>
      </c>
      <c r="AO328" s="167" t="e">
        <f>LOOKUP(AO$2,'Depreciation Schedules'!$A$3:$A$42,'Depreciation Schedules'!$F$3:$F$42)</f>
        <v>#N/A</v>
      </c>
      <c r="AP328" s="167" t="e">
        <f>LOOKUP(AP$2,'Depreciation Schedules'!$A$3:$A$42,'Depreciation Schedules'!$F$3:$F$42)</f>
        <v>#N/A</v>
      </c>
    </row>
    <row r="329" spans="1:42" x14ac:dyDescent="0.2">
      <c r="A329" s="23" t="str">
        <f t="shared" si="121"/>
        <v>39-yr SL</v>
      </c>
      <c r="B329" s="170">
        <f>SUM(IF(ISNUMBER(C329:AP329),C329:AP329))</f>
        <v>0</v>
      </c>
      <c r="C329" s="167">
        <f>LOOKUP(C$2,'Depreciation Schedules'!$A$3:$A$42,'Depreciation Schedules'!$G$3:$G$42)</f>
        <v>1.2820512820512799</v>
      </c>
      <c r="D329" s="167">
        <f>LOOKUP(D$2,'Depreciation Schedules'!$A$3:$A$42,'Depreciation Schedules'!$G$3:$G$42)</f>
        <v>2.5641025641025599</v>
      </c>
      <c r="E329" s="167">
        <f>LOOKUP(E$2,'Depreciation Schedules'!$A$3:$A$42,'Depreciation Schedules'!$G$3:$G$42)</f>
        <v>2.5641025641025599</v>
      </c>
      <c r="F329" s="167">
        <f>LOOKUP(F$2,'Depreciation Schedules'!$A$3:$A$42,'Depreciation Schedules'!$G$3:$G$42)</f>
        <v>2.5641025641025599</v>
      </c>
      <c r="G329" s="167">
        <f>LOOKUP(G$2,'Depreciation Schedules'!$A$3:$A$42,'Depreciation Schedules'!$G$3:$G$42)</f>
        <v>2.5641025641025599</v>
      </c>
      <c r="H329" s="167">
        <f>LOOKUP(H$2,'Depreciation Schedules'!$A$3:$A$42,'Depreciation Schedules'!$G$3:$G$42)</f>
        <v>2.5641025641025599</v>
      </c>
      <c r="I329" s="167">
        <f>LOOKUP(I$2,'Depreciation Schedules'!$A$3:$A$42,'Depreciation Schedules'!$G$3:$G$42)</f>
        <v>2.5641025641025599</v>
      </c>
      <c r="J329" s="167">
        <f>LOOKUP(J$2,'Depreciation Schedules'!$A$3:$A$42,'Depreciation Schedules'!$G$3:$G$42)</f>
        <v>2.5641025641025599</v>
      </c>
      <c r="K329" s="167">
        <f>LOOKUP(K$2,'Depreciation Schedules'!$A$3:$A$42,'Depreciation Schedules'!$G$3:$G$42)</f>
        <v>2.5641025641025599</v>
      </c>
      <c r="L329" s="167">
        <f>LOOKUP(L$2,'Depreciation Schedules'!$A$3:$A$42,'Depreciation Schedules'!$G$3:$G$42)</f>
        <v>2.5641025641025599</v>
      </c>
      <c r="M329" s="167">
        <f>LOOKUP(M$2,'Depreciation Schedules'!$A$3:$A$42,'Depreciation Schedules'!$G$3:$G$42)</f>
        <v>2.5641025641025599</v>
      </c>
      <c r="N329" s="167">
        <f>LOOKUP(N$2,'Depreciation Schedules'!$A$3:$A$42,'Depreciation Schedules'!$G$3:$G$42)</f>
        <v>2.5641025641025599</v>
      </c>
      <c r="O329" s="167">
        <f>LOOKUP(O$2,'Depreciation Schedules'!$A$3:$A$42,'Depreciation Schedules'!$G$3:$G$42)</f>
        <v>2.5641025641025599</v>
      </c>
      <c r="P329" s="167">
        <f>LOOKUP(P$2,'Depreciation Schedules'!$A$3:$A$42,'Depreciation Schedules'!$G$3:$G$42)</f>
        <v>2.5641025641025599</v>
      </c>
      <c r="Q329" s="167">
        <f>LOOKUP(Q$2,'Depreciation Schedules'!$A$3:$A$42,'Depreciation Schedules'!$G$3:$G$42)</f>
        <v>2.5641025641025599</v>
      </c>
      <c r="R329" s="167">
        <f>LOOKUP(R$2,'Depreciation Schedules'!$A$3:$A$42,'Depreciation Schedules'!$G$3:$G$42)</f>
        <v>2.5641025641025599</v>
      </c>
      <c r="S329" s="167">
        <f>LOOKUP(S$2,'Depreciation Schedules'!$A$3:$A$42,'Depreciation Schedules'!$G$3:$G$42)</f>
        <v>2.5641025641025599</v>
      </c>
      <c r="T329" s="167">
        <f>LOOKUP(T$2,'Depreciation Schedules'!$A$3:$A$42,'Depreciation Schedules'!$G$3:$G$42)</f>
        <v>2.5641025641025599</v>
      </c>
      <c r="U329" s="167">
        <f>LOOKUP(U$2,'Depreciation Schedules'!$A$3:$A$42,'Depreciation Schedules'!$G$3:$G$42)</f>
        <v>2.5641025641025599</v>
      </c>
      <c r="V329" s="167">
        <f>LOOKUP(V$2,'Depreciation Schedules'!$A$3:$A$42,'Depreciation Schedules'!$G$3:$G$42)</f>
        <v>2.5641025641025599</v>
      </c>
      <c r="W329" s="167">
        <f>LOOKUP(W$2,'Depreciation Schedules'!$A$3:$A$42,'Depreciation Schedules'!$G$3:$G$42)</f>
        <v>2.5641025641025599</v>
      </c>
      <c r="X329" s="167">
        <f>LOOKUP(X$2,'Depreciation Schedules'!$A$3:$A$42,'Depreciation Schedules'!$G$3:$G$42)</f>
        <v>2.5641025641025599</v>
      </c>
      <c r="Y329" s="167">
        <f>LOOKUP(Y$2,'Depreciation Schedules'!$A$3:$A$42,'Depreciation Schedules'!$G$3:$G$42)</f>
        <v>2.5641025641025599</v>
      </c>
      <c r="Z329" s="167">
        <f>LOOKUP(Z$2,'Depreciation Schedules'!$A$3:$A$42,'Depreciation Schedules'!$G$3:$G$42)</f>
        <v>2.5641025641025599</v>
      </c>
      <c r="AA329" s="167">
        <f>LOOKUP(AA$2,'Depreciation Schedules'!$A$3:$A$42,'Depreciation Schedules'!$G$3:$G$42)</f>
        <v>2.5641025641025599</v>
      </c>
      <c r="AB329" s="167" t="e">
        <f>LOOKUP(AB$2,'Depreciation Schedules'!$A$3:$A$42,'Depreciation Schedules'!$G$3:$G$42)</f>
        <v>#N/A</v>
      </c>
      <c r="AC329" s="167" t="e">
        <f>LOOKUP(AC$2,'Depreciation Schedules'!$A$3:$A$42,'Depreciation Schedules'!$G$3:$G$42)</f>
        <v>#N/A</v>
      </c>
      <c r="AD329" s="167" t="e">
        <f>LOOKUP(AD$2,'Depreciation Schedules'!$A$3:$A$42,'Depreciation Schedules'!$G$3:$G$42)</f>
        <v>#N/A</v>
      </c>
      <c r="AE329" s="167" t="e">
        <f>LOOKUP(AE$2,'Depreciation Schedules'!$A$3:$A$42,'Depreciation Schedules'!$G$3:$G$42)</f>
        <v>#N/A</v>
      </c>
      <c r="AF329" s="167" t="e">
        <f>LOOKUP(AF$2,'Depreciation Schedules'!$A$3:$A$42,'Depreciation Schedules'!$G$3:$G$42)</f>
        <v>#N/A</v>
      </c>
      <c r="AG329" s="167" t="e">
        <f>LOOKUP(AG$2,'Depreciation Schedules'!$A$3:$A$42,'Depreciation Schedules'!$G$3:$G$42)</f>
        <v>#N/A</v>
      </c>
      <c r="AH329" s="167" t="e">
        <f>LOOKUP(AH$2,'Depreciation Schedules'!$A$3:$A$42,'Depreciation Schedules'!$G$3:$G$42)</f>
        <v>#N/A</v>
      </c>
      <c r="AI329" s="167" t="e">
        <f>LOOKUP(AI$2,'Depreciation Schedules'!$A$3:$A$42,'Depreciation Schedules'!$G$3:$G$42)</f>
        <v>#N/A</v>
      </c>
      <c r="AJ329" s="167" t="e">
        <f>LOOKUP(AJ$2,'Depreciation Schedules'!$A$3:$A$42,'Depreciation Schedules'!$G$3:$G$42)</f>
        <v>#N/A</v>
      </c>
      <c r="AK329" s="167" t="e">
        <f>LOOKUP(AK$2,'Depreciation Schedules'!$A$3:$A$42,'Depreciation Schedules'!$G$3:$G$42)</f>
        <v>#N/A</v>
      </c>
      <c r="AL329" s="167" t="e">
        <f>LOOKUP(AL$2,'Depreciation Schedules'!$A$3:$A$42,'Depreciation Schedules'!$G$3:$G$42)</f>
        <v>#N/A</v>
      </c>
      <c r="AM329" s="167" t="e">
        <f>LOOKUP(AM$2,'Depreciation Schedules'!$A$3:$A$42,'Depreciation Schedules'!$G$3:$G$42)</f>
        <v>#N/A</v>
      </c>
      <c r="AN329" s="167" t="e">
        <f>LOOKUP(AN$2,'Depreciation Schedules'!$A$3:$A$42,'Depreciation Schedules'!$G$3:$G$42)</f>
        <v>#N/A</v>
      </c>
      <c r="AO329" s="167" t="e">
        <f>LOOKUP(AO$2,'Depreciation Schedules'!$A$3:$A$42,'Depreciation Schedules'!$G$3:$G$42)</f>
        <v>#N/A</v>
      </c>
      <c r="AP329" s="167" t="e">
        <f>LOOKUP(AP$2,'Depreciation Schedules'!$A$3:$A$42,'Depreciation Schedules'!$G$3:$G$42)</f>
        <v>#N/A</v>
      </c>
    </row>
    <row r="330" spans="1:42" x14ac:dyDescent="0.2">
      <c r="A330" s="23" t="s">
        <v>322</v>
      </c>
      <c r="B330" s="170">
        <f>SUM(IF(ISNUMBER(C330:AP330),C330:AP330))</f>
        <v>0</v>
      </c>
      <c r="C330" s="167">
        <f t="array" ref="C330:AP330">Inputs!D220:AQ220</f>
        <v>0</v>
      </c>
      <c r="D330" s="167">
        <v>0</v>
      </c>
      <c r="E330" s="167">
        <v>0</v>
      </c>
      <c r="F330" s="167">
        <v>0</v>
      </c>
      <c r="G330" s="167">
        <v>0</v>
      </c>
      <c r="H330" s="167">
        <v>0</v>
      </c>
      <c r="I330" s="167">
        <v>0</v>
      </c>
      <c r="J330" s="167">
        <v>0</v>
      </c>
      <c r="K330" s="167">
        <v>0</v>
      </c>
      <c r="L330" s="167">
        <v>0</v>
      </c>
      <c r="M330" s="167">
        <v>0</v>
      </c>
      <c r="N330" s="167">
        <v>0</v>
      </c>
      <c r="O330" s="167">
        <v>0</v>
      </c>
      <c r="P330" s="167">
        <v>0</v>
      </c>
      <c r="Q330" s="167">
        <v>0</v>
      </c>
      <c r="R330" s="167">
        <v>0</v>
      </c>
      <c r="S330" s="167">
        <v>0</v>
      </c>
      <c r="T330" s="167">
        <v>0</v>
      </c>
      <c r="U330" s="167">
        <v>0</v>
      </c>
      <c r="V330" s="167">
        <v>0</v>
      </c>
      <c r="W330" s="167">
        <v>0</v>
      </c>
      <c r="X330" s="167">
        <v>0</v>
      </c>
      <c r="Y330" s="167">
        <v>0</v>
      </c>
      <c r="Z330" s="167">
        <v>0</v>
      </c>
      <c r="AA330" s="167">
        <v>0</v>
      </c>
      <c r="AB330" s="167">
        <v>0</v>
      </c>
      <c r="AC330" s="167">
        <v>0</v>
      </c>
      <c r="AD330" s="167">
        <v>0</v>
      </c>
      <c r="AE330" s="167">
        <v>0</v>
      </c>
      <c r="AF330" s="167">
        <v>0</v>
      </c>
      <c r="AG330" s="167">
        <v>0</v>
      </c>
      <c r="AH330" s="167">
        <v>0</v>
      </c>
      <c r="AI330" s="167">
        <v>0</v>
      </c>
      <c r="AJ330" s="167">
        <v>0</v>
      </c>
      <c r="AK330" s="167">
        <v>0</v>
      </c>
      <c r="AL330" s="167">
        <v>0</v>
      </c>
      <c r="AM330" s="167">
        <v>0</v>
      </c>
      <c r="AN330" s="167">
        <v>0</v>
      </c>
      <c r="AO330" s="167">
        <v>0</v>
      </c>
      <c r="AP330" s="167">
        <v>0</v>
      </c>
    </row>
    <row r="331" spans="1:42" x14ac:dyDescent="0.2">
      <c r="A331" s="22" t="s">
        <v>3</v>
      </c>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row>
    <row r="332" spans="1:42" x14ac:dyDescent="0.2">
      <c r="A332" s="23" t="str">
        <f t="shared" ref="A332:A337" si="122">A324</f>
        <v>5-yr MACRS</v>
      </c>
      <c r="B332" s="171">
        <f>SUM(IF(ISNUMBER(C332:AP332),C332:AP332))</f>
        <v>0</v>
      </c>
      <c r="C332" s="119">
        <f>C324/100*$Q$291</f>
        <v>17249185.9575</v>
      </c>
      <c r="D332" s="119">
        <f t="shared" ref="D332:AP332" si="123">D324/100*$Q$291</f>
        <v>27598697.531999998</v>
      </c>
      <c r="E332" s="119">
        <f t="shared" si="123"/>
        <v>16559218.519199999</v>
      </c>
      <c r="F332" s="119">
        <f t="shared" si="123"/>
        <v>9935531.1115199998</v>
      </c>
      <c r="G332" s="119">
        <f t="shared" si="123"/>
        <v>9935531.1115199998</v>
      </c>
      <c r="H332" s="119">
        <f t="shared" si="123"/>
        <v>4967765.5557599999</v>
      </c>
      <c r="I332" s="119">
        <f t="shared" si="123"/>
        <v>0</v>
      </c>
      <c r="J332" s="119">
        <f t="shared" si="123"/>
        <v>0</v>
      </c>
      <c r="K332" s="119">
        <f t="shared" si="123"/>
        <v>0</v>
      </c>
      <c r="L332" s="119">
        <f t="shared" si="123"/>
        <v>0</v>
      </c>
      <c r="M332" s="119">
        <f t="shared" si="123"/>
        <v>0</v>
      </c>
      <c r="N332" s="119">
        <f t="shared" si="123"/>
        <v>0</v>
      </c>
      <c r="O332" s="119">
        <f t="shared" si="123"/>
        <v>0</v>
      </c>
      <c r="P332" s="119">
        <f t="shared" si="123"/>
        <v>0</v>
      </c>
      <c r="Q332" s="119">
        <f t="shared" si="123"/>
        <v>0</v>
      </c>
      <c r="R332" s="119">
        <f t="shared" si="123"/>
        <v>0</v>
      </c>
      <c r="S332" s="119">
        <f t="shared" si="123"/>
        <v>0</v>
      </c>
      <c r="T332" s="119">
        <f t="shared" si="123"/>
        <v>0</v>
      </c>
      <c r="U332" s="119">
        <f t="shared" si="123"/>
        <v>0</v>
      </c>
      <c r="V332" s="119">
        <f t="shared" si="123"/>
        <v>0</v>
      </c>
      <c r="W332" s="119">
        <f t="shared" si="123"/>
        <v>0</v>
      </c>
      <c r="X332" s="119">
        <f t="shared" si="123"/>
        <v>0</v>
      </c>
      <c r="Y332" s="119">
        <f t="shared" si="123"/>
        <v>0</v>
      </c>
      <c r="Z332" s="119">
        <f t="shared" si="123"/>
        <v>0</v>
      </c>
      <c r="AA332" s="119">
        <f t="shared" si="123"/>
        <v>0</v>
      </c>
      <c r="AB332" s="119" t="e">
        <f t="shared" si="123"/>
        <v>#N/A</v>
      </c>
      <c r="AC332" s="119" t="e">
        <f t="shared" si="123"/>
        <v>#N/A</v>
      </c>
      <c r="AD332" s="119" t="e">
        <f t="shared" si="123"/>
        <v>#N/A</v>
      </c>
      <c r="AE332" s="119" t="e">
        <f t="shared" si="123"/>
        <v>#N/A</v>
      </c>
      <c r="AF332" s="119" t="e">
        <f t="shared" si="123"/>
        <v>#N/A</v>
      </c>
      <c r="AG332" s="119" t="e">
        <f t="shared" si="123"/>
        <v>#N/A</v>
      </c>
      <c r="AH332" s="119" t="e">
        <f t="shared" si="123"/>
        <v>#N/A</v>
      </c>
      <c r="AI332" s="119" t="e">
        <f t="shared" si="123"/>
        <v>#N/A</v>
      </c>
      <c r="AJ332" s="119" t="e">
        <f t="shared" si="123"/>
        <v>#N/A</v>
      </c>
      <c r="AK332" s="119" t="e">
        <f t="shared" si="123"/>
        <v>#N/A</v>
      </c>
      <c r="AL332" s="119" t="e">
        <f t="shared" si="123"/>
        <v>#N/A</v>
      </c>
      <c r="AM332" s="119" t="e">
        <f t="shared" si="123"/>
        <v>#N/A</v>
      </c>
      <c r="AN332" s="119" t="e">
        <f t="shared" si="123"/>
        <v>#N/A</v>
      </c>
      <c r="AO332" s="119" t="e">
        <f t="shared" si="123"/>
        <v>#N/A</v>
      </c>
      <c r="AP332" s="119" t="e">
        <f t="shared" si="123"/>
        <v>#N/A</v>
      </c>
    </row>
    <row r="333" spans="1:42" x14ac:dyDescent="0.2">
      <c r="A333" s="23" t="str">
        <f t="shared" si="122"/>
        <v>15-yr MACRS</v>
      </c>
      <c r="B333" s="171">
        <f t="array" ref="B333">SUM(IF(ISNUMBER(C333:AP333),C333:AP333))</f>
        <v>1690927.5528337501</v>
      </c>
      <c r="C333" s="119">
        <f>C325/100*$Q$292</f>
        <v>84554.833125000005</v>
      </c>
      <c r="D333" s="119">
        <f t="shared" ref="D333:AP333" si="124">D325/100*$Q$292</f>
        <v>160654.18293750001</v>
      </c>
      <c r="E333" s="119">
        <f t="shared" si="124"/>
        <v>144588.76464375001</v>
      </c>
      <c r="F333" s="119">
        <f t="shared" si="124"/>
        <v>130214.44301250001</v>
      </c>
      <c r="G333" s="119">
        <f t="shared" si="124"/>
        <v>117192.99871125001</v>
      </c>
      <c r="H333" s="119">
        <f t="shared" si="124"/>
        <v>105355.32207375001</v>
      </c>
      <c r="I333" s="119">
        <f t="shared" si="124"/>
        <v>99774.703087500005</v>
      </c>
      <c r="J333" s="119">
        <f t="shared" si="124"/>
        <v>99774.703087500005</v>
      </c>
      <c r="K333" s="119">
        <f t="shared" si="124"/>
        <v>99943.812753750011</v>
      </c>
      <c r="L333" s="119">
        <f t="shared" si="124"/>
        <v>99774.703087500005</v>
      </c>
      <c r="M333" s="119">
        <f t="shared" si="124"/>
        <v>99943.812753750011</v>
      </c>
      <c r="N333" s="119">
        <f t="shared" si="124"/>
        <v>99774.703087500005</v>
      </c>
      <c r="O333" s="119">
        <f t="shared" si="124"/>
        <v>99943.812753750011</v>
      </c>
      <c r="P333" s="119">
        <f t="shared" si="124"/>
        <v>99774.703087500005</v>
      </c>
      <c r="Q333" s="119">
        <f t="shared" si="124"/>
        <v>99774.703087500005</v>
      </c>
      <c r="R333" s="119">
        <f t="shared" si="124"/>
        <v>49887.351543750003</v>
      </c>
      <c r="S333" s="119">
        <f t="shared" si="124"/>
        <v>0</v>
      </c>
      <c r="T333" s="119">
        <f t="shared" si="124"/>
        <v>0</v>
      </c>
      <c r="U333" s="119">
        <f t="shared" si="124"/>
        <v>0</v>
      </c>
      <c r="V333" s="119">
        <f t="shared" si="124"/>
        <v>0</v>
      </c>
      <c r="W333" s="119">
        <f t="shared" si="124"/>
        <v>0</v>
      </c>
      <c r="X333" s="119">
        <f t="shared" si="124"/>
        <v>0</v>
      </c>
      <c r="Y333" s="119">
        <f t="shared" si="124"/>
        <v>0</v>
      </c>
      <c r="Z333" s="119">
        <f t="shared" si="124"/>
        <v>0</v>
      </c>
      <c r="AA333" s="119">
        <f t="shared" si="124"/>
        <v>0</v>
      </c>
      <c r="AB333" s="119" t="e">
        <f t="shared" si="124"/>
        <v>#N/A</v>
      </c>
      <c r="AC333" s="119" t="e">
        <f t="shared" si="124"/>
        <v>#N/A</v>
      </c>
      <c r="AD333" s="119" t="e">
        <f t="shared" si="124"/>
        <v>#N/A</v>
      </c>
      <c r="AE333" s="119" t="e">
        <f t="shared" si="124"/>
        <v>#N/A</v>
      </c>
      <c r="AF333" s="119" t="e">
        <f t="shared" si="124"/>
        <v>#N/A</v>
      </c>
      <c r="AG333" s="119" t="e">
        <f t="shared" si="124"/>
        <v>#N/A</v>
      </c>
      <c r="AH333" s="119" t="e">
        <f t="shared" si="124"/>
        <v>#N/A</v>
      </c>
      <c r="AI333" s="119" t="e">
        <f t="shared" si="124"/>
        <v>#N/A</v>
      </c>
      <c r="AJ333" s="119" t="e">
        <f t="shared" si="124"/>
        <v>#N/A</v>
      </c>
      <c r="AK333" s="119" t="e">
        <f t="shared" si="124"/>
        <v>#N/A</v>
      </c>
      <c r="AL333" s="119" t="e">
        <f t="shared" si="124"/>
        <v>#N/A</v>
      </c>
      <c r="AM333" s="119" t="e">
        <f t="shared" si="124"/>
        <v>#N/A</v>
      </c>
      <c r="AN333" s="119" t="e">
        <f t="shared" si="124"/>
        <v>#N/A</v>
      </c>
      <c r="AO333" s="119" t="e">
        <f t="shared" si="124"/>
        <v>#N/A</v>
      </c>
      <c r="AP333" s="119" t="e">
        <f t="shared" si="124"/>
        <v>#N/A</v>
      </c>
    </row>
    <row r="334" spans="1:42" x14ac:dyDescent="0.2">
      <c r="A334" s="23" t="str">
        <f t="shared" si="122"/>
        <v>5-yr SL</v>
      </c>
      <c r="B334" s="171">
        <f t="array" ref="B334">SUM(IF(ISNUMBER(C334:AP334),C334:AP334))</f>
        <v>0</v>
      </c>
      <c r="C334" s="119">
        <f>C326/100*$Q$293</f>
        <v>0</v>
      </c>
      <c r="D334" s="119">
        <f t="shared" ref="D334:AP334" si="125">D326/100*$Q$293</f>
        <v>0</v>
      </c>
      <c r="E334" s="119">
        <f t="shared" si="125"/>
        <v>0</v>
      </c>
      <c r="F334" s="119">
        <f t="shared" si="125"/>
        <v>0</v>
      </c>
      <c r="G334" s="119">
        <f t="shared" si="125"/>
        <v>0</v>
      </c>
      <c r="H334" s="119">
        <f t="shared" si="125"/>
        <v>0</v>
      </c>
      <c r="I334" s="119">
        <f t="shared" si="125"/>
        <v>0</v>
      </c>
      <c r="J334" s="119">
        <f t="shared" si="125"/>
        <v>0</v>
      </c>
      <c r="K334" s="119">
        <f t="shared" si="125"/>
        <v>0</v>
      </c>
      <c r="L334" s="119">
        <f t="shared" si="125"/>
        <v>0</v>
      </c>
      <c r="M334" s="119">
        <f t="shared" si="125"/>
        <v>0</v>
      </c>
      <c r="N334" s="119">
        <f t="shared" si="125"/>
        <v>0</v>
      </c>
      <c r="O334" s="119">
        <f t="shared" si="125"/>
        <v>0</v>
      </c>
      <c r="P334" s="119">
        <f t="shared" si="125"/>
        <v>0</v>
      </c>
      <c r="Q334" s="119">
        <f t="shared" si="125"/>
        <v>0</v>
      </c>
      <c r="R334" s="119">
        <f t="shared" si="125"/>
        <v>0</v>
      </c>
      <c r="S334" s="119">
        <f t="shared" si="125"/>
        <v>0</v>
      </c>
      <c r="T334" s="119">
        <f t="shared" si="125"/>
        <v>0</v>
      </c>
      <c r="U334" s="119">
        <f t="shared" si="125"/>
        <v>0</v>
      </c>
      <c r="V334" s="119">
        <f t="shared" si="125"/>
        <v>0</v>
      </c>
      <c r="W334" s="119">
        <f t="shared" si="125"/>
        <v>0</v>
      </c>
      <c r="X334" s="119">
        <f t="shared" si="125"/>
        <v>0</v>
      </c>
      <c r="Y334" s="119">
        <f t="shared" si="125"/>
        <v>0</v>
      </c>
      <c r="Z334" s="119">
        <f t="shared" si="125"/>
        <v>0</v>
      </c>
      <c r="AA334" s="119">
        <f t="shared" si="125"/>
        <v>0</v>
      </c>
      <c r="AB334" s="119" t="e">
        <f t="shared" si="125"/>
        <v>#N/A</v>
      </c>
      <c r="AC334" s="119" t="e">
        <f t="shared" si="125"/>
        <v>#N/A</v>
      </c>
      <c r="AD334" s="119" t="e">
        <f t="shared" si="125"/>
        <v>#N/A</v>
      </c>
      <c r="AE334" s="119" t="e">
        <f t="shared" si="125"/>
        <v>#N/A</v>
      </c>
      <c r="AF334" s="119" t="e">
        <f t="shared" si="125"/>
        <v>#N/A</v>
      </c>
      <c r="AG334" s="119" t="e">
        <f t="shared" si="125"/>
        <v>#N/A</v>
      </c>
      <c r="AH334" s="119" t="e">
        <f t="shared" si="125"/>
        <v>#N/A</v>
      </c>
      <c r="AI334" s="119" t="e">
        <f t="shared" si="125"/>
        <v>#N/A</v>
      </c>
      <c r="AJ334" s="119" t="e">
        <f t="shared" si="125"/>
        <v>#N/A</v>
      </c>
      <c r="AK334" s="119" t="e">
        <f t="shared" si="125"/>
        <v>#N/A</v>
      </c>
      <c r="AL334" s="119" t="e">
        <f t="shared" si="125"/>
        <v>#N/A</v>
      </c>
      <c r="AM334" s="119" t="e">
        <f t="shared" si="125"/>
        <v>#N/A</v>
      </c>
      <c r="AN334" s="119" t="e">
        <f t="shared" si="125"/>
        <v>#N/A</v>
      </c>
      <c r="AO334" s="119" t="e">
        <f t="shared" si="125"/>
        <v>#N/A</v>
      </c>
      <c r="AP334" s="119" t="e">
        <f t="shared" si="125"/>
        <v>#N/A</v>
      </c>
    </row>
    <row r="335" spans="1:42" x14ac:dyDescent="0.2">
      <c r="A335" s="23" t="str">
        <f t="shared" si="122"/>
        <v>15-yr SL</v>
      </c>
      <c r="B335" s="171">
        <f t="array" ref="B335">SUM(IF(ISNUMBER(C335:AP335),C335:AP335))</f>
        <v>2819058.1363875004</v>
      </c>
      <c r="C335" s="119">
        <f>C327/100*$Q$294</f>
        <v>93855.864768750005</v>
      </c>
      <c r="D335" s="119">
        <f t="shared" ref="D335:AP335" si="126">D327/100*$Q$294</f>
        <v>187993.57898125</v>
      </c>
      <c r="E335" s="119">
        <f t="shared" si="126"/>
        <v>187993.57898125</v>
      </c>
      <c r="F335" s="119">
        <f t="shared" si="126"/>
        <v>187993.57898125</v>
      </c>
      <c r="G335" s="119">
        <f t="shared" si="126"/>
        <v>187993.57898125</v>
      </c>
      <c r="H335" s="119">
        <f t="shared" si="126"/>
        <v>187993.57898125</v>
      </c>
      <c r="I335" s="119">
        <f t="shared" si="126"/>
        <v>187993.57898125</v>
      </c>
      <c r="J335" s="119">
        <f t="shared" si="126"/>
        <v>187993.57898125</v>
      </c>
      <c r="K335" s="119">
        <f t="shared" si="126"/>
        <v>187993.57898125</v>
      </c>
      <c r="L335" s="119">
        <f t="shared" si="126"/>
        <v>187993.57898125</v>
      </c>
      <c r="M335" s="119">
        <f t="shared" si="126"/>
        <v>187993.57898125</v>
      </c>
      <c r="N335" s="119">
        <f t="shared" si="126"/>
        <v>187711.72953750001</v>
      </c>
      <c r="O335" s="119">
        <f t="shared" si="126"/>
        <v>187993.57898125</v>
      </c>
      <c r="P335" s="119">
        <f t="shared" si="126"/>
        <v>187711.72953750001</v>
      </c>
      <c r="Q335" s="119">
        <f t="shared" si="126"/>
        <v>187993.57898125</v>
      </c>
      <c r="R335" s="119">
        <f t="shared" si="126"/>
        <v>93855.864768750005</v>
      </c>
      <c r="S335" s="119">
        <f t="shared" si="126"/>
        <v>0</v>
      </c>
      <c r="T335" s="119">
        <f t="shared" si="126"/>
        <v>0</v>
      </c>
      <c r="U335" s="119">
        <f t="shared" si="126"/>
        <v>0</v>
      </c>
      <c r="V335" s="119">
        <f t="shared" si="126"/>
        <v>0</v>
      </c>
      <c r="W335" s="119">
        <f t="shared" si="126"/>
        <v>0</v>
      </c>
      <c r="X335" s="119">
        <f t="shared" si="126"/>
        <v>0</v>
      </c>
      <c r="Y335" s="119">
        <f t="shared" si="126"/>
        <v>0</v>
      </c>
      <c r="Z335" s="119">
        <f t="shared" si="126"/>
        <v>0</v>
      </c>
      <c r="AA335" s="119">
        <f t="shared" si="126"/>
        <v>0</v>
      </c>
      <c r="AB335" s="119" t="e">
        <f t="shared" si="126"/>
        <v>#N/A</v>
      </c>
      <c r="AC335" s="119" t="e">
        <f t="shared" si="126"/>
        <v>#N/A</v>
      </c>
      <c r="AD335" s="119" t="e">
        <f t="shared" si="126"/>
        <v>#N/A</v>
      </c>
      <c r="AE335" s="119" t="e">
        <f t="shared" si="126"/>
        <v>#N/A</v>
      </c>
      <c r="AF335" s="119" t="e">
        <f t="shared" si="126"/>
        <v>#N/A</v>
      </c>
      <c r="AG335" s="119" t="e">
        <f t="shared" si="126"/>
        <v>#N/A</v>
      </c>
      <c r="AH335" s="119" t="e">
        <f t="shared" si="126"/>
        <v>#N/A</v>
      </c>
      <c r="AI335" s="119" t="e">
        <f t="shared" si="126"/>
        <v>#N/A</v>
      </c>
      <c r="AJ335" s="119" t="e">
        <f t="shared" si="126"/>
        <v>#N/A</v>
      </c>
      <c r="AK335" s="119" t="e">
        <f t="shared" si="126"/>
        <v>#N/A</v>
      </c>
      <c r="AL335" s="119" t="e">
        <f t="shared" si="126"/>
        <v>#N/A</v>
      </c>
      <c r="AM335" s="119" t="e">
        <f t="shared" si="126"/>
        <v>#N/A</v>
      </c>
      <c r="AN335" s="119" t="e">
        <f t="shared" si="126"/>
        <v>#N/A</v>
      </c>
      <c r="AO335" s="119" t="e">
        <f t="shared" si="126"/>
        <v>#N/A</v>
      </c>
      <c r="AP335" s="119" t="e">
        <f t="shared" si="126"/>
        <v>#N/A</v>
      </c>
    </row>
    <row r="336" spans="1:42" x14ac:dyDescent="0.2">
      <c r="A336" s="23" t="str">
        <f t="shared" si="122"/>
        <v>20-yr SL</v>
      </c>
      <c r="B336" s="171">
        <f t="array" ref="B336">SUM(IF(ISNUMBER(C336:AP336),C336:AP336))</f>
        <v>3382193.3249999983</v>
      </c>
      <c r="C336" s="119">
        <f>C328/100*$Q$295</f>
        <v>84554.833125000005</v>
      </c>
      <c r="D336" s="119">
        <f t="shared" ref="D336:AP336" si="127">D328/100*$Q$295</f>
        <v>169109.66625000001</v>
      </c>
      <c r="E336" s="119">
        <f t="shared" si="127"/>
        <v>169109.66625000001</v>
      </c>
      <c r="F336" s="119">
        <f t="shared" si="127"/>
        <v>169109.66625000001</v>
      </c>
      <c r="G336" s="119">
        <f t="shared" si="127"/>
        <v>169109.66625000001</v>
      </c>
      <c r="H336" s="119">
        <f t="shared" si="127"/>
        <v>169109.66625000001</v>
      </c>
      <c r="I336" s="119">
        <f t="shared" si="127"/>
        <v>169109.66625000001</v>
      </c>
      <c r="J336" s="119">
        <f t="shared" si="127"/>
        <v>169109.66625000001</v>
      </c>
      <c r="K336" s="119">
        <f t="shared" si="127"/>
        <v>169109.66625000001</v>
      </c>
      <c r="L336" s="119">
        <f t="shared" si="127"/>
        <v>169109.66625000001</v>
      </c>
      <c r="M336" s="119">
        <f t="shared" si="127"/>
        <v>169109.66625000001</v>
      </c>
      <c r="N336" s="119">
        <f t="shared" si="127"/>
        <v>169109.66625000001</v>
      </c>
      <c r="O336" s="119">
        <f t="shared" si="127"/>
        <v>169109.66625000001</v>
      </c>
      <c r="P336" s="119">
        <f t="shared" si="127"/>
        <v>169109.66625000001</v>
      </c>
      <c r="Q336" s="119">
        <f t="shared" si="127"/>
        <v>169109.66625000001</v>
      </c>
      <c r="R336" s="119">
        <f t="shared" si="127"/>
        <v>169109.66625000001</v>
      </c>
      <c r="S336" s="119">
        <f t="shared" si="127"/>
        <v>169109.66625000001</v>
      </c>
      <c r="T336" s="119">
        <f t="shared" si="127"/>
        <v>169109.66625000001</v>
      </c>
      <c r="U336" s="119">
        <f t="shared" si="127"/>
        <v>169109.66625000001</v>
      </c>
      <c r="V336" s="119">
        <f t="shared" si="127"/>
        <v>169109.66625000001</v>
      </c>
      <c r="W336" s="119">
        <f t="shared" si="127"/>
        <v>84554.833125000005</v>
      </c>
      <c r="X336" s="119">
        <f t="shared" si="127"/>
        <v>0</v>
      </c>
      <c r="Y336" s="119">
        <f t="shared" si="127"/>
        <v>0</v>
      </c>
      <c r="Z336" s="119">
        <f t="shared" si="127"/>
        <v>0</v>
      </c>
      <c r="AA336" s="119">
        <f t="shared" si="127"/>
        <v>0</v>
      </c>
      <c r="AB336" s="119" t="e">
        <f t="shared" si="127"/>
        <v>#N/A</v>
      </c>
      <c r="AC336" s="119" t="e">
        <f t="shared" si="127"/>
        <v>#N/A</v>
      </c>
      <c r="AD336" s="119" t="e">
        <f t="shared" si="127"/>
        <v>#N/A</v>
      </c>
      <c r="AE336" s="119" t="e">
        <f t="shared" si="127"/>
        <v>#N/A</v>
      </c>
      <c r="AF336" s="119" t="e">
        <f t="shared" si="127"/>
        <v>#N/A</v>
      </c>
      <c r="AG336" s="119" t="e">
        <f t="shared" si="127"/>
        <v>#N/A</v>
      </c>
      <c r="AH336" s="119" t="e">
        <f t="shared" si="127"/>
        <v>#N/A</v>
      </c>
      <c r="AI336" s="119" t="e">
        <f t="shared" si="127"/>
        <v>#N/A</v>
      </c>
      <c r="AJ336" s="119" t="e">
        <f t="shared" si="127"/>
        <v>#N/A</v>
      </c>
      <c r="AK336" s="119" t="e">
        <f t="shared" si="127"/>
        <v>#N/A</v>
      </c>
      <c r="AL336" s="119" t="e">
        <f t="shared" si="127"/>
        <v>#N/A</v>
      </c>
      <c r="AM336" s="119" t="e">
        <f t="shared" si="127"/>
        <v>#N/A</v>
      </c>
      <c r="AN336" s="119" t="e">
        <f t="shared" si="127"/>
        <v>#N/A</v>
      </c>
      <c r="AO336" s="119" t="e">
        <f t="shared" si="127"/>
        <v>#N/A</v>
      </c>
      <c r="AP336" s="119" t="e">
        <f t="shared" si="127"/>
        <v>#N/A</v>
      </c>
    </row>
    <row r="337" spans="1:42" x14ac:dyDescent="0.2">
      <c r="A337" s="23" t="str">
        <f t="shared" si="122"/>
        <v>39-yr SL</v>
      </c>
      <c r="B337" s="171">
        <f>SUM(IF(ISNUMBER(C337:AP337),C337:AP337))</f>
        <v>0</v>
      </c>
      <c r="C337" s="119">
        <f>C329/100*$Q$296</f>
        <v>0</v>
      </c>
      <c r="D337" s="119">
        <f t="shared" ref="D337:AP337" si="128">D329/100*$Q$296</f>
        <v>0</v>
      </c>
      <c r="E337" s="119">
        <f t="shared" si="128"/>
        <v>0</v>
      </c>
      <c r="F337" s="119">
        <f t="shared" si="128"/>
        <v>0</v>
      </c>
      <c r="G337" s="119">
        <f t="shared" si="128"/>
        <v>0</v>
      </c>
      <c r="H337" s="119">
        <f t="shared" si="128"/>
        <v>0</v>
      </c>
      <c r="I337" s="119">
        <f t="shared" si="128"/>
        <v>0</v>
      </c>
      <c r="J337" s="119">
        <f t="shared" si="128"/>
        <v>0</v>
      </c>
      <c r="K337" s="119">
        <f t="shared" si="128"/>
        <v>0</v>
      </c>
      <c r="L337" s="119">
        <f t="shared" si="128"/>
        <v>0</v>
      </c>
      <c r="M337" s="119">
        <f t="shared" si="128"/>
        <v>0</v>
      </c>
      <c r="N337" s="119">
        <f t="shared" si="128"/>
        <v>0</v>
      </c>
      <c r="O337" s="119">
        <f t="shared" si="128"/>
        <v>0</v>
      </c>
      <c r="P337" s="119">
        <f t="shared" si="128"/>
        <v>0</v>
      </c>
      <c r="Q337" s="119">
        <f t="shared" si="128"/>
        <v>0</v>
      </c>
      <c r="R337" s="119">
        <f t="shared" si="128"/>
        <v>0</v>
      </c>
      <c r="S337" s="119">
        <f t="shared" si="128"/>
        <v>0</v>
      </c>
      <c r="T337" s="119">
        <f t="shared" si="128"/>
        <v>0</v>
      </c>
      <c r="U337" s="119">
        <f t="shared" si="128"/>
        <v>0</v>
      </c>
      <c r="V337" s="119">
        <f t="shared" si="128"/>
        <v>0</v>
      </c>
      <c r="W337" s="119">
        <f t="shared" si="128"/>
        <v>0</v>
      </c>
      <c r="X337" s="119">
        <f t="shared" si="128"/>
        <v>0</v>
      </c>
      <c r="Y337" s="119">
        <f t="shared" si="128"/>
        <v>0</v>
      </c>
      <c r="Z337" s="119">
        <f t="shared" si="128"/>
        <v>0</v>
      </c>
      <c r="AA337" s="119">
        <f t="shared" si="128"/>
        <v>0</v>
      </c>
      <c r="AB337" s="119" t="e">
        <f t="shared" si="128"/>
        <v>#N/A</v>
      </c>
      <c r="AC337" s="119" t="e">
        <f t="shared" si="128"/>
        <v>#N/A</v>
      </c>
      <c r="AD337" s="119" t="e">
        <f t="shared" si="128"/>
        <v>#N/A</v>
      </c>
      <c r="AE337" s="119" t="e">
        <f t="shared" si="128"/>
        <v>#N/A</v>
      </c>
      <c r="AF337" s="119" t="e">
        <f t="shared" si="128"/>
        <v>#N/A</v>
      </c>
      <c r="AG337" s="119" t="e">
        <f t="shared" si="128"/>
        <v>#N/A</v>
      </c>
      <c r="AH337" s="119" t="e">
        <f t="shared" si="128"/>
        <v>#N/A</v>
      </c>
      <c r="AI337" s="119" t="e">
        <f t="shared" si="128"/>
        <v>#N/A</v>
      </c>
      <c r="AJ337" s="119" t="e">
        <f t="shared" si="128"/>
        <v>#N/A</v>
      </c>
      <c r="AK337" s="119" t="e">
        <f t="shared" si="128"/>
        <v>#N/A</v>
      </c>
      <c r="AL337" s="119" t="e">
        <f t="shared" si="128"/>
        <v>#N/A</v>
      </c>
      <c r="AM337" s="119" t="e">
        <f t="shared" si="128"/>
        <v>#N/A</v>
      </c>
      <c r="AN337" s="119" t="e">
        <f t="shared" si="128"/>
        <v>#N/A</v>
      </c>
      <c r="AO337" s="119" t="e">
        <f t="shared" si="128"/>
        <v>#N/A</v>
      </c>
      <c r="AP337" s="119" t="e">
        <f t="shared" si="128"/>
        <v>#N/A</v>
      </c>
    </row>
    <row r="338" spans="1:42" x14ac:dyDescent="0.2">
      <c r="A338" s="23" t="s">
        <v>322</v>
      </c>
      <c r="B338" s="280">
        <f>SUM(IF(ISNUMBER(C338:AP338),C338:AP338))</f>
        <v>0</v>
      </c>
      <c r="C338" s="119">
        <f t="shared" ref="C338:AP338" si="129">IF(C2&lt;=analysis_period,C330/100*$Q$297,0)</f>
        <v>0</v>
      </c>
      <c r="D338" s="119">
        <f t="shared" si="129"/>
        <v>0</v>
      </c>
      <c r="E338" s="119">
        <f t="shared" si="129"/>
        <v>0</v>
      </c>
      <c r="F338" s="119">
        <f t="shared" si="129"/>
        <v>0</v>
      </c>
      <c r="G338" s="119">
        <f t="shared" si="129"/>
        <v>0</v>
      </c>
      <c r="H338" s="119">
        <f t="shared" si="129"/>
        <v>0</v>
      </c>
      <c r="I338" s="119">
        <f t="shared" si="129"/>
        <v>0</v>
      </c>
      <c r="J338" s="119">
        <f t="shared" si="129"/>
        <v>0</v>
      </c>
      <c r="K338" s="119">
        <f t="shared" si="129"/>
        <v>0</v>
      </c>
      <c r="L338" s="119">
        <f t="shared" si="129"/>
        <v>0</v>
      </c>
      <c r="M338" s="119">
        <f t="shared" si="129"/>
        <v>0</v>
      </c>
      <c r="N338" s="119">
        <f t="shared" si="129"/>
        <v>0</v>
      </c>
      <c r="O338" s="119">
        <f t="shared" si="129"/>
        <v>0</v>
      </c>
      <c r="P338" s="119">
        <f t="shared" si="129"/>
        <v>0</v>
      </c>
      <c r="Q338" s="119">
        <f t="shared" si="129"/>
        <v>0</v>
      </c>
      <c r="R338" s="119">
        <f t="shared" si="129"/>
        <v>0</v>
      </c>
      <c r="S338" s="119">
        <f t="shared" si="129"/>
        <v>0</v>
      </c>
      <c r="T338" s="119">
        <f t="shared" si="129"/>
        <v>0</v>
      </c>
      <c r="U338" s="119">
        <f t="shared" si="129"/>
        <v>0</v>
      </c>
      <c r="V338" s="119">
        <f t="shared" si="129"/>
        <v>0</v>
      </c>
      <c r="W338" s="119">
        <f t="shared" si="129"/>
        <v>0</v>
      </c>
      <c r="X338" s="119">
        <f t="shared" si="129"/>
        <v>0</v>
      </c>
      <c r="Y338" s="119">
        <f t="shared" si="129"/>
        <v>0</v>
      </c>
      <c r="Z338" s="119">
        <f t="shared" si="129"/>
        <v>0</v>
      </c>
      <c r="AA338" s="119">
        <f t="shared" si="129"/>
        <v>0</v>
      </c>
      <c r="AB338" s="119">
        <f t="shared" si="129"/>
        <v>0</v>
      </c>
      <c r="AC338" s="119">
        <f t="shared" si="129"/>
        <v>0</v>
      </c>
      <c r="AD338" s="119">
        <f t="shared" si="129"/>
        <v>0</v>
      </c>
      <c r="AE338" s="119">
        <f t="shared" si="129"/>
        <v>0</v>
      </c>
      <c r="AF338" s="119">
        <f t="shared" si="129"/>
        <v>0</v>
      </c>
      <c r="AG338" s="119">
        <f t="shared" si="129"/>
        <v>0</v>
      </c>
      <c r="AH338" s="119">
        <f t="shared" si="129"/>
        <v>0</v>
      </c>
      <c r="AI338" s="119">
        <f t="shared" si="129"/>
        <v>0</v>
      </c>
      <c r="AJ338" s="119">
        <f t="shared" si="129"/>
        <v>0</v>
      </c>
      <c r="AK338" s="119">
        <f t="shared" si="129"/>
        <v>0</v>
      </c>
      <c r="AL338" s="119">
        <f t="shared" si="129"/>
        <v>0</v>
      </c>
      <c r="AM338" s="119">
        <f t="shared" si="129"/>
        <v>0</v>
      </c>
      <c r="AN338" s="119">
        <f t="shared" si="129"/>
        <v>0</v>
      </c>
      <c r="AO338" s="119">
        <f t="shared" si="129"/>
        <v>0</v>
      </c>
      <c r="AP338" s="119">
        <f t="shared" si="129"/>
        <v>0</v>
      </c>
    </row>
    <row r="339" spans="1:42" x14ac:dyDescent="0.2">
      <c r="A339" s="23" t="s">
        <v>90</v>
      </c>
      <c r="B339" s="172">
        <f t="shared" ref="B339" si="130">SUM(C339:AP339)</f>
        <v>0</v>
      </c>
      <c r="C339" s="120">
        <f>P298</f>
        <v>0</v>
      </c>
      <c r="D339" s="120">
        <v>0</v>
      </c>
      <c r="E339" s="120">
        <v>0</v>
      </c>
      <c r="F339" s="120">
        <v>0</v>
      </c>
      <c r="G339" s="120">
        <v>0</v>
      </c>
      <c r="H339" s="120">
        <v>0</v>
      </c>
      <c r="I339" s="120">
        <v>0</v>
      </c>
      <c r="J339" s="120">
        <v>0</v>
      </c>
      <c r="K339" s="120">
        <v>0</v>
      </c>
      <c r="L339" s="120">
        <v>0</v>
      </c>
      <c r="M339" s="120">
        <v>0</v>
      </c>
      <c r="N339" s="120">
        <v>0</v>
      </c>
      <c r="O339" s="120">
        <v>0</v>
      </c>
      <c r="P339" s="120">
        <v>0</v>
      </c>
      <c r="Q339" s="120">
        <v>0</v>
      </c>
      <c r="R339" s="120">
        <v>0</v>
      </c>
      <c r="S339" s="120">
        <v>0</v>
      </c>
      <c r="T339" s="120">
        <v>0</v>
      </c>
      <c r="U339" s="120">
        <v>0</v>
      </c>
      <c r="V339" s="120">
        <v>0</v>
      </c>
      <c r="W339" s="120">
        <v>0</v>
      </c>
      <c r="X339" s="120">
        <v>0</v>
      </c>
      <c r="Y339" s="120">
        <v>0</v>
      </c>
      <c r="Z339" s="120">
        <v>0</v>
      </c>
      <c r="AA339" s="120">
        <v>0</v>
      </c>
      <c r="AB339" s="120">
        <v>0</v>
      </c>
      <c r="AC339" s="120">
        <v>0</v>
      </c>
      <c r="AD339" s="120">
        <v>0</v>
      </c>
      <c r="AE339" s="120">
        <v>0</v>
      </c>
      <c r="AF339" s="120">
        <v>0</v>
      </c>
      <c r="AG339" s="120">
        <v>0</v>
      </c>
      <c r="AH339" s="120">
        <v>0</v>
      </c>
      <c r="AI339" s="120">
        <v>0</v>
      </c>
      <c r="AJ339" s="120">
        <v>0</v>
      </c>
      <c r="AK339" s="120">
        <v>0</v>
      </c>
      <c r="AL339" s="120">
        <v>0</v>
      </c>
      <c r="AM339" s="120">
        <v>0</v>
      </c>
      <c r="AN339" s="120">
        <v>0</v>
      </c>
      <c r="AO339" s="120">
        <v>0</v>
      </c>
      <c r="AP339" s="120">
        <v>0</v>
      </c>
    </row>
    <row r="340" spans="1:42" x14ac:dyDescent="0.2">
      <c r="A340" s="22"/>
      <c r="B340" s="173">
        <f t="array" ref="B340">SUM(IF(ISNUMBER(C340:AP340),C340:AP340))</f>
        <v>94138108.801721245</v>
      </c>
      <c r="C340" s="119">
        <f>SUM(C332:C339)</f>
        <v>17512151.488518748</v>
      </c>
      <c r="D340" s="119">
        <f>SUM(D332:D339)</f>
        <v>28116454.960168749</v>
      </c>
      <c r="E340" s="119">
        <f t="shared" ref="E340:AP340" si="131">SUM(E332:E339)</f>
        <v>17060910.529075</v>
      </c>
      <c r="F340" s="119">
        <f t="shared" si="131"/>
        <v>10422848.79976375</v>
      </c>
      <c r="G340" s="119">
        <f t="shared" si="131"/>
        <v>10409827.355462501</v>
      </c>
      <c r="H340" s="119">
        <f t="shared" si="131"/>
        <v>5430224.1230649995</v>
      </c>
      <c r="I340" s="119">
        <f t="shared" si="131"/>
        <v>456877.94831875002</v>
      </c>
      <c r="J340" s="119">
        <f t="shared" si="131"/>
        <v>456877.94831875002</v>
      </c>
      <c r="K340" s="119">
        <f t="shared" si="131"/>
        <v>457047.05798500002</v>
      </c>
      <c r="L340" s="119">
        <f t="shared" si="131"/>
        <v>456877.94831875002</v>
      </c>
      <c r="M340" s="119">
        <f t="shared" si="131"/>
        <v>457047.05798500002</v>
      </c>
      <c r="N340" s="119">
        <f t="shared" si="131"/>
        <v>456596.09887500003</v>
      </c>
      <c r="O340" s="119">
        <f t="shared" si="131"/>
        <v>457047.05798500002</v>
      </c>
      <c r="P340" s="119">
        <f t="shared" si="131"/>
        <v>456596.09887500003</v>
      </c>
      <c r="Q340" s="119">
        <f t="shared" si="131"/>
        <v>456877.94831875002</v>
      </c>
      <c r="R340" s="119">
        <f t="shared" si="131"/>
        <v>312852.88256250002</v>
      </c>
      <c r="S340" s="119">
        <f t="shared" si="131"/>
        <v>169109.66625000001</v>
      </c>
      <c r="T340" s="119">
        <f t="shared" si="131"/>
        <v>169109.66625000001</v>
      </c>
      <c r="U340" s="119">
        <f t="shared" si="131"/>
        <v>169109.66625000001</v>
      </c>
      <c r="V340" s="119">
        <f t="shared" si="131"/>
        <v>169109.66625000001</v>
      </c>
      <c r="W340" s="119">
        <f t="shared" si="131"/>
        <v>84554.833125000005</v>
      </c>
      <c r="X340" s="119">
        <f t="shared" si="131"/>
        <v>0</v>
      </c>
      <c r="Y340" s="119">
        <f t="shared" si="131"/>
        <v>0</v>
      </c>
      <c r="Z340" s="119">
        <f t="shared" si="131"/>
        <v>0</v>
      </c>
      <c r="AA340" s="119">
        <f t="shared" si="131"/>
        <v>0</v>
      </c>
      <c r="AB340" s="119" t="e">
        <f t="shared" si="131"/>
        <v>#N/A</v>
      </c>
      <c r="AC340" s="119" t="e">
        <f t="shared" si="131"/>
        <v>#N/A</v>
      </c>
      <c r="AD340" s="119" t="e">
        <f t="shared" si="131"/>
        <v>#N/A</v>
      </c>
      <c r="AE340" s="119" t="e">
        <f t="shared" si="131"/>
        <v>#N/A</v>
      </c>
      <c r="AF340" s="119" t="e">
        <f t="shared" si="131"/>
        <v>#N/A</v>
      </c>
      <c r="AG340" s="119" t="e">
        <f t="shared" si="131"/>
        <v>#N/A</v>
      </c>
      <c r="AH340" s="119" t="e">
        <f t="shared" si="131"/>
        <v>#N/A</v>
      </c>
      <c r="AI340" s="119" t="e">
        <f t="shared" si="131"/>
        <v>#N/A</v>
      </c>
      <c r="AJ340" s="119" t="e">
        <f t="shared" si="131"/>
        <v>#N/A</v>
      </c>
      <c r="AK340" s="119" t="e">
        <f t="shared" si="131"/>
        <v>#N/A</v>
      </c>
      <c r="AL340" s="119" t="e">
        <f t="shared" si="131"/>
        <v>#N/A</v>
      </c>
      <c r="AM340" s="119" t="e">
        <f t="shared" si="131"/>
        <v>#N/A</v>
      </c>
      <c r="AN340" s="119" t="e">
        <f t="shared" si="131"/>
        <v>#N/A</v>
      </c>
      <c r="AO340" s="119" t="e">
        <f t="shared" si="131"/>
        <v>#N/A</v>
      </c>
      <c r="AP340" s="119" t="e">
        <f t="shared" si="131"/>
        <v>#N/A</v>
      </c>
    </row>
    <row r="341" spans="1:42" x14ac:dyDescent="0.2">
      <c r="A341" s="22"/>
    </row>
    <row r="342" spans="1:42" x14ac:dyDescent="0.2">
      <c r="A342" s="18" t="s">
        <v>76</v>
      </c>
    </row>
    <row r="343" spans="1:42" x14ac:dyDescent="0.2">
      <c r="A343" s="22" t="s">
        <v>78</v>
      </c>
      <c r="B343" s="27" t="str">
        <f>equip_reserve_depr_sta</f>
        <v>5-yr MACRS</v>
      </c>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row>
    <row r="344" spans="1:42" x14ac:dyDescent="0.2">
      <c r="A344" s="22" t="s">
        <v>79</v>
      </c>
      <c r="B344" s="175">
        <f t="shared" ref="B344:AP344" si="132">B2</f>
        <v>0</v>
      </c>
      <c r="C344" s="175">
        <f t="shared" si="132"/>
        <v>1</v>
      </c>
      <c r="D344" s="175">
        <f t="shared" si="132"/>
        <v>2</v>
      </c>
      <c r="E344" s="175">
        <f t="shared" si="132"/>
        <v>3</v>
      </c>
      <c r="F344" s="175">
        <f t="shared" si="132"/>
        <v>4</v>
      </c>
      <c r="G344" s="175">
        <f t="shared" si="132"/>
        <v>5</v>
      </c>
      <c r="H344" s="175">
        <f t="shared" si="132"/>
        <v>6</v>
      </c>
      <c r="I344" s="175">
        <f t="shared" si="132"/>
        <v>7</v>
      </c>
      <c r="J344" s="175">
        <f t="shared" si="132"/>
        <v>8</v>
      </c>
      <c r="K344" s="175">
        <f t="shared" si="132"/>
        <v>9</v>
      </c>
      <c r="L344" s="175">
        <f t="shared" si="132"/>
        <v>10</v>
      </c>
      <c r="M344" s="175">
        <f t="shared" si="132"/>
        <v>11</v>
      </c>
      <c r="N344" s="175">
        <f t="shared" si="132"/>
        <v>12</v>
      </c>
      <c r="O344" s="175">
        <f t="shared" si="132"/>
        <v>13</v>
      </c>
      <c r="P344" s="175">
        <f t="shared" si="132"/>
        <v>14</v>
      </c>
      <c r="Q344" s="175">
        <f t="shared" si="132"/>
        <v>15</v>
      </c>
      <c r="R344" s="175">
        <f t="shared" si="132"/>
        <v>16</v>
      </c>
      <c r="S344" s="175">
        <f t="shared" si="132"/>
        <v>17</v>
      </c>
      <c r="T344" s="175">
        <f t="shared" si="132"/>
        <v>18</v>
      </c>
      <c r="U344" s="175">
        <f t="shared" si="132"/>
        <v>19</v>
      </c>
      <c r="V344" s="175">
        <f t="shared" si="132"/>
        <v>20</v>
      </c>
      <c r="W344" s="175">
        <f t="shared" si="132"/>
        <v>21</v>
      </c>
      <c r="X344" s="175">
        <f t="shared" si="132"/>
        <v>22</v>
      </c>
      <c r="Y344" s="175">
        <f t="shared" si="132"/>
        <v>23</v>
      </c>
      <c r="Z344" s="175">
        <f t="shared" si="132"/>
        <v>24</v>
      </c>
      <c r="AA344" s="175">
        <f t="shared" si="132"/>
        <v>25</v>
      </c>
      <c r="AB344" s="175" t="str">
        <f t="shared" si="132"/>
        <v/>
      </c>
      <c r="AC344" s="175" t="str">
        <f t="shared" si="132"/>
        <v/>
      </c>
      <c r="AD344" s="175" t="str">
        <f t="shared" si="132"/>
        <v/>
      </c>
      <c r="AE344" s="175" t="str">
        <f t="shared" si="132"/>
        <v/>
      </c>
      <c r="AF344" s="175" t="str">
        <f t="shared" si="132"/>
        <v/>
      </c>
      <c r="AG344" s="175" t="str">
        <f t="shared" si="132"/>
        <v/>
      </c>
      <c r="AH344" s="175" t="str">
        <f t="shared" si="132"/>
        <v/>
      </c>
      <c r="AI344" s="175" t="str">
        <f t="shared" si="132"/>
        <v/>
      </c>
      <c r="AJ344" s="175" t="str">
        <f t="shared" si="132"/>
        <v/>
      </c>
      <c r="AK344" s="175" t="str">
        <f t="shared" si="132"/>
        <v/>
      </c>
      <c r="AL344" s="175" t="str">
        <f t="shared" si="132"/>
        <v/>
      </c>
      <c r="AM344" s="175" t="str">
        <f t="shared" si="132"/>
        <v/>
      </c>
      <c r="AN344" s="175" t="str">
        <f t="shared" si="132"/>
        <v/>
      </c>
      <c r="AO344" s="175" t="str">
        <f t="shared" si="132"/>
        <v/>
      </c>
      <c r="AP344" s="175" t="str">
        <f t="shared" si="132"/>
        <v/>
      </c>
    </row>
    <row r="345" spans="1:42" x14ac:dyDescent="0.2">
      <c r="A345" s="22" t="s">
        <v>191</v>
      </c>
      <c r="B345" s="174">
        <v>0</v>
      </c>
      <c r="C345" s="167">
        <f t="shared" ref="C345:AP345" si="133">IF($B$343=$A324,C324,0)+IF($B$343=$A325,C325,0)+IF($B$343=$A326,C326,0)+IF($B$343=$A327,C327,0)+IF($B$343=$A328,C328,0)+IF($B$343=$A329,C329,0)</f>
        <v>20</v>
      </c>
      <c r="D345" s="167">
        <f t="shared" si="133"/>
        <v>32</v>
      </c>
      <c r="E345" s="167">
        <f t="shared" si="133"/>
        <v>19.2</v>
      </c>
      <c r="F345" s="167">
        <f t="shared" si="133"/>
        <v>11.52</v>
      </c>
      <c r="G345" s="167">
        <f t="shared" si="133"/>
        <v>11.52</v>
      </c>
      <c r="H345" s="167">
        <f t="shared" si="133"/>
        <v>5.76</v>
      </c>
      <c r="I345" s="167">
        <f t="shared" si="133"/>
        <v>0</v>
      </c>
      <c r="J345" s="167">
        <f t="shared" si="133"/>
        <v>0</v>
      </c>
      <c r="K345" s="167">
        <f t="shared" si="133"/>
        <v>0</v>
      </c>
      <c r="L345" s="167">
        <f t="shared" si="133"/>
        <v>0</v>
      </c>
      <c r="M345" s="167">
        <f t="shared" si="133"/>
        <v>0</v>
      </c>
      <c r="N345" s="167">
        <f t="shared" si="133"/>
        <v>0</v>
      </c>
      <c r="O345" s="167">
        <f t="shared" si="133"/>
        <v>0</v>
      </c>
      <c r="P345" s="167">
        <f t="shared" si="133"/>
        <v>0</v>
      </c>
      <c r="Q345" s="167">
        <f t="shared" si="133"/>
        <v>0</v>
      </c>
      <c r="R345" s="167">
        <f t="shared" si="133"/>
        <v>0</v>
      </c>
      <c r="S345" s="167">
        <f t="shared" si="133"/>
        <v>0</v>
      </c>
      <c r="T345" s="167">
        <f t="shared" si="133"/>
        <v>0</v>
      </c>
      <c r="U345" s="167">
        <f t="shared" si="133"/>
        <v>0</v>
      </c>
      <c r="V345" s="167">
        <f t="shared" si="133"/>
        <v>0</v>
      </c>
      <c r="W345" s="167">
        <f t="shared" si="133"/>
        <v>0</v>
      </c>
      <c r="X345" s="167">
        <f t="shared" si="133"/>
        <v>0</v>
      </c>
      <c r="Y345" s="167">
        <f t="shared" si="133"/>
        <v>0</v>
      </c>
      <c r="Z345" s="167">
        <f t="shared" si="133"/>
        <v>0</v>
      </c>
      <c r="AA345" s="167">
        <f t="shared" si="133"/>
        <v>0</v>
      </c>
      <c r="AB345" s="167" t="e">
        <f t="shared" si="133"/>
        <v>#N/A</v>
      </c>
      <c r="AC345" s="167" t="e">
        <f t="shared" si="133"/>
        <v>#N/A</v>
      </c>
      <c r="AD345" s="167" t="e">
        <f t="shared" si="133"/>
        <v>#N/A</v>
      </c>
      <c r="AE345" s="167" t="e">
        <f t="shared" si="133"/>
        <v>#N/A</v>
      </c>
      <c r="AF345" s="167" t="e">
        <f t="shared" si="133"/>
        <v>#N/A</v>
      </c>
      <c r="AG345" s="167" t="e">
        <f t="shared" si="133"/>
        <v>#N/A</v>
      </c>
      <c r="AH345" s="167" t="e">
        <f t="shared" si="133"/>
        <v>#N/A</v>
      </c>
      <c r="AI345" s="167" t="e">
        <f t="shared" si="133"/>
        <v>#N/A</v>
      </c>
      <c r="AJ345" s="167" t="e">
        <f t="shared" si="133"/>
        <v>#N/A</v>
      </c>
      <c r="AK345" s="167" t="e">
        <f t="shared" si="133"/>
        <v>#N/A</v>
      </c>
      <c r="AL345" s="167" t="e">
        <f t="shared" si="133"/>
        <v>#N/A</v>
      </c>
      <c r="AM345" s="167" t="e">
        <f t="shared" si="133"/>
        <v>#N/A</v>
      </c>
      <c r="AN345" s="167" t="e">
        <f t="shared" si="133"/>
        <v>#N/A</v>
      </c>
      <c r="AO345" s="167" t="e">
        <f t="shared" si="133"/>
        <v>#N/A</v>
      </c>
      <c r="AP345" s="167" t="e">
        <f t="shared" si="133"/>
        <v>#N/A</v>
      </c>
    </row>
    <row r="346" spans="1:42" x14ac:dyDescent="0.2">
      <c r="A346" s="22"/>
      <c r="B346" s="28"/>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row>
    <row r="347" spans="1:42" x14ac:dyDescent="0.2">
      <c r="A347" s="18" t="s">
        <v>92</v>
      </c>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row>
    <row r="348" spans="1:42" x14ac:dyDescent="0.2">
      <c r="A348" s="22" t="s">
        <v>77</v>
      </c>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row>
    <row r="349" spans="1:42" x14ac:dyDescent="0.2">
      <c r="A349" s="4">
        <v>1</v>
      </c>
      <c r="B349" s="4">
        <v>0</v>
      </c>
      <c r="C349" s="158">
        <f>IF(C$2&lt;=analysis_period,IF(SUM($C684:C684)&gt;0,B349+1,0),0)</f>
        <v>0</v>
      </c>
      <c r="D349" s="158">
        <f>IF(D$2&lt;=analysis_period,IF(SUM($C684:D684)&gt;0,C349+1,0),0)</f>
        <v>0</v>
      </c>
      <c r="E349" s="158">
        <f>IF(E$2&lt;=analysis_period,IF(SUM($C684:E684)&gt;0,D349+1,0),0)</f>
        <v>0</v>
      </c>
      <c r="F349" s="158">
        <f>IF(F$2&lt;=analysis_period,IF(SUM($C684:F684)&gt;0,E349+1,0),0)</f>
        <v>0</v>
      </c>
      <c r="G349" s="158">
        <f>IF(G$2&lt;=analysis_period,IF(SUM($C684:G684)&gt;0,F349+1,0),0)</f>
        <v>0</v>
      </c>
      <c r="H349" s="158">
        <f>IF(H$2&lt;=analysis_period,IF(SUM($C684:H684)&gt;0,G349+1,0),0)</f>
        <v>0</v>
      </c>
      <c r="I349" s="158">
        <f>IF(I$2&lt;=analysis_period,IF(SUM($C684:I684)&gt;0,H349+1,0),0)</f>
        <v>0</v>
      </c>
      <c r="J349" s="158">
        <f>IF(J$2&lt;=analysis_period,IF(SUM($C684:J684)&gt;0,I349+1,0),0)</f>
        <v>0</v>
      </c>
      <c r="K349" s="158">
        <f>IF(K$2&lt;=analysis_period,IF(SUM($C684:K684)&gt;0,J349+1,0),0)</f>
        <v>0</v>
      </c>
      <c r="L349" s="158">
        <f>IF(L$2&lt;=analysis_period,IF(SUM($C684:L684)&gt;0,K349+1,0),0)</f>
        <v>0</v>
      </c>
      <c r="M349" s="158">
        <f>IF(M$2&lt;=analysis_period,IF(SUM($C684:M684)&gt;0,L349+1,0),0)</f>
        <v>0</v>
      </c>
      <c r="N349" s="158">
        <f>IF(N$2&lt;=analysis_period,IF(SUM($C684:N684)&gt;0,M349+1,0),0)</f>
        <v>0</v>
      </c>
      <c r="O349" s="158">
        <f>IF(O$2&lt;=analysis_period,IF(SUM($C684:O684)&gt;0,N349+1,0),0)</f>
        <v>0</v>
      </c>
      <c r="P349" s="158">
        <f>IF(P$2&lt;=analysis_period,IF(SUM($C684:P684)&gt;0,O349+1,0),0)</f>
        <v>0</v>
      </c>
      <c r="Q349" s="158">
        <f>IF(Q$2&lt;=analysis_period,IF(SUM($C684:Q684)&gt;0,P349+1,0),0)</f>
        <v>1</v>
      </c>
      <c r="R349" s="158">
        <f>IF(R$2&lt;=analysis_period,IF(SUM($C684:R684)&gt;0,Q349+1,0),0)</f>
        <v>2</v>
      </c>
      <c r="S349" s="158">
        <f>IF(S$2&lt;=analysis_period,IF(SUM($C684:S684)&gt;0,R349+1,0),0)</f>
        <v>3</v>
      </c>
      <c r="T349" s="158">
        <f>IF(T$2&lt;=analysis_period,IF(SUM($C684:T684)&gt;0,S349+1,0),0)</f>
        <v>4</v>
      </c>
      <c r="U349" s="158">
        <f>IF(U$2&lt;=analysis_period,IF(SUM($C684:U684)&gt;0,T349+1,0),0)</f>
        <v>5</v>
      </c>
      <c r="V349" s="158">
        <f>IF(V$2&lt;=analysis_period,IF(SUM($C684:V684)&gt;0,U349+1,0),0)</f>
        <v>6</v>
      </c>
      <c r="W349" s="158">
        <f>IF(W$2&lt;=analysis_period,IF(SUM($C684:W684)&gt;0,V349+1,0),0)</f>
        <v>7</v>
      </c>
      <c r="X349" s="158">
        <f>IF(X$2&lt;=analysis_period,IF(SUM($C684:X684)&gt;0,W349+1,0),0)</f>
        <v>8</v>
      </c>
      <c r="Y349" s="158">
        <f>IF(Y$2&lt;=analysis_period,IF(SUM($C684:Y684)&gt;0,X349+1,0),0)</f>
        <v>9</v>
      </c>
      <c r="Z349" s="158">
        <f>IF(Z$2&lt;=analysis_period,IF(SUM($C684:Z684)&gt;0,Y349+1,0),0)</f>
        <v>10</v>
      </c>
      <c r="AA349" s="158">
        <f>IF(AA$2&lt;=analysis_period,IF(SUM($C684:AA684)&gt;0,Z349+1,0),0)</f>
        <v>11</v>
      </c>
      <c r="AB349" s="158">
        <f>IF(AB$2&lt;=analysis_period,IF(SUM($C684:AB684)&gt;0,AA349+1,0),0)</f>
        <v>0</v>
      </c>
      <c r="AC349" s="158">
        <f>IF(AC$2&lt;=analysis_period,IF(SUM($C684:AC684)&gt;0,AB349+1,0),0)</f>
        <v>0</v>
      </c>
      <c r="AD349" s="158">
        <f>IF(AD$2&lt;=analysis_period,IF(SUM($C684:AD684)&gt;0,AC349+1,0),0)</f>
        <v>0</v>
      </c>
      <c r="AE349" s="158">
        <f>IF(AE$2&lt;=analysis_period,IF(SUM($C684:AE684)&gt;0,AD349+1,0),0)</f>
        <v>0</v>
      </c>
      <c r="AF349" s="158">
        <f>IF(AF$2&lt;=analysis_period,IF(SUM($C684:AF684)&gt;0,AE349+1,0),0)</f>
        <v>0</v>
      </c>
      <c r="AG349" s="158">
        <f>IF(AG$2&lt;=analysis_period,IF(SUM($C684:AG684)&gt;0,AF349+1,0),0)</f>
        <v>0</v>
      </c>
      <c r="AH349" s="158">
        <f>IF(AH$2&lt;=analysis_period,IF(SUM($C684:AH684)&gt;0,AG349+1,0),0)</f>
        <v>0</v>
      </c>
      <c r="AI349" s="158">
        <f>IF(AI$2&lt;=analysis_period,IF(SUM($C684:AI684)&gt;0,AH349+1,0),0)</f>
        <v>0</v>
      </c>
      <c r="AJ349" s="158">
        <f>IF(AJ$2&lt;=analysis_period,IF(SUM($C684:AJ684)&gt;0,AI349+1,0),0)</f>
        <v>0</v>
      </c>
      <c r="AK349" s="158">
        <f>IF(AK$2&lt;=analysis_period,IF(SUM($C684:AK684)&gt;0,AJ349+1,0),0)</f>
        <v>0</v>
      </c>
      <c r="AL349" s="158">
        <f>IF(AL$2&lt;=analysis_period,IF(SUM($C684:AL684)&gt;0,AK349+1,0),0)</f>
        <v>0</v>
      </c>
      <c r="AM349" s="158">
        <f>IF(AM$2&lt;=analysis_period,IF(SUM($C684:AM684)&gt;0,AL349+1,0),0)</f>
        <v>0</v>
      </c>
      <c r="AN349" s="158">
        <f>IF(AN$2&lt;=analysis_period,IF(SUM($C684:AN684)&gt;0,AM349+1,0),0)</f>
        <v>0</v>
      </c>
      <c r="AO349" s="158">
        <f>IF(AO$2&lt;=analysis_period,IF(SUM($C684:AO684)&gt;0,AN349+1,0),0)</f>
        <v>0</v>
      </c>
      <c r="AP349" s="158">
        <f>IF(AP$2&lt;=analysis_period,IF(SUM($C684:AP684)&gt;0,AO349+1,0),0)</f>
        <v>0</v>
      </c>
    </row>
    <row r="350" spans="1:42" x14ac:dyDescent="0.2">
      <c r="A350" s="4">
        <f>A349+1</f>
        <v>2</v>
      </c>
      <c r="B350" s="4">
        <v>0</v>
      </c>
      <c r="C350" s="158">
        <f>IF(C$2&lt;=analysis_period,IF(SUM($C685:C685)&gt;0,B350+1,0),0)</f>
        <v>0</v>
      </c>
      <c r="D350" s="158">
        <f>IF(D$2&lt;=analysis_period,IF(SUM($C685:D685)&gt;0,C350+1,0),0)</f>
        <v>0</v>
      </c>
      <c r="E350" s="158">
        <f>IF(E$2&lt;=analysis_period,IF(SUM($C685:E685)&gt;0,D350+1,0),0)</f>
        <v>0</v>
      </c>
      <c r="F350" s="158">
        <f>IF(F$2&lt;=analysis_period,IF(SUM($C685:F685)&gt;0,E350+1,0),0)</f>
        <v>0</v>
      </c>
      <c r="G350" s="158">
        <f>IF(G$2&lt;=analysis_period,IF(SUM($C685:G685)&gt;0,F350+1,0),0)</f>
        <v>0</v>
      </c>
      <c r="H350" s="158">
        <f>IF(H$2&lt;=analysis_period,IF(SUM($C685:H685)&gt;0,G350+1,0),0)</f>
        <v>0</v>
      </c>
      <c r="I350" s="158">
        <f>IF(I$2&lt;=analysis_period,IF(SUM($C685:I685)&gt;0,H350+1,0),0)</f>
        <v>0</v>
      </c>
      <c r="J350" s="158">
        <f>IF(J$2&lt;=analysis_period,IF(SUM($C685:J685)&gt;0,I350+1,0),0)</f>
        <v>0</v>
      </c>
      <c r="K350" s="158">
        <f>IF(K$2&lt;=analysis_period,IF(SUM($C685:K685)&gt;0,J350+1,0),0)</f>
        <v>0</v>
      </c>
      <c r="L350" s="158">
        <f>IF(L$2&lt;=analysis_period,IF(SUM($C685:L685)&gt;0,K350+1,0),0)</f>
        <v>0</v>
      </c>
      <c r="M350" s="158">
        <f>IF(M$2&lt;=analysis_period,IF(SUM($C685:M685)&gt;0,L350+1,0),0)</f>
        <v>0</v>
      </c>
      <c r="N350" s="158">
        <f>IF(N$2&lt;=analysis_period,IF(SUM($C685:N685)&gt;0,M350+1,0),0)</f>
        <v>0</v>
      </c>
      <c r="O350" s="158">
        <f>IF(O$2&lt;=analysis_period,IF(SUM($C685:O685)&gt;0,N350+1,0),0)</f>
        <v>0</v>
      </c>
      <c r="P350" s="158">
        <f>IF(P$2&lt;=analysis_period,IF(SUM($C685:P685)&gt;0,O350+1,0),0)</f>
        <v>0</v>
      </c>
      <c r="Q350" s="158">
        <f>IF(Q$2&lt;=analysis_period,IF(SUM($C685:Q685)&gt;0,P350+1,0),0)</f>
        <v>0</v>
      </c>
      <c r="R350" s="158">
        <f>IF(R$2&lt;=analysis_period,IF(SUM($C685:R685)&gt;0,Q350+1,0),0)</f>
        <v>0</v>
      </c>
      <c r="S350" s="158">
        <f>IF(S$2&lt;=analysis_period,IF(SUM($C685:S685)&gt;0,R350+1,0),0)</f>
        <v>0</v>
      </c>
      <c r="T350" s="158">
        <f>IF(T$2&lt;=analysis_period,IF(SUM($C685:T685)&gt;0,S350+1,0),0)</f>
        <v>0</v>
      </c>
      <c r="U350" s="158">
        <f>IF(U$2&lt;=analysis_period,IF(SUM($C685:U685)&gt;0,T350+1,0),0)</f>
        <v>0</v>
      </c>
      <c r="V350" s="158">
        <f>IF(V$2&lt;=analysis_period,IF(SUM($C685:V685)&gt;0,U350+1,0),0)</f>
        <v>0</v>
      </c>
      <c r="W350" s="158">
        <f>IF(W$2&lt;=analysis_period,IF(SUM($C685:W685)&gt;0,V350+1,0),0)</f>
        <v>0</v>
      </c>
      <c r="X350" s="158">
        <f>IF(X$2&lt;=analysis_period,IF(SUM($C685:X685)&gt;0,W350+1,0),0)</f>
        <v>0</v>
      </c>
      <c r="Y350" s="158">
        <f>IF(Y$2&lt;=analysis_period,IF(SUM($C685:Y685)&gt;0,X350+1,0),0)</f>
        <v>0</v>
      </c>
      <c r="Z350" s="158">
        <f>IF(Z$2&lt;=analysis_period,IF(SUM($C685:Z685)&gt;0,Y350+1,0),0)</f>
        <v>0</v>
      </c>
      <c r="AA350" s="158">
        <f>IF(AA$2&lt;=analysis_period,IF(SUM($C685:AA685)&gt;0,Z350+1,0),0)</f>
        <v>0</v>
      </c>
      <c r="AB350" s="158">
        <f>IF(AB$2&lt;=analysis_period,IF(SUM($C685:AB685)&gt;0,AA350+1,0),0)</f>
        <v>0</v>
      </c>
      <c r="AC350" s="158">
        <f>IF(AC$2&lt;=analysis_period,IF(SUM($C685:AC685)&gt;0,AB350+1,0),0)</f>
        <v>0</v>
      </c>
      <c r="AD350" s="158">
        <f>IF(AD$2&lt;=analysis_period,IF(SUM($C685:AD685)&gt;0,AC350+1,0),0)</f>
        <v>0</v>
      </c>
      <c r="AE350" s="158">
        <f>IF(AE$2&lt;=analysis_period,IF(SUM($C685:AE685)&gt;0,AD350+1,0),0)</f>
        <v>0</v>
      </c>
      <c r="AF350" s="158">
        <f>IF(AF$2&lt;=analysis_period,IF(SUM($C685:AF685)&gt;0,AE350+1,0),0)</f>
        <v>0</v>
      </c>
      <c r="AG350" s="158">
        <f>IF(AG$2&lt;=analysis_period,IF(SUM($C685:AG685)&gt;0,AF350+1,0),0)</f>
        <v>0</v>
      </c>
      <c r="AH350" s="158">
        <f>IF(AH$2&lt;=analysis_period,IF(SUM($C685:AH685)&gt;0,AG350+1,0),0)</f>
        <v>0</v>
      </c>
      <c r="AI350" s="158">
        <f>IF(AI$2&lt;=analysis_period,IF(SUM($C685:AI685)&gt;0,AH350+1,0),0)</f>
        <v>0</v>
      </c>
      <c r="AJ350" s="158">
        <f>IF(AJ$2&lt;=analysis_period,IF(SUM($C685:AJ685)&gt;0,AI350+1,0),0)</f>
        <v>0</v>
      </c>
      <c r="AK350" s="158">
        <f>IF(AK$2&lt;=analysis_period,IF(SUM($C685:AK685)&gt;0,AJ350+1,0),0)</f>
        <v>0</v>
      </c>
      <c r="AL350" s="158">
        <f>IF(AL$2&lt;=analysis_period,IF(SUM($C685:AL685)&gt;0,AK350+1,0),0)</f>
        <v>0</v>
      </c>
      <c r="AM350" s="158">
        <f>IF(AM$2&lt;=analysis_period,IF(SUM($C685:AM685)&gt;0,AL350+1,0),0)</f>
        <v>0</v>
      </c>
      <c r="AN350" s="158">
        <f>IF(AN$2&lt;=analysis_period,IF(SUM($C685:AN685)&gt;0,AM350+1,0),0)</f>
        <v>0</v>
      </c>
      <c r="AO350" s="158">
        <f>IF(AO$2&lt;=analysis_period,IF(SUM($C685:AO685)&gt;0,AN350+1,0),0)</f>
        <v>0</v>
      </c>
      <c r="AP350" s="158">
        <f>IF(AP$2&lt;=analysis_period,IF(SUM($C685:AP685)&gt;0,AO350+1,0),0)</f>
        <v>0</v>
      </c>
    </row>
    <row r="351" spans="1:42" x14ac:dyDescent="0.2">
      <c r="A351" s="4">
        <f t="shared" ref="A351:A358" si="134">A350+1</f>
        <v>3</v>
      </c>
      <c r="B351" s="4">
        <v>0</v>
      </c>
      <c r="C351" s="158">
        <f>IF(C$2&lt;=analysis_period,IF(SUM($C686:C686)&gt;0,B351+1,0),0)</f>
        <v>0</v>
      </c>
      <c r="D351" s="158">
        <f>IF(D$2&lt;=analysis_period,IF(SUM($C686:D686)&gt;0,C351+1,0),0)</f>
        <v>0</v>
      </c>
      <c r="E351" s="158">
        <f>IF(E$2&lt;=analysis_period,IF(SUM($C686:E686)&gt;0,D351+1,0),0)</f>
        <v>0</v>
      </c>
      <c r="F351" s="158">
        <f>IF(F$2&lt;=analysis_period,IF(SUM($C686:F686)&gt;0,E351+1,0),0)</f>
        <v>0</v>
      </c>
      <c r="G351" s="158">
        <f>IF(G$2&lt;=analysis_period,IF(SUM($C686:G686)&gt;0,F351+1,0),0)</f>
        <v>0</v>
      </c>
      <c r="H351" s="158">
        <f>IF(H$2&lt;=analysis_period,IF(SUM($C686:H686)&gt;0,G351+1,0),0)</f>
        <v>0</v>
      </c>
      <c r="I351" s="158">
        <f>IF(I$2&lt;=analysis_period,IF(SUM($C686:I686)&gt;0,H351+1,0),0)</f>
        <v>0</v>
      </c>
      <c r="J351" s="158">
        <f>IF(J$2&lt;=analysis_period,IF(SUM($C686:J686)&gt;0,I351+1,0),0)</f>
        <v>0</v>
      </c>
      <c r="K351" s="158">
        <f>IF(K$2&lt;=analysis_period,IF(SUM($C686:K686)&gt;0,J351+1,0),0)</f>
        <v>0</v>
      </c>
      <c r="L351" s="158">
        <f>IF(L$2&lt;=analysis_period,IF(SUM($C686:L686)&gt;0,K351+1,0),0)</f>
        <v>0</v>
      </c>
      <c r="M351" s="158">
        <f>IF(M$2&lt;=analysis_period,IF(SUM($C686:M686)&gt;0,L351+1,0),0)</f>
        <v>0</v>
      </c>
      <c r="N351" s="158">
        <f>IF(N$2&lt;=analysis_period,IF(SUM($C686:N686)&gt;0,M351+1,0),0)</f>
        <v>0</v>
      </c>
      <c r="O351" s="158">
        <f>IF(O$2&lt;=analysis_period,IF(SUM($C686:O686)&gt;0,N351+1,0),0)</f>
        <v>0</v>
      </c>
      <c r="P351" s="158">
        <f>IF(P$2&lt;=analysis_period,IF(SUM($C686:P686)&gt;0,O351+1,0),0)</f>
        <v>0</v>
      </c>
      <c r="Q351" s="158">
        <f>IF(Q$2&lt;=analysis_period,IF(SUM($C686:Q686)&gt;0,P351+1,0),0)</f>
        <v>0</v>
      </c>
      <c r="R351" s="158">
        <f>IF(R$2&lt;=analysis_period,IF(SUM($C686:R686)&gt;0,Q351+1,0),0)</f>
        <v>0</v>
      </c>
      <c r="S351" s="158">
        <f>IF(S$2&lt;=analysis_period,IF(SUM($C686:S686)&gt;0,R351+1,0),0)</f>
        <v>0</v>
      </c>
      <c r="T351" s="158">
        <f>IF(T$2&lt;=analysis_period,IF(SUM($C686:T686)&gt;0,S351+1,0),0)</f>
        <v>0</v>
      </c>
      <c r="U351" s="158">
        <f>IF(U$2&lt;=analysis_period,IF(SUM($C686:U686)&gt;0,T351+1,0),0)</f>
        <v>0</v>
      </c>
      <c r="V351" s="158">
        <f>IF(V$2&lt;=analysis_period,IF(SUM($C686:V686)&gt;0,U351+1,0),0)</f>
        <v>0</v>
      </c>
      <c r="W351" s="158">
        <f>IF(W$2&lt;=analysis_period,IF(SUM($C686:W686)&gt;0,V351+1,0),0)</f>
        <v>0</v>
      </c>
      <c r="X351" s="158">
        <f>IF(X$2&lt;=analysis_period,IF(SUM($C686:X686)&gt;0,W351+1,0),0)</f>
        <v>0</v>
      </c>
      <c r="Y351" s="158">
        <f>IF(Y$2&lt;=analysis_period,IF(SUM($C686:Y686)&gt;0,X351+1,0),0)</f>
        <v>0</v>
      </c>
      <c r="Z351" s="158">
        <f>IF(Z$2&lt;=analysis_period,IF(SUM($C686:Z686)&gt;0,Y351+1,0),0)</f>
        <v>0</v>
      </c>
      <c r="AA351" s="158">
        <f>IF(AA$2&lt;=analysis_period,IF(SUM($C686:AA686)&gt;0,Z351+1,0),0)</f>
        <v>0</v>
      </c>
      <c r="AB351" s="158">
        <f>IF(AB$2&lt;=analysis_period,IF(SUM($C686:AB686)&gt;0,AA351+1,0),0)</f>
        <v>0</v>
      </c>
      <c r="AC351" s="158">
        <f>IF(AC$2&lt;=analysis_period,IF(SUM($C686:AC686)&gt;0,AB351+1,0),0)</f>
        <v>0</v>
      </c>
      <c r="AD351" s="158">
        <f>IF(AD$2&lt;=analysis_period,IF(SUM($C686:AD686)&gt;0,AC351+1,0),0)</f>
        <v>0</v>
      </c>
      <c r="AE351" s="158">
        <f>IF(AE$2&lt;=analysis_period,IF(SUM($C686:AE686)&gt;0,AD351+1,0),0)</f>
        <v>0</v>
      </c>
      <c r="AF351" s="158">
        <f>IF(AF$2&lt;=analysis_period,IF(SUM($C686:AF686)&gt;0,AE351+1,0),0)</f>
        <v>0</v>
      </c>
      <c r="AG351" s="158">
        <f>IF(AG$2&lt;=analysis_period,IF(SUM($C686:AG686)&gt;0,AF351+1,0),0)</f>
        <v>0</v>
      </c>
      <c r="AH351" s="158">
        <f>IF(AH$2&lt;=analysis_period,IF(SUM($C686:AH686)&gt;0,AG351+1,0),0)</f>
        <v>0</v>
      </c>
      <c r="AI351" s="158">
        <f>IF(AI$2&lt;=analysis_period,IF(SUM($C686:AI686)&gt;0,AH351+1,0),0)</f>
        <v>0</v>
      </c>
      <c r="AJ351" s="158">
        <f>IF(AJ$2&lt;=analysis_period,IF(SUM($C686:AJ686)&gt;0,AI351+1,0),0)</f>
        <v>0</v>
      </c>
      <c r="AK351" s="158">
        <f>IF(AK$2&lt;=analysis_period,IF(SUM($C686:AK686)&gt;0,AJ351+1,0),0)</f>
        <v>0</v>
      </c>
      <c r="AL351" s="158">
        <f>IF(AL$2&lt;=analysis_period,IF(SUM($C686:AL686)&gt;0,AK351+1,0),0)</f>
        <v>0</v>
      </c>
      <c r="AM351" s="158">
        <f>IF(AM$2&lt;=analysis_period,IF(SUM($C686:AM686)&gt;0,AL351+1,0),0)</f>
        <v>0</v>
      </c>
      <c r="AN351" s="158">
        <f>IF(AN$2&lt;=analysis_period,IF(SUM($C686:AN686)&gt;0,AM351+1,0),0)</f>
        <v>0</v>
      </c>
      <c r="AO351" s="158">
        <f>IF(AO$2&lt;=analysis_period,IF(SUM($C686:AO686)&gt;0,AN351+1,0),0)</f>
        <v>0</v>
      </c>
      <c r="AP351" s="158">
        <f>IF(AP$2&lt;=analysis_period,IF(SUM($C686:AP686)&gt;0,AO351+1,0),0)</f>
        <v>0</v>
      </c>
    </row>
    <row r="352" spans="1:42" x14ac:dyDescent="0.2">
      <c r="A352" s="4">
        <f t="shared" si="134"/>
        <v>4</v>
      </c>
      <c r="B352" s="4">
        <v>0</v>
      </c>
      <c r="C352" s="158">
        <f>IF(C$2&lt;=analysis_period,IF(SUM($C687:C687)&gt;0,B352+1,0),0)</f>
        <v>0</v>
      </c>
      <c r="D352" s="158">
        <f>IF(D$2&lt;=analysis_period,IF(SUM($C687:D687)&gt;0,C352+1,0),0)</f>
        <v>0</v>
      </c>
      <c r="E352" s="158">
        <f>IF(E$2&lt;=analysis_period,IF(SUM($C687:E687)&gt;0,D352+1,0),0)</f>
        <v>0</v>
      </c>
      <c r="F352" s="158">
        <f>IF(F$2&lt;=analysis_period,IF(SUM($C687:F687)&gt;0,E352+1,0),0)</f>
        <v>0</v>
      </c>
      <c r="G352" s="158">
        <f>IF(G$2&lt;=analysis_period,IF(SUM($C687:G687)&gt;0,F352+1,0),0)</f>
        <v>0</v>
      </c>
      <c r="H352" s="158">
        <f>IF(H$2&lt;=analysis_period,IF(SUM($C687:H687)&gt;0,G352+1,0),0)</f>
        <v>0</v>
      </c>
      <c r="I352" s="158">
        <f>IF(I$2&lt;=analysis_period,IF(SUM($C687:I687)&gt;0,H352+1,0),0)</f>
        <v>0</v>
      </c>
      <c r="J352" s="158">
        <f>IF(J$2&lt;=analysis_period,IF(SUM($C687:J687)&gt;0,I352+1,0),0)</f>
        <v>0</v>
      </c>
      <c r="K352" s="158">
        <f>IF(K$2&lt;=analysis_period,IF(SUM($C687:K687)&gt;0,J352+1,0),0)</f>
        <v>0</v>
      </c>
      <c r="L352" s="158">
        <f>IF(L$2&lt;=analysis_period,IF(SUM($C687:L687)&gt;0,K352+1,0),0)</f>
        <v>0</v>
      </c>
      <c r="M352" s="158">
        <f>IF(M$2&lt;=analysis_period,IF(SUM($C687:M687)&gt;0,L352+1,0),0)</f>
        <v>0</v>
      </c>
      <c r="N352" s="158">
        <f>IF(N$2&lt;=analysis_period,IF(SUM($C687:N687)&gt;0,M352+1,0),0)</f>
        <v>0</v>
      </c>
      <c r="O352" s="158">
        <f>IF(O$2&lt;=analysis_period,IF(SUM($C687:O687)&gt;0,N352+1,0),0)</f>
        <v>0</v>
      </c>
      <c r="P352" s="158">
        <f>IF(P$2&lt;=analysis_period,IF(SUM($C687:P687)&gt;0,O352+1,0),0)</f>
        <v>0</v>
      </c>
      <c r="Q352" s="158">
        <f>IF(Q$2&lt;=analysis_period,IF(SUM($C687:Q687)&gt;0,P352+1,0),0)</f>
        <v>0</v>
      </c>
      <c r="R352" s="158">
        <f>IF(R$2&lt;=analysis_period,IF(SUM($C687:R687)&gt;0,Q352+1,0),0)</f>
        <v>0</v>
      </c>
      <c r="S352" s="158">
        <f>IF(S$2&lt;=analysis_period,IF(SUM($C687:S687)&gt;0,R352+1,0),0)</f>
        <v>0</v>
      </c>
      <c r="T352" s="158">
        <f>IF(T$2&lt;=analysis_period,IF(SUM($C687:T687)&gt;0,S352+1,0),0)</f>
        <v>0</v>
      </c>
      <c r="U352" s="158">
        <f>IF(U$2&lt;=analysis_period,IF(SUM($C687:U687)&gt;0,T352+1,0),0)</f>
        <v>0</v>
      </c>
      <c r="V352" s="158">
        <f>IF(V$2&lt;=analysis_period,IF(SUM($C687:V687)&gt;0,U352+1,0),0)</f>
        <v>0</v>
      </c>
      <c r="W352" s="158">
        <f>IF(W$2&lt;=analysis_period,IF(SUM($C687:W687)&gt;0,V352+1,0),0)</f>
        <v>0</v>
      </c>
      <c r="X352" s="158">
        <f>IF(X$2&lt;=analysis_period,IF(SUM($C687:X687)&gt;0,W352+1,0),0)</f>
        <v>0</v>
      </c>
      <c r="Y352" s="158">
        <f>IF(Y$2&lt;=analysis_period,IF(SUM($C687:Y687)&gt;0,X352+1,0),0)</f>
        <v>0</v>
      </c>
      <c r="Z352" s="158">
        <f>IF(Z$2&lt;=analysis_period,IF(SUM($C687:Z687)&gt;0,Y352+1,0),0)</f>
        <v>0</v>
      </c>
      <c r="AA352" s="158">
        <f>IF(AA$2&lt;=analysis_period,IF(SUM($C687:AA687)&gt;0,Z352+1,0),0)</f>
        <v>0</v>
      </c>
      <c r="AB352" s="158">
        <f>IF(AB$2&lt;=analysis_period,IF(SUM($C687:AB687)&gt;0,AA352+1,0),0)</f>
        <v>0</v>
      </c>
      <c r="AC352" s="158">
        <f>IF(AC$2&lt;=analysis_period,IF(SUM($C687:AC687)&gt;0,AB352+1,0),0)</f>
        <v>0</v>
      </c>
      <c r="AD352" s="158">
        <f>IF(AD$2&lt;=analysis_period,IF(SUM($C687:AD687)&gt;0,AC352+1,0),0)</f>
        <v>0</v>
      </c>
      <c r="AE352" s="158">
        <f>IF(AE$2&lt;=analysis_period,IF(SUM($C687:AE687)&gt;0,AD352+1,0),0)</f>
        <v>0</v>
      </c>
      <c r="AF352" s="158">
        <f>IF(AF$2&lt;=analysis_period,IF(SUM($C687:AF687)&gt;0,AE352+1,0),0)</f>
        <v>0</v>
      </c>
      <c r="AG352" s="158">
        <f>IF(AG$2&lt;=analysis_period,IF(SUM($C687:AG687)&gt;0,AF352+1,0),0)</f>
        <v>0</v>
      </c>
      <c r="AH352" s="158">
        <f>IF(AH$2&lt;=analysis_period,IF(SUM($C687:AH687)&gt;0,AG352+1,0),0)</f>
        <v>0</v>
      </c>
      <c r="AI352" s="158">
        <f>IF(AI$2&lt;=analysis_period,IF(SUM($C687:AI687)&gt;0,AH352+1,0),0)</f>
        <v>0</v>
      </c>
      <c r="AJ352" s="158">
        <f>IF(AJ$2&lt;=analysis_period,IF(SUM($C687:AJ687)&gt;0,AI352+1,0),0)</f>
        <v>0</v>
      </c>
      <c r="AK352" s="158">
        <f>IF(AK$2&lt;=analysis_period,IF(SUM($C687:AK687)&gt;0,AJ352+1,0),0)</f>
        <v>0</v>
      </c>
      <c r="AL352" s="158">
        <f>IF(AL$2&lt;=analysis_period,IF(SUM($C687:AL687)&gt;0,AK352+1,0),0)</f>
        <v>0</v>
      </c>
      <c r="AM352" s="158">
        <f>IF(AM$2&lt;=analysis_period,IF(SUM($C687:AM687)&gt;0,AL352+1,0),0)</f>
        <v>0</v>
      </c>
      <c r="AN352" s="158">
        <f>IF(AN$2&lt;=analysis_period,IF(SUM($C687:AN687)&gt;0,AM352+1,0),0)</f>
        <v>0</v>
      </c>
      <c r="AO352" s="158">
        <f>IF(AO$2&lt;=analysis_period,IF(SUM($C687:AO687)&gt;0,AN352+1,0),0)</f>
        <v>0</v>
      </c>
      <c r="AP352" s="158">
        <f>IF(AP$2&lt;=analysis_period,IF(SUM($C687:AP687)&gt;0,AO352+1,0),0)</f>
        <v>0</v>
      </c>
    </row>
    <row r="353" spans="1:42" x14ac:dyDescent="0.2">
      <c r="A353" s="4">
        <f t="shared" si="134"/>
        <v>5</v>
      </c>
      <c r="B353" s="4">
        <v>0</v>
      </c>
      <c r="C353" s="158">
        <f>IF(C$2&lt;=analysis_period,IF(SUM($C688:C688)&gt;0,B353+1,0),0)</f>
        <v>0</v>
      </c>
      <c r="D353" s="158">
        <f>IF(D$2&lt;=analysis_period,IF(SUM($C688:D688)&gt;0,C353+1,0),0)</f>
        <v>0</v>
      </c>
      <c r="E353" s="158">
        <f>IF(E$2&lt;=analysis_period,IF(SUM($C688:E688)&gt;0,D353+1,0),0)</f>
        <v>0</v>
      </c>
      <c r="F353" s="158">
        <f>IF(F$2&lt;=analysis_period,IF(SUM($C688:F688)&gt;0,E353+1,0),0)</f>
        <v>0</v>
      </c>
      <c r="G353" s="158">
        <f>IF(G$2&lt;=analysis_period,IF(SUM($C688:G688)&gt;0,F353+1,0),0)</f>
        <v>0</v>
      </c>
      <c r="H353" s="158">
        <f>IF(H$2&lt;=analysis_period,IF(SUM($C688:H688)&gt;0,G353+1,0),0)</f>
        <v>0</v>
      </c>
      <c r="I353" s="158">
        <f>IF(I$2&lt;=analysis_period,IF(SUM($C688:I688)&gt;0,H353+1,0),0)</f>
        <v>0</v>
      </c>
      <c r="J353" s="158">
        <f>IF(J$2&lt;=analysis_period,IF(SUM($C688:J688)&gt;0,I353+1,0),0)</f>
        <v>0</v>
      </c>
      <c r="K353" s="158">
        <f>IF(K$2&lt;=analysis_period,IF(SUM($C688:K688)&gt;0,J353+1,0),0)</f>
        <v>0</v>
      </c>
      <c r="L353" s="158">
        <f>IF(L$2&lt;=analysis_period,IF(SUM($C688:L688)&gt;0,K353+1,0),0)</f>
        <v>0</v>
      </c>
      <c r="M353" s="158">
        <f>IF(M$2&lt;=analysis_period,IF(SUM($C688:M688)&gt;0,L353+1,0),0)</f>
        <v>0</v>
      </c>
      <c r="N353" s="158">
        <f>IF(N$2&lt;=analysis_period,IF(SUM($C688:N688)&gt;0,M353+1,0),0)</f>
        <v>0</v>
      </c>
      <c r="O353" s="158">
        <f>IF(O$2&lt;=analysis_period,IF(SUM($C688:O688)&gt;0,N353+1,0),0)</f>
        <v>0</v>
      </c>
      <c r="P353" s="158">
        <f>IF(P$2&lt;=analysis_period,IF(SUM($C688:P688)&gt;0,O353+1,0),0)</f>
        <v>0</v>
      </c>
      <c r="Q353" s="158">
        <f>IF(Q$2&lt;=analysis_period,IF(SUM($C688:Q688)&gt;0,P353+1,0),0)</f>
        <v>0</v>
      </c>
      <c r="R353" s="158">
        <f>IF(R$2&lt;=analysis_period,IF(SUM($C688:R688)&gt;0,Q353+1,0),0)</f>
        <v>0</v>
      </c>
      <c r="S353" s="158">
        <f>IF(S$2&lt;=analysis_period,IF(SUM($C688:S688)&gt;0,R353+1,0),0)</f>
        <v>0</v>
      </c>
      <c r="T353" s="158">
        <f>IF(T$2&lt;=analysis_period,IF(SUM($C688:T688)&gt;0,S353+1,0),0)</f>
        <v>0</v>
      </c>
      <c r="U353" s="158">
        <f>IF(U$2&lt;=analysis_period,IF(SUM($C688:U688)&gt;0,T353+1,0),0)</f>
        <v>0</v>
      </c>
      <c r="V353" s="158">
        <f>IF(V$2&lt;=analysis_period,IF(SUM($C688:V688)&gt;0,U353+1,0),0)</f>
        <v>0</v>
      </c>
      <c r="W353" s="158">
        <f>IF(W$2&lt;=analysis_period,IF(SUM($C688:W688)&gt;0,V353+1,0),0)</f>
        <v>0</v>
      </c>
      <c r="X353" s="158">
        <f>IF(X$2&lt;=analysis_period,IF(SUM($C688:X688)&gt;0,W353+1,0),0)</f>
        <v>0</v>
      </c>
      <c r="Y353" s="158">
        <f>IF(Y$2&lt;=analysis_period,IF(SUM($C688:Y688)&gt;0,X353+1,0),0)</f>
        <v>0</v>
      </c>
      <c r="Z353" s="158">
        <f>IF(Z$2&lt;=analysis_period,IF(SUM($C688:Z688)&gt;0,Y353+1,0),0)</f>
        <v>0</v>
      </c>
      <c r="AA353" s="158">
        <f>IF(AA$2&lt;=analysis_period,IF(SUM($C688:AA688)&gt;0,Z353+1,0),0)</f>
        <v>0</v>
      </c>
      <c r="AB353" s="158">
        <f>IF(AB$2&lt;=analysis_period,IF(SUM($C688:AB688)&gt;0,AA353+1,0),0)</f>
        <v>0</v>
      </c>
      <c r="AC353" s="158">
        <f>IF(AC$2&lt;=analysis_period,IF(SUM($C688:AC688)&gt;0,AB353+1,0),0)</f>
        <v>0</v>
      </c>
      <c r="AD353" s="158">
        <f>IF(AD$2&lt;=analysis_period,IF(SUM($C688:AD688)&gt;0,AC353+1,0),0)</f>
        <v>0</v>
      </c>
      <c r="AE353" s="158">
        <f>IF(AE$2&lt;=analysis_period,IF(SUM($C688:AE688)&gt;0,AD353+1,0),0)</f>
        <v>0</v>
      </c>
      <c r="AF353" s="158">
        <f>IF(AF$2&lt;=analysis_period,IF(SUM($C688:AF688)&gt;0,AE353+1,0),0)</f>
        <v>0</v>
      </c>
      <c r="AG353" s="158">
        <f>IF(AG$2&lt;=analysis_period,IF(SUM($C688:AG688)&gt;0,AF353+1,0),0)</f>
        <v>0</v>
      </c>
      <c r="AH353" s="158">
        <f>IF(AH$2&lt;=analysis_period,IF(SUM($C688:AH688)&gt;0,AG353+1,0),0)</f>
        <v>0</v>
      </c>
      <c r="AI353" s="158">
        <f>IF(AI$2&lt;=analysis_period,IF(SUM($C688:AI688)&gt;0,AH353+1,0),0)</f>
        <v>0</v>
      </c>
      <c r="AJ353" s="158">
        <f>IF(AJ$2&lt;=analysis_period,IF(SUM($C688:AJ688)&gt;0,AI353+1,0),0)</f>
        <v>0</v>
      </c>
      <c r="AK353" s="158">
        <f>IF(AK$2&lt;=analysis_period,IF(SUM($C688:AK688)&gt;0,AJ353+1,0),0)</f>
        <v>0</v>
      </c>
      <c r="AL353" s="158">
        <f>IF(AL$2&lt;=analysis_period,IF(SUM($C688:AL688)&gt;0,AK353+1,0),0)</f>
        <v>0</v>
      </c>
      <c r="AM353" s="158">
        <f>IF(AM$2&lt;=analysis_period,IF(SUM($C688:AM688)&gt;0,AL353+1,0),0)</f>
        <v>0</v>
      </c>
      <c r="AN353" s="158">
        <f>IF(AN$2&lt;=analysis_period,IF(SUM($C688:AN688)&gt;0,AM353+1,0),0)</f>
        <v>0</v>
      </c>
      <c r="AO353" s="158">
        <f>IF(AO$2&lt;=analysis_period,IF(SUM($C688:AO688)&gt;0,AN353+1,0),0)</f>
        <v>0</v>
      </c>
      <c r="AP353" s="158">
        <f>IF(AP$2&lt;=analysis_period,IF(SUM($C688:AP688)&gt;0,AO353+1,0),0)</f>
        <v>0</v>
      </c>
    </row>
    <row r="354" spans="1:42" x14ac:dyDescent="0.2">
      <c r="A354" s="4">
        <f t="shared" si="134"/>
        <v>6</v>
      </c>
      <c r="B354" s="4">
        <v>0</v>
      </c>
      <c r="C354" s="158">
        <f>IF(C$2&lt;=analysis_period,IF(SUM($C689:C689)&gt;0,B354+1,0),0)</f>
        <v>0</v>
      </c>
      <c r="D354" s="158">
        <f>IF(D$2&lt;=analysis_period,IF(SUM($C689:D689)&gt;0,C354+1,0),0)</f>
        <v>0</v>
      </c>
      <c r="E354" s="158">
        <f>IF(E$2&lt;=analysis_period,IF(SUM($C689:E689)&gt;0,D354+1,0),0)</f>
        <v>0</v>
      </c>
      <c r="F354" s="158">
        <f>IF(F$2&lt;=analysis_period,IF(SUM($C689:F689)&gt;0,E354+1,0),0)</f>
        <v>0</v>
      </c>
      <c r="G354" s="158">
        <f>IF(G$2&lt;=analysis_period,IF(SUM($C689:G689)&gt;0,F354+1,0),0)</f>
        <v>0</v>
      </c>
      <c r="H354" s="158">
        <f>IF(H$2&lt;=analysis_period,IF(SUM($C689:H689)&gt;0,G354+1,0),0)</f>
        <v>0</v>
      </c>
      <c r="I354" s="158">
        <f>IF(I$2&lt;=analysis_period,IF(SUM($C689:I689)&gt;0,H354+1,0),0)</f>
        <v>0</v>
      </c>
      <c r="J354" s="158">
        <f>IF(J$2&lt;=analysis_period,IF(SUM($C689:J689)&gt;0,I354+1,0),0)</f>
        <v>0</v>
      </c>
      <c r="K354" s="158">
        <f>IF(K$2&lt;=analysis_period,IF(SUM($C689:K689)&gt;0,J354+1,0),0)</f>
        <v>0</v>
      </c>
      <c r="L354" s="158">
        <f>IF(L$2&lt;=analysis_period,IF(SUM($C689:L689)&gt;0,K354+1,0),0)</f>
        <v>0</v>
      </c>
      <c r="M354" s="158">
        <f>IF(M$2&lt;=analysis_period,IF(SUM($C689:M689)&gt;0,L354+1,0),0)</f>
        <v>0</v>
      </c>
      <c r="N354" s="158">
        <f>IF(N$2&lt;=analysis_period,IF(SUM($C689:N689)&gt;0,M354+1,0),0)</f>
        <v>0</v>
      </c>
      <c r="O354" s="158">
        <f>IF(O$2&lt;=analysis_period,IF(SUM($C689:O689)&gt;0,N354+1,0),0)</f>
        <v>0</v>
      </c>
      <c r="P354" s="158">
        <f>IF(P$2&lt;=analysis_period,IF(SUM($C689:P689)&gt;0,O354+1,0),0)</f>
        <v>0</v>
      </c>
      <c r="Q354" s="158">
        <f>IF(Q$2&lt;=analysis_period,IF(SUM($C689:Q689)&gt;0,P354+1,0),0)</f>
        <v>0</v>
      </c>
      <c r="R354" s="158">
        <f>IF(R$2&lt;=analysis_period,IF(SUM($C689:R689)&gt;0,Q354+1,0),0)</f>
        <v>0</v>
      </c>
      <c r="S354" s="158">
        <f>IF(S$2&lt;=analysis_period,IF(SUM($C689:S689)&gt;0,R354+1,0),0)</f>
        <v>0</v>
      </c>
      <c r="T354" s="158">
        <f>IF(T$2&lt;=analysis_period,IF(SUM($C689:T689)&gt;0,S354+1,0),0)</f>
        <v>0</v>
      </c>
      <c r="U354" s="158">
        <f>IF(U$2&lt;=analysis_period,IF(SUM($C689:U689)&gt;0,T354+1,0),0)</f>
        <v>0</v>
      </c>
      <c r="V354" s="158">
        <f>IF(V$2&lt;=analysis_period,IF(SUM($C689:V689)&gt;0,U354+1,0),0)</f>
        <v>0</v>
      </c>
      <c r="W354" s="158">
        <f>IF(W$2&lt;=analysis_period,IF(SUM($C689:W689)&gt;0,V354+1,0),0)</f>
        <v>0</v>
      </c>
      <c r="X354" s="158">
        <f>IF(X$2&lt;=analysis_period,IF(SUM($C689:X689)&gt;0,W354+1,0),0)</f>
        <v>0</v>
      </c>
      <c r="Y354" s="158">
        <f>IF(Y$2&lt;=analysis_period,IF(SUM($C689:Y689)&gt;0,X354+1,0),0)</f>
        <v>0</v>
      </c>
      <c r="Z354" s="158">
        <f>IF(Z$2&lt;=analysis_period,IF(SUM($C689:Z689)&gt;0,Y354+1,0),0)</f>
        <v>0</v>
      </c>
      <c r="AA354" s="158">
        <f>IF(AA$2&lt;=analysis_period,IF(SUM($C689:AA689)&gt;0,Z354+1,0),0)</f>
        <v>0</v>
      </c>
      <c r="AB354" s="158">
        <f>IF(AB$2&lt;=analysis_period,IF(SUM($C689:AB689)&gt;0,AA354+1,0),0)</f>
        <v>0</v>
      </c>
      <c r="AC354" s="158">
        <f>IF(AC$2&lt;=analysis_period,IF(SUM($C689:AC689)&gt;0,AB354+1,0),0)</f>
        <v>0</v>
      </c>
      <c r="AD354" s="158">
        <f>IF(AD$2&lt;=analysis_period,IF(SUM($C689:AD689)&gt;0,AC354+1,0),0)</f>
        <v>0</v>
      </c>
      <c r="AE354" s="158">
        <f>IF(AE$2&lt;=analysis_period,IF(SUM($C689:AE689)&gt;0,AD354+1,0),0)</f>
        <v>0</v>
      </c>
      <c r="AF354" s="158">
        <f>IF(AF$2&lt;=analysis_period,IF(SUM($C689:AF689)&gt;0,AE354+1,0),0)</f>
        <v>0</v>
      </c>
      <c r="AG354" s="158">
        <f>IF(AG$2&lt;=analysis_period,IF(SUM($C689:AG689)&gt;0,AF354+1,0),0)</f>
        <v>0</v>
      </c>
      <c r="AH354" s="158">
        <f>IF(AH$2&lt;=analysis_period,IF(SUM($C689:AH689)&gt;0,AG354+1,0),0)</f>
        <v>0</v>
      </c>
      <c r="AI354" s="158">
        <f>IF(AI$2&lt;=analysis_period,IF(SUM($C689:AI689)&gt;0,AH354+1,0),0)</f>
        <v>0</v>
      </c>
      <c r="AJ354" s="158">
        <f>IF(AJ$2&lt;=analysis_period,IF(SUM($C689:AJ689)&gt;0,AI354+1,0),0)</f>
        <v>0</v>
      </c>
      <c r="AK354" s="158">
        <f>IF(AK$2&lt;=analysis_period,IF(SUM($C689:AK689)&gt;0,AJ354+1,0),0)</f>
        <v>0</v>
      </c>
      <c r="AL354" s="158">
        <f>IF(AL$2&lt;=analysis_period,IF(SUM($C689:AL689)&gt;0,AK354+1,0),0)</f>
        <v>0</v>
      </c>
      <c r="AM354" s="158">
        <f>IF(AM$2&lt;=analysis_period,IF(SUM($C689:AM689)&gt;0,AL354+1,0),0)</f>
        <v>0</v>
      </c>
      <c r="AN354" s="158">
        <f>IF(AN$2&lt;=analysis_period,IF(SUM($C689:AN689)&gt;0,AM354+1,0),0)</f>
        <v>0</v>
      </c>
      <c r="AO354" s="158">
        <f>IF(AO$2&lt;=analysis_period,IF(SUM($C689:AO689)&gt;0,AN354+1,0),0)</f>
        <v>0</v>
      </c>
      <c r="AP354" s="158">
        <f>IF(AP$2&lt;=analysis_period,IF(SUM($C689:AP689)&gt;0,AO354+1,0),0)</f>
        <v>0</v>
      </c>
    </row>
    <row r="355" spans="1:42" x14ac:dyDescent="0.2">
      <c r="A355" s="4">
        <f t="shared" si="134"/>
        <v>7</v>
      </c>
      <c r="B355" s="4">
        <v>0</v>
      </c>
      <c r="C355" s="158">
        <f>IF(C$2&lt;=analysis_period,IF(SUM($C690:C690)&gt;0,B355+1,0),0)</f>
        <v>0</v>
      </c>
      <c r="D355" s="158">
        <f>IF(D$2&lt;=analysis_period,IF(SUM($C690:D690)&gt;0,C355+1,0),0)</f>
        <v>0</v>
      </c>
      <c r="E355" s="158">
        <f>IF(E$2&lt;=analysis_period,IF(SUM($C690:E690)&gt;0,D355+1,0),0)</f>
        <v>0</v>
      </c>
      <c r="F355" s="158">
        <f>IF(F$2&lt;=analysis_period,IF(SUM($C690:F690)&gt;0,E355+1,0),0)</f>
        <v>0</v>
      </c>
      <c r="G355" s="158">
        <f>IF(G$2&lt;=analysis_period,IF(SUM($C690:G690)&gt;0,F355+1,0),0)</f>
        <v>0</v>
      </c>
      <c r="H355" s="158">
        <f>IF(H$2&lt;=analysis_period,IF(SUM($C690:H690)&gt;0,G355+1,0),0)</f>
        <v>0</v>
      </c>
      <c r="I355" s="158">
        <f>IF(I$2&lt;=analysis_period,IF(SUM($C690:I690)&gt;0,H355+1,0),0)</f>
        <v>0</v>
      </c>
      <c r="J355" s="158">
        <f>IF(J$2&lt;=analysis_period,IF(SUM($C690:J690)&gt;0,I355+1,0),0)</f>
        <v>0</v>
      </c>
      <c r="K355" s="158">
        <f>IF(K$2&lt;=analysis_period,IF(SUM($C690:K690)&gt;0,J355+1,0),0)</f>
        <v>0</v>
      </c>
      <c r="L355" s="158">
        <f>IF(L$2&lt;=analysis_period,IF(SUM($C690:L690)&gt;0,K355+1,0),0)</f>
        <v>0</v>
      </c>
      <c r="M355" s="158">
        <f>IF(M$2&lt;=analysis_period,IF(SUM($C690:M690)&gt;0,L355+1,0),0)</f>
        <v>0</v>
      </c>
      <c r="N355" s="158">
        <f>IF(N$2&lt;=analysis_period,IF(SUM($C690:N690)&gt;0,M355+1,0),0)</f>
        <v>0</v>
      </c>
      <c r="O355" s="158">
        <f>IF(O$2&lt;=analysis_period,IF(SUM($C690:O690)&gt;0,N355+1,0),0)</f>
        <v>0</v>
      </c>
      <c r="P355" s="158">
        <f>IF(P$2&lt;=analysis_period,IF(SUM($C690:P690)&gt;0,O355+1,0),0)</f>
        <v>0</v>
      </c>
      <c r="Q355" s="158">
        <f>IF(Q$2&lt;=analysis_period,IF(SUM($C690:Q690)&gt;0,P355+1,0),0)</f>
        <v>0</v>
      </c>
      <c r="R355" s="158">
        <f>IF(R$2&lt;=analysis_period,IF(SUM($C690:R690)&gt;0,Q355+1,0),0)</f>
        <v>0</v>
      </c>
      <c r="S355" s="158">
        <f>IF(S$2&lt;=analysis_period,IF(SUM($C690:S690)&gt;0,R355+1,0),0)</f>
        <v>0</v>
      </c>
      <c r="T355" s="158">
        <f>IF(T$2&lt;=analysis_period,IF(SUM($C690:T690)&gt;0,S355+1,0),0)</f>
        <v>0</v>
      </c>
      <c r="U355" s="158">
        <f>IF(U$2&lt;=analysis_period,IF(SUM($C690:U690)&gt;0,T355+1,0),0)</f>
        <v>0</v>
      </c>
      <c r="V355" s="158">
        <f>IF(V$2&lt;=analysis_period,IF(SUM($C690:V690)&gt;0,U355+1,0),0)</f>
        <v>0</v>
      </c>
      <c r="W355" s="158">
        <f>IF(W$2&lt;=analysis_period,IF(SUM($C690:W690)&gt;0,V355+1,0),0)</f>
        <v>0</v>
      </c>
      <c r="X355" s="158">
        <f>IF(X$2&lt;=analysis_period,IF(SUM($C690:X690)&gt;0,W355+1,0),0)</f>
        <v>0</v>
      </c>
      <c r="Y355" s="158">
        <f>IF(Y$2&lt;=analysis_period,IF(SUM($C690:Y690)&gt;0,X355+1,0),0)</f>
        <v>0</v>
      </c>
      <c r="Z355" s="158">
        <f>IF(Z$2&lt;=analysis_period,IF(SUM($C690:Z690)&gt;0,Y355+1,0),0)</f>
        <v>0</v>
      </c>
      <c r="AA355" s="158">
        <f>IF(AA$2&lt;=analysis_period,IF(SUM($C690:AA690)&gt;0,Z355+1,0),0)</f>
        <v>0</v>
      </c>
      <c r="AB355" s="158">
        <f>IF(AB$2&lt;=analysis_period,IF(SUM($C690:AB690)&gt;0,AA355+1,0),0)</f>
        <v>0</v>
      </c>
      <c r="AC355" s="158">
        <f>IF(AC$2&lt;=analysis_period,IF(SUM($C690:AC690)&gt;0,AB355+1,0),0)</f>
        <v>0</v>
      </c>
      <c r="AD355" s="158">
        <f>IF(AD$2&lt;=analysis_period,IF(SUM($C690:AD690)&gt;0,AC355+1,0),0)</f>
        <v>0</v>
      </c>
      <c r="AE355" s="158">
        <f>IF(AE$2&lt;=analysis_period,IF(SUM($C690:AE690)&gt;0,AD355+1,0),0)</f>
        <v>0</v>
      </c>
      <c r="AF355" s="158">
        <f>IF(AF$2&lt;=analysis_period,IF(SUM($C690:AF690)&gt;0,AE355+1,0),0)</f>
        <v>0</v>
      </c>
      <c r="AG355" s="158">
        <f>IF(AG$2&lt;=analysis_period,IF(SUM($C690:AG690)&gt;0,AF355+1,0),0)</f>
        <v>0</v>
      </c>
      <c r="AH355" s="158">
        <f>IF(AH$2&lt;=analysis_period,IF(SUM($C690:AH690)&gt;0,AG355+1,0),0)</f>
        <v>0</v>
      </c>
      <c r="AI355" s="158">
        <f>IF(AI$2&lt;=analysis_period,IF(SUM($C690:AI690)&gt;0,AH355+1,0),0)</f>
        <v>0</v>
      </c>
      <c r="AJ355" s="158">
        <f>IF(AJ$2&lt;=analysis_period,IF(SUM($C690:AJ690)&gt;0,AI355+1,0),0)</f>
        <v>0</v>
      </c>
      <c r="AK355" s="158">
        <f>IF(AK$2&lt;=analysis_period,IF(SUM($C690:AK690)&gt;0,AJ355+1,0),0)</f>
        <v>0</v>
      </c>
      <c r="AL355" s="158">
        <f>IF(AL$2&lt;=analysis_period,IF(SUM($C690:AL690)&gt;0,AK355+1,0),0)</f>
        <v>0</v>
      </c>
      <c r="AM355" s="158">
        <f>IF(AM$2&lt;=analysis_period,IF(SUM($C690:AM690)&gt;0,AL355+1,0),0)</f>
        <v>0</v>
      </c>
      <c r="AN355" s="158">
        <f>IF(AN$2&lt;=analysis_period,IF(SUM($C690:AN690)&gt;0,AM355+1,0),0)</f>
        <v>0</v>
      </c>
      <c r="AO355" s="158">
        <f>IF(AO$2&lt;=analysis_period,IF(SUM($C690:AO690)&gt;0,AN355+1,0),0)</f>
        <v>0</v>
      </c>
      <c r="AP355" s="158">
        <f>IF(AP$2&lt;=analysis_period,IF(SUM($C690:AP690)&gt;0,AO355+1,0),0)</f>
        <v>0</v>
      </c>
    </row>
    <row r="356" spans="1:42" x14ac:dyDescent="0.2">
      <c r="A356" s="4">
        <f t="shared" si="134"/>
        <v>8</v>
      </c>
      <c r="B356" s="4">
        <v>0</v>
      </c>
      <c r="C356" s="158">
        <f>IF(C$2&lt;=analysis_period,IF(SUM($C691:C691)&gt;0,B356+1,0),0)</f>
        <v>0</v>
      </c>
      <c r="D356" s="158">
        <f>IF(D$2&lt;=analysis_period,IF(SUM($C691:D691)&gt;0,C356+1,0),0)</f>
        <v>0</v>
      </c>
      <c r="E356" s="158">
        <f>IF(E$2&lt;=analysis_period,IF(SUM($C691:E691)&gt;0,D356+1,0),0)</f>
        <v>0</v>
      </c>
      <c r="F356" s="158">
        <f>IF(F$2&lt;=analysis_period,IF(SUM($C691:F691)&gt;0,E356+1,0),0)</f>
        <v>0</v>
      </c>
      <c r="G356" s="158">
        <f>IF(G$2&lt;=analysis_period,IF(SUM($C691:G691)&gt;0,F356+1,0),0)</f>
        <v>0</v>
      </c>
      <c r="H356" s="158">
        <f>IF(H$2&lt;=analysis_period,IF(SUM($C691:H691)&gt;0,G356+1,0),0)</f>
        <v>0</v>
      </c>
      <c r="I356" s="158">
        <f>IF(I$2&lt;=analysis_period,IF(SUM($C691:I691)&gt;0,H356+1,0),0)</f>
        <v>0</v>
      </c>
      <c r="J356" s="158">
        <f>IF(J$2&lt;=analysis_period,IF(SUM($C691:J691)&gt;0,I356+1,0),0)</f>
        <v>0</v>
      </c>
      <c r="K356" s="158">
        <f>IF(K$2&lt;=analysis_period,IF(SUM($C691:K691)&gt;0,J356+1,0),0)</f>
        <v>0</v>
      </c>
      <c r="L356" s="158">
        <f>IF(L$2&lt;=analysis_period,IF(SUM($C691:L691)&gt;0,K356+1,0),0)</f>
        <v>0</v>
      </c>
      <c r="M356" s="158">
        <f>IF(M$2&lt;=analysis_period,IF(SUM($C691:M691)&gt;0,L356+1,0),0)</f>
        <v>0</v>
      </c>
      <c r="N356" s="158">
        <f>IF(N$2&lt;=analysis_period,IF(SUM($C691:N691)&gt;0,M356+1,0),0)</f>
        <v>0</v>
      </c>
      <c r="O356" s="158">
        <f>IF(O$2&lt;=analysis_period,IF(SUM($C691:O691)&gt;0,N356+1,0),0)</f>
        <v>0</v>
      </c>
      <c r="P356" s="158">
        <f>IF(P$2&lt;=analysis_period,IF(SUM($C691:P691)&gt;0,O356+1,0),0)</f>
        <v>0</v>
      </c>
      <c r="Q356" s="158">
        <f>IF(Q$2&lt;=analysis_period,IF(SUM($C691:Q691)&gt;0,P356+1,0),0)</f>
        <v>0</v>
      </c>
      <c r="R356" s="158">
        <f>IF(R$2&lt;=analysis_period,IF(SUM($C691:R691)&gt;0,Q356+1,0),0)</f>
        <v>0</v>
      </c>
      <c r="S356" s="158">
        <f>IF(S$2&lt;=analysis_period,IF(SUM($C691:S691)&gt;0,R356+1,0),0)</f>
        <v>0</v>
      </c>
      <c r="T356" s="158">
        <f>IF(T$2&lt;=analysis_period,IF(SUM($C691:T691)&gt;0,S356+1,0),0)</f>
        <v>0</v>
      </c>
      <c r="U356" s="158">
        <f>IF(U$2&lt;=analysis_period,IF(SUM($C691:U691)&gt;0,T356+1,0),0)</f>
        <v>0</v>
      </c>
      <c r="V356" s="158">
        <f>IF(V$2&lt;=analysis_period,IF(SUM($C691:V691)&gt;0,U356+1,0),0)</f>
        <v>0</v>
      </c>
      <c r="W356" s="158">
        <f>IF(W$2&lt;=analysis_period,IF(SUM($C691:W691)&gt;0,V356+1,0),0)</f>
        <v>0</v>
      </c>
      <c r="X356" s="158">
        <f>IF(X$2&lt;=analysis_period,IF(SUM($C691:X691)&gt;0,W356+1,0),0)</f>
        <v>0</v>
      </c>
      <c r="Y356" s="158">
        <f>IF(Y$2&lt;=analysis_period,IF(SUM($C691:Y691)&gt;0,X356+1,0),0)</f>
        <v>0</v>
      </c>
      <c r="Z356" s="158">
        <f>IF(Z$2&lt;=analysis_period,IF(SUM($C691:Z691)&gt;0,Y356+1,0),0)</f>
        <v>0</v>
      </c>
      <c r="AA356" s="158">
        <f>IF(AA$2&lt;=analysis_period,IF(SUM($C691:AA691)&gt;0,Z356+1,0),0)</f>
        <v>0</v>
      </c>
      <c r="AB356" s="158">
        <f>IF(AB$2&lt;=analysis_period,IF(SUM($C691:AB691)&gt;0,AA356+1,0),0)</f>
        <v>0</v>
      </c>
      <c r="AC356" s="158">
        <f>IF(AC$2&lt;=analysis_period,IF(SUM($C691:AC691)&gt;0,AB356+1,0),0)</f>
        <v>0</v>
      </c>
      <c r="AD356" s="158">
        <f>IF(AD$2&lt;=analysis_period,IF(SUM($C691:AD691)&gt;0,AC356+1,0),0)</f>
        <v>0</v>
      </c>
      <c r="AE356" s="158">
        <f>IF(AE$2&lt;=analysis_period,IF(SUM($C691:AE691)&gt;0,AD356+1,0),0)</f>
        <v>0</v>
      </c>
      <c r="AF356" s="158">
        <f>IF(AF$2&lt;=analysis_period,IF(SUM($C691:AF691)&gt;0,AE356+1,0),0)</f>
        <v>0</v>
      </c>
      <c r="AG356" s="158">
        <f>IF(AG$2&lt;=analysis_period,IF(SUM($C691:AG691)&gt;0,AF356+1,0),0)</f>
        <v>0</v>
      </c>
      <c r="AH356" s="158">
        <f>IF(AH$2&lt;=analysis_period,IF(SUM($C691:AH691)&gt;0,AG356+1,0),0)</f>
        <v>0</v>
      </c>
      <c r="AI356" s="158">
        <f>IF(AI$2&lt;=analysis_period,IF(SUM($C691:AI691)&gt;0,AH356+1,0),0)</f>
        <v>0</v>
      </c>
      <c r="AJ356" s="158">
        <f>IF(AJ$2&lt;=analysis_period,IF(SUM($C691:AJ691)&gt;0,AI356+1,0),0)</f>
        <v>0</v>
      </c>
      <c r="AK356" s="158">
        <f>IF(AK$2&lt;=analysis_period,IF(SUM($C691:AK691)&gt;0,AJ356+1,0),0)</f>
        <v>0</v>
      </c>
      <c r="AL356" s="158">
        <f>IF(AL$2&lt;=analysis_period,IF(SUM($C691:AL691)&gt;0,AK356+1,0),0)</f>
        <v>0</v>
      </c>
      <c r="AM356" s="158">
        <f>IF(AM$2&lt;=analysis_period,IF(SUM($C691:AM691)&gt;0,AL356+1,0),0)</f>
        <v>0</v>
      </c>
      <c r="AN356" s="158">
        <f>IF(AN$2&lt;=analysis_period,IF(SUM($C691:AN691)&gt;0,AM356+1,0),0)</f>
        <v>0</v>
      </c>
      <c r="AO356" s="158">
        <f>IF(AO$2&lt;=analysis_period,IF(SUM($C691:AO691)&gt;0,AN356+1,0),0)</f>
        <v>0</v>
      </c>
      <c r="AP356" s="158">
        <f>IF(AP$2&lt;=analysis_period,IF(SUM($C691:AP691)&gt;0,AO356+1,0),0)</f>
        <v>0</v>
      </c>
    </row>
    <row r="357" spans="1:42" x14ac:dyDescent="0.2">
      <c r="A357" s="4">
        <f>A356+1</f>
        <v>9</v>
      </c>
      <c r="B357" s="4">
        <v>0</v>
      </c>
      <c r="C357" s="158">
        <f>IF(C$2&lt;=analysis_period,IF(SUM($C692:C692)&gt;0,B357+1,0),0)</f>
        <v>0</v>
      </c>
      <c r="D357" s="158">
        <f>IF(D$2&lt;=analysis_period,IF(SUM($C692:D692)&gt;0,C357+1,0),0)</f>
        <v>0</v>
      </c>
      <c r="E357" s="158">
        <f>IF(E$2&lt;=analysis_period,IF(SUM($C692:E692)&gt;0,D357+1,0),0)</f>
        <v>0</v>
      </c>
      <c r="F357" s="158">
        <f>IF(F$2&lt;=analysis_period,IF(SUM($C692:F692)&gt;0,E357+1,0),0)</f>
        <v>0</v>
      </c>
      <c r="G357" s="158">
        <f>IF(G$2&lt;=analysis_period,IF(SUM($C692:G692)&gt;0,F357+1,0),0)</f>
        <v>0</v>
      </c>
      <c r="H357" s="158">
        <f>IF(H$2&lt;=analysis_period,IF(SUM($C692:H692)&gt;0,G357+1,0),0)</f>
        <v>0</v>
      </c>
      <c r="I357" s="158">
        <f>IF(I$2&lt;=analysis_period,IF(SUM($C692:I692)&gt;0,H357+1,0),0)</f>
        <v>0</v>
      </c>
      <c r="J357" s="158">
        <f>IF(J$2&lt;=analysis_period,IF(SUM($C692:J692)&gt;0,I357+1,0),0)</f>
        <v>0</v>
      </c>
      <c r="K357" s="158">
        <f>IF(K$2&lt;=analysis_period,IF(SUM($C692:K692)&gt;0,J357+1,0),0)</f>
        <v>0</v>
      </c>
      <c r="L357" s="158">
        <f>IF(L$2&lt;=analysis_period,IF(SUM($C692:L692)&gt;0,K357+1,0),0)</f>
        <v>0</v>
      </c>
      <c r="M357" s="158">
        <f>IF(M$2&lt;=analysis_period,IF(SUM($C692:M692)&gt;0,L357+1,0),0)</f>
        <v>0</v>
      </c>
      <c r="N357" s="158">
        <f>IF(N$2&lt;=analysis_period,IF(SUM($C692:N692)&gt;0,M357+1,0),0)</f>
        <v>0</v>
      </c>
      <c r="O357" s="158">
        <f>IF(O$2&lt;=analysis_period,IF(SUM($C692:O692)&gt;0,N357+1,0),0)</f>
        <v>0</v>
      </c>
      <c r="P357" s="158">
        <f>IF(P$2&lt;=analysis_period,IF(SUM($C692:P692)&gt;0,O357+1,0),0)</f>
        <v>0</v>
      </c>
      <c r="Q357" s="158">
        <f>IF(Q$2&lt;=analysis_period,IF(SUM($C692:Q692)&gt;0,P357+1,0),0)</f>
        <v>0</v>
      </c>
      <c r="R357" s="158">
        <f>IF(R$2&lt;=analysis_period,IF(SUM($C692:R692)&gt;0,Q357+1,0),0)</f>
        <v>0</v>
      </c>
      <c r="S357" s="158">
        <f>IF(S$2&lt;=analysis_period,IF(SUM($C692:S692)&gt;0,R357+1,0),0)</f>
        <v>0</v>
      </c>
      <c r="T357" s="158">
        <f>IF(T$2&lt;=analysis_period,IF(SUM($C692:T692)&gt;0,S357+1,0),0)</f>
        <v>0</v>
      </c>
      <c r="U357" s="158">
        <f>IF(U$2&lt;=analysis_period,IF(SUM($C692:U692)&gt;0,T357+1,0),0)</f>
        <v>0</v>
      </c>
      <c r="V357" s="158">
        <f>IF(V$2&lt;=analysis_period,IF(SUM($C692:V692)&gt;0,U357+1,0),0)</f>
        <v>0</v>
      </c>
      <c r="W357" s="158">
        <f>IF(W$2&lt;=analysis_period,IF(SUM($C692:W692)&gt;0,V357+1,0),0)</f>
        <v>0</v>
      </c>
      <c r="X357" s="158">
        <f>IF(X$2&lt;=analysis_period,IF(SUM($C692:X692)&gt;0,W357+1,0),0)</f>
        <v>0</v>
      </c>
      <c r="Y357" s="158">
        <f>IF(Y$2&lt;=analysis_period,IF(SUM($C692:Y692)&gt;0,X357+1,0),0)</f>
        <v>0</v>
      </c>
      <c r="Z357" s="158">
        <f>IF(Z$2&lt;=analysis_period,IF(SUM($C692:Z692)&gt;0,Y357+1,0),0)</f>
        <v>0</v>
      </c>
      <c r="AA357" s="158">
        <f>IF(AA$2&lt;=analysis_period,IF(SUM($C692:AA692)&gt;0,Z357+1,0),0)</f>
        <v>0</v>
      </c>
      <c r="AB357" s="158">
        <f>IF(AB$2&lt;=analysis_period,IF(SUM($C692:AB692)&gt;0,AA357+1,0),0)</f>
        <v>0</v>
      </c>
      <c r="AC357" s="158">
        <f>IF(AC$2&lt;=analysis_period,IF(SUM($C692:AC692)&gt;0,AB357+1,0),0)</f>
        <v>0</v>
      </c>
      <c r="AD357" s="158">
        <f>IF(AD$2&lt;=analysis_period,IF(SUM($C692:AD692)&gt;0,AC357+1,0),0)</f>
        <v>0</v>
      </c>
      <c r="AE357" s="158">
        <f>IF(AE$2&lt;=analysis_period,IF(SUM($C692:AE692)&gt;0,AD357+1,0),0)</f>
        <v>0</v>
      </c>
      <c r="AF357" s="158">
        <f>IF(AF$2&lt;=analysis_period,IF(SUM($C692:AF692)&gt;0,AE357+1,0),0)</f>
        <v>0</v>
      </c>
      <c r="AG357" s="158">
        <f>IF(AG$2&lt;=analysis_period,IF(SUM($C692:AG692)&gt;0,AF357+1,0),0)</f>
        <v>0</v>
      </c>
      <c r="AH357" s="158">
        <f>IF(AH$2&lt;=analysis_period,IF(SUM($C692:AH692)&gt;0,AG357+1,0),0)</f>
        <v>0</v>
      </c>
      <c r="AI357" s="158">
        <f>IF(AI$2&lt;=analysis_period,IF(SUM($C692:AI692)&gt;0,AH357+1,0),0)</f>
        <v>0</v>
      </c>
      <c r="AJ357" s="158">
        <f>IF(AJ$2&lt;=analysis_period,IF(SUM($C692:AJ692)&gt;0,AI357+1,0),0)</f>
        <v>0</v>
      </c>
      <c r="AK357" s="158">
        <f>IF(AK$2&lt;=analysis_period,IF(SUM($C692:AK692)&gt;0,AJ357+1,0),0)</f>
        <v>0</v>
      </c>
      <c r="AL357" s="158">
        <f>IF(AL$2&lt;=analysis_period,IF(SUM($C692:AL692)&gt;0,AK357+1,0),0)</f>
        <v>0</v>
      </c>
      <c r="AM357" s="158">
        <f>IF(AM$2&lt;=analysis_period,IF(SUM($C692:AM692)&gt;0,AL357+1,0),0)</f>
        <v>0</v>
      </c>
      <c r="AN357" s="158">
        <f>IF(AN$2&lt;=analysis_period,IF(SUM($C692:AN692)&gt;0,AM357+1,0),0)</f>
        <v>0</v>
      </c>
      <c r="AO357" s="158">
        <f>IF(AO$2&lt;=analysis_period,IF(SUM($C692:AO692)&gt;0,AN357+1,0),0)</f>
        <v>0</v>
      </c>
      <c r="AP357" s="158">
        <f>IF(AP$2&lt;=analysis_period,IF(SUM($C692:AP692)&gt;0,AO357+1,0),0)</f>
        <v>0</v>
      </c>
    </row>
    <row r="358" spans="1:42" x14ac:dyDescent="0.2">
      <c r="A358" s="4">
        <f t="shared" si="134"/>
        <v>10</v>
      </c>
      <c r="B358" s="4">
        <v>0</v>
      </c>
      <c r="C358" s="158">
        <f>IF(C$2&lt;=analysis_period,IF(SUM($C693:C693)&gt;0,B358+1,0),0)</f>
        <v>0</v>
      </c>
      <c r="D358" s="158">
        <f>IF(D$2&lt;=analysis_period,IF(SUM($C693:D693)&gt;0,C358+1,0),0)</f>
        <v>0</v>
      </c>
      <c r="E358" s="158">
        <f>IF(E$2&lt;=analysis_period,IF(SUM($C693:E693)&gt;0,D358+1,0),0)</f>
        <v>0</v>
      </c>
      <c r="F358" s="158">
        <f>IF(F$2&lt;=analysis_period,IF(SUM($C693:F693)&gt;0,E358+1,0),0)</f>
        <v>0</v>
      </c>
      <c r="G358" s="158">
        <f>IF(G$2&lt;=analysis_period,IF(SUM($C693:G693)&gt;0,F358+1,0),0)</f>
        <v>0</v>
      </c>
      <c r="H358" s="158">
        <f>IF(H$2&lt;=analysis_period,IF(SUM($C693:H693)&gt;0,G358+1,0),0)</f>
        <v>0</v>
      </c>
      <c r="I358" s="158">
        <f>IF(I$2&lt;=analysis_period,IF(SUM($C693:I693)&gt;0,H358+1,0),0)</f>
        <v>0</v>
      </c>
      <c r="J358" s="158">
        <f>IF(J$2&lt;=analysis_period,IF(SUM($C693:J693)&gt;0,I358+1,0),0)</f>
        <v>0</v>
      </c>
      <c r="K358" s="158">
        <f>IF(K$2&lt;=analysis_period,IF(SUM($C693:K693)&gt;0,J358+1,0),0)</f>
        <v>0</v>
      </c>
      <c r="L358" s="158">
        <f>IF(L$2&lt;=analysis_period,IF(SUM($C693:L693)&gt;0,K358+1,0),0)</f>
        <v>0</v>
      </c>
      <c r="M358" s="158">
        <f>IF(M$2&lt;=analysis_period,IF(SUM($C693:M693)&gt;0,L358+1,0),0)</f>
        <v>0</v>
      </c>
      <c r="N358" s="158">
        <f>IF(N$2&lt;=analysis_period,IF(SUM($C693:N693)&gt;0,M358+1,0),0)</f>
        <v>0</v>
      </c>
      <c r="O358" s="158">
        <f>IF(O$2&lt;=analysis_period,IF(SUM($C693:O693)&gt;0,N358+1,0),0)</f>
        <v>0</v>
      </c>
      <c r="P358" s="158">
        <f>IF(P$2&lt;=analysis_period,IF(SUM($C693:P693)&gt;0,O358+1,0),0)</f>
        <v>0</v>
      </c>
      <c r="Q358" s="158">
        <f>IF(Q$2&lt;=analysis_period,IF(SUM($C693:Q693)&gt;0,P358+1,0),0)</f>
        <v>0</v>
      </c>
      <c r="R358" s="158">
        <f>IF(R$2&lt;=analysis_period,IF(SUM($C693:R693)&gt;0,Q358+1,0),0)</f>
        <v>0</v>
      </c>
      <c r="S358" s="158">
        <f>IF(S$2&lt;=analysis_period,IF(SUM($C693:S693)&gt;0,R358+1,0),0)</f>
        <v>0</v>
      </c>
      <c r="T358" s="158">
        <f>IF(T$2&lt;=analysis_period,IF(SUM($C693:T693)&gt;0,S358+1,0),0)</f>
        <v>0</v>
      </c>
      <c r="U358" s="158">
        <f>IF(U$2&lt;=analysis_period,IF(SUM($C693:U693)&gt;0,T358+1,0),0)</f>
        <v>0</v>
      </c>
      <c r="V358" s="158">
        <f>IF(V$2&lt;=analysis_period,IF(SUM($C693:V693)&gt;0,U358+1,0),0)</f>
        <v>0</v>
      </c>
      <c r="W358" s="158">
        <f>IF(W$2&lt;=analysis_period,IF(SUM($C693:W693)&gt;0,V358+1,0),0)</f>
        <v>0</v>
      </c>
      <c r="X358" s="158">
        <f>IF(X$2&lt;=analysis_period,IF(SUM($C693:X693)&gt;0,W358+1,0),0)</f>
        <v>0</v>
      </c>
      <c r="Y358" s="158">
        <f>IF(Y$2&lt;=analysis_period,IF(SUM($C693:Y693)&gt;0,X358+1,0),0)</f>
        <v>0</v>
      </c>
      <c r="Z358" s="158">
        <f>IF(Z$2&lt;=analysis_period,IF(SUM($C693:Z693)&gt;0,Y358+1,0),0)</f>
        <v>0</v>
      </c>
      <c r="AA358" s="158">
        <f>IF(AA$2&lt;=analysis_period,IF(SUM($C693:AA693)&gt;0,Z358+1,0),0)</f>
        <v>0</v>
      </c>
      <c r="AB358" s="158">
        <f>IF(AB$2&lt;=analysis_period,IF(SUM($C693:AB693)&gt;0,AA358+1,0),0)</f>
        <v>0</v>
      </c>
      <c r="AC358" s="158">
        <f>IF(AC$2&lt;=analysis_period,IF(SUM($C693:AC693)&gt;0,AB358+1,0),0)</f>
        <v>0</v>
      </c>
      <c r="AD358" s="158">
        <f>IF(AD$2&lt;=analysis_period,IF(SUM($C693:AD693)&gt;0,AC358+1,0),0)</f>
        <v>0</v>
      </c>
      <c r="AE358" s="158">
        <f>IF(AE$2&lt;=analysis_period,IF(SUM($C693:AE693)&gt;0,AD358+1,0),0)</f>
        <v>0</v>
      </c>
      <c r="AF358" s="158">
        <f>IF(AF$2&lt;=analysis_period,IF(SUM($C693:AF693)&gt;0,AE358+1,0),0)</f>
        <v>0</v>
      </c>
      <c r="AG358" s="158">
        <f>IF(AG$2&lt;=analysis_period,IF(SUM($C693:AG693)&gt;0,AF358+1,0),0)</f>
        <v>0</v>
      </c>
      <c r="AH358" s="158">
        <f>IF(AH$2&lt;=analysis_period,IF(SUM($C693:AH693)&gt;0,AG358+1,0),0)</f>
        <v>0</v>
      </c>
      <c r="AI358" s="158">
        <f>IF(AI$2&lt;=analysis_period,IF(SUM($C693:AI693)&gt;0,AH358+1,0),0)</f>
        <v>0</v>
      </c>
      <c r="AJ358" s="158">
        <f>IF(AJ$2&lt;=analysis_period,IF(SUM($C693:AJ693)&gt;0,AI358+1,0),0)</f>
        <v>0</v>
      </c>
      <c r="AK358" s="158">
        <f>IF(AK$2&lt;=analysis_period,IF(SUM($C693:AK693)&gt;0,AJ358+1,0),0)</f>
        <v>0</v>
      </c>
      <c r="AL358" s="158">
        <f>IF(AL$2&lt;=analysis_period,IF(SUM($C693:AL693)&gt;0,AK358+1,0),0)</f>
        <v>0</v>
      </c>
      <c r="AM358" s="158">
        <f>IF(AM$2&lt;=analysis_period,IF(SUM($C693:AM693)&gt;0,AL358+1,0),0)</f>
        <v>0</v>
      </c>
      <c r="AN358" s="158">
        <f>IF(AN$2&lt;=analysis_period,IF(SUM($C693:AN693)&gt;0,AM358+1,0),0)</f>
        <v>0</v>
      </c>
      <c r="AO358" s="158">
        <f>IF(AO$2&lt;=analysis_period,IF(SUM($C693:AO693)&gt;0,AN358+1,0),0)</f>
        <v>0</v>
      </c>
      <c r="AP358" s="158">
        <f>IF(AP$2&lt;=analysis_period,IF(SUM($C693:AP693)&gt;0,AO358+1,0),0)</f>
        <v>0</v>
      </c>
    </row>
    <row r="359" spans="1:42" x14ac:dyDescent="0.2">
      <c r="A359" s="22" t="s">
        <v>81</v>
      </c>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row>
    <row r="360" spans="1:42" x14ac:dyDescent="0.2">
      <c r="A360" s="4">
        <v>1</v>
      </c>
      <c r="B360" s="176">
        <f>SUM(C360:AP360)</f>
        <v>14129738.209737662</v>
      </c>
      <c r="C360" s="158">
        <f t="shared" ref="C360:AP360" si="135">LOOKUP(C349,$B$344:$AP$344,$B$345:$AP$345)/100*$B684</f>
        <v>0</v>
      </c>
      <c r="D360" s="158">
        <f t="shared" si="135"/>
        <v>0</v>
      </c>
      <c r="E360" s="158">
        <f t="shared" si="135"/>
        <v>0</v>
      </c>
      <c r="F360" s="158">
        <f t="shared" si="135"/>
        <v>0</v>
      </c>
      <c r="G360" s="158">
        <f t="shared" si="135"/>
        <v>0</v>
      </c>
      <c r="H360" s="158">
        <f t="shared" si="135"/>
        <v>0</v>
      </c>
      <c r="I360" s="158">
        <f t="shared" si="135"/>
        <v>0</v>
      </c>
      <c r="J360" s="158">
        <f t="shared" si="135"/>
        <v>0</v>
      </c>
      <c r="K360" s="158">
        <f t="shared" si="135"/>
        <v>0</v>
      </c>
      <c r="L360" s="158">
        <f t="shared" si="135"/>
        <v>0</v>
      </c>
      <c r="M360" s="158">
        <f t="shared" si="135"/>
        <v>0</v>
      </c>
      <c r="N360" s="158">
        <f t="shared" si="135"/>
        <v>0</v>
      </c>
      <c r="O360" s="158">
        <f t="shared" si="135"/>
        <v>0</v>
      </c>
      <c r="P360" s="158">
        <f t="shared" si="135"/>
        <v>0</v>
      </c>
      <c r="Q360" s="158">
        <f t="shared" si="135"/>
        <v>2825947.6419475321</v>
      </c>
      <c r="R360" s="158">
        <f t="shared" si="135"/>
        <v>4521516.2271160511</v>
      </c>
      <c r="S360" s="158">
        <f t="shared" si="135"/>
        <v>2712909.736269631</v>
      </c>
      <c r="T360" s="158">
        <f t="shared" si="135"/>
        <v>1627745.8417617783</v>
      </c>
      <c r="U360" s="158">
        <f t="shared" si="135"/>
        <v>1627745.8417617783</v>
      </c>
      <c r="V360" s="158">
        <f t="shared" si="135"/>
        <v>813872.92088088917</v>
      </c>
      <c r="W360" s="158">
        <f t="shared" si="135"/>
        <v>0</v>
      </c>
      <c r="X360" s="158">
        <f t="shared" si="135"/>
        <v>0</v>
      </c>
      <c r="Y360" s="158">
        <f t="shared" si="135"/>
        <v>0</v>
      </c>
      <c r="Z360" s="158">
        <f t="shared" si="135"/>
        <v>0</v>
      </c>
      <c r="AA360" s="158">
        <f t="shared" si="135"/>
        <v>0</v>
      </c>
      <c r="AB360" s="158">
        <f t="shared" si="135"/>
        <v>0</v>
      </c>
      <c r="AC360" s="158">
        <f t="shared" si="135"/>
        <v>0</v>
      </c>
      <c r="AD360" s="158">
        <f t="shared" si="135"/>
        <v>0</v>
      </c>
      <c r="AE360" s="158">
        <f t="shared" si="135"/>
        <v>0</v>
      </c>
      <c r="AF360" s="158">
        <f t="shared" si="135"/>
        <v>0</v>
      </c>
      <c r="AG360" s="158">
        <f t="shared" si="135"/>
        <v>0</v>
      </c>
      <c r="AH360" s="158">
        <f t="shared" si="135"/>
        <v>0</v>
      </c>
      <c r="AI360" s="158">
        <f t="shared" si="135"/>
        <v>0</v>
      </c>
      <c r="AJ360" s="158">
        <f t="shared" si="135"/>
        <v>0</v>
      </c>
      <c r="AK360" s="158">
        <f t="shared" si="135"/>
        <v>0</v>
      </c>
      <c r="AL360" s="158">
        <f t="shared" si="135"/>
        <v>0</v>
      </c>
      <c r="AM360" s="158">
        <f t="shared" si="135"/>
        <v>0</v>
      </c>
      <c r="AN360" s="158">
        <f t="shared" si="135"/>
        <v>0</v>
      </c>
      <c r="AO360" s="158">
        <f t="shared" si="135"/>
        <v>0</v>
      </c>
      <c r="AP360" s="158">
        <f t="shared" si="135"/>
        <v>0</v>
      </c>
    </row>
    <row r="361" spans="1:42" x14ac:dyDescent="0.2">
      <c r="A361" s="4">
        <f>A360+1</f>
        <v>2</v>
      </c>
      <c r="B361" s="176">
        <f t="shared" ref="B361:B369" si="136">SUM(C361:AP361)</f>
        <v>0</v>
      </c>
      <c r="C361" s="158">
        <f t="shared" ref="C361:AP361" si="137">LOOKUP(C350,$B$344:$AP$344,$B$345:$AP$345)/100*$B685</f>
        <v>0</v>
      </c>
      <c r="D361" s="158">
        <f t="shared" si="137"/>
        <v>0</v>
      </c>
      <c r="E361" s="158">
        <f t="shared" si="137"/>
        <v>0</v>
      </c>
      <c r="F361" s="158">
        <f t="shared" si="137"/>
        <v>0</v>
      </c>
      <c r="G361" s="158">
        <f t="shared" si="137"/>
        <v>0</v>
      </c>
      <c r="H361" s="158">
        <f t="shared" si="137"/>
        <v>0</v>
      </c>
      <c r="I361" s="158">
        <f t="shared" si="137"/>
        <v>0</v>
      </c>
      <c r="J361" s="158">
        <f t="shared" si="137"/>
        <v>0</v>
      </c>
      <c r="K361" s="158">
        <f t="shared" si="137"/>
        <v>0</v>
      </c>
      <c r="L361" s="158">
        <f t="shared" si="137"/>
        <v>0</v>
      </c>
      <c r="M361" s="158">
        <f t="shared" si="137"/>
        <v>0</v>
      </c>
      <c r="N361" s="158">
        <f t="shared" si="137"/>
        <v>0</v>
      </c>
      <c r="O361" s="158">
        <f t="shared" si="137"/>
        <v>0</v>
      </c>
      <c r="P361" s="158">
        <f t="shared" si="137"/>
        <v>0</v>
      </c>
      <c r="Q361" s="158">
        <f t="shared" si="137"/>
        <v>0</v>
      </c>
      <c r="R361" s="158">
        <f t="shared" si="137"/>
        <v>0</v>
      </c>
      <c r="S361" s="158">
        <f t="shared" si="137"/>
        <v>0</v>
      </c>
      <c r="T361" s="158">
        <f t="shared" si="137"/>
        <v>0</v>
      </c>
      <c r="U361" s="158">
        <f t="shared" si="137"/>
        <v>0</v>
      </c>
      <c r="V361" s="158">
        <f t="shared" si="137"/>
        <v>0</v>
      </c>
      <c r="W361" s="158">
        <f t="shared" si="137"/>
        <v>0</v>
      </c>
      <c r="X361" s="158">
        <f t="shared" si="137"/>
        <v>0</v>
      </c>
      <c r="Y361" s="158">
        <f t="shared" si="137"/>
        <v>0</v>
      </c>
      <c r="Z361" s="158">
        <f t="shared" si="137"/>
        <v>0</v>
      </c>
      <c r="AA361" s="158">
        <f t="shared" si="137"/>
        <v>0</v>
      </c>
      <c r="AB361" s="158">
        <f t="shared" si="137"/>
        <v>0</v>
      </c>
      <c r="AC361" s="158">
        <f t="shared" si="137"/>
        <v>0</v>
      </c>
      <c r="AD361" s="158">
        <f t="shared" si="137"/>
        <v>0</v>
      </c>
      <c r="AE361" s="158">
        <f t="shared" si="137"/>
        <v>0</v>
      </c>
      <c r="AF361" s="158">
        <f t="shared" si="137"/>
        <v>0</v>
      </c>
      <c r="AG361" s="158">
        <f t="shared" si="137"/>
        <v>0</v>
      </c>
      <c r="AH361" s="158">
        <f t="shared" si="137"/>
        <v>0</v>
      </c>
      <c r="AI361" s="158">
        <f t="shared" si="137"/>
        <v>0</v>
      </c>
      <c r="AJ361" s="158">
        <f t="shared" si="137"/>
        <v>0</v>
      </c>
      <c r="AK361" s="158">
        <f t="shared" si="137"/>
        <v>0</v>
      </c>
      <c r="AL361" s="158">
        <f t="shared" si="137"/>
        <v>0</v>
      </c>
      <c r="AM361" s="158">
        <f t="shared" si="137"/>
        <v>0</v>
      </c>
      <c r="AN361" s="158">
        <f t="shared" si="137"/>
        <v>0</v>
      </c>
      <c r="AO361" s="158">
        <f t="shared" si="137"/>
        <v>0</v>
      </c>
      <c r="AP361" s="158">
        <f t="shared" si="137"/>
        <v>0</v>
      </c>
    </row>
    <row r="362" spans="1:42" x14ac:dyDescent="0.2">
      <c r="A362" s="4">
        <f t="shared" ref="A362:A369" si="138">A361+1</f>
        <v>3</v>
      </c>
      <c r="B362" s="176">
        <f t="shared" si="136"/>
        <v>0</v>
      </c>
      <c r="C362" s="158">
        <f t="shared" ref="C362:AP362" si="139">LOOKUP(C351,$B$344:$AP$344,$B$345:$AP$345)/100*$B686</f>
        <v>0</v>
      </c>
      <c r="D362" s="158">
        <f t="shared" si="139"/>
        <v>0</v>
      </c>
      <c r="E362" s="158">
        <f t="shared" si="139"/>
        <v>0</v>
      </c>
      <c r="F362" s="158">
        <f t="shared" si="139"/>
        <v>0</v>
      </c>
      <c r="G362" s="158">
        <f t="shared" si="139"/>
        <v>0</v>
      </c>
      <c r="H362" s="158">
        <f t="shared" si="139"/>
        <v>0</v>
      </c>
      <c r="I362" s="158">
        <f t="shared" si="139"/>
        <v>0</v>
      </c>
      <c r="J362" s="158">
        <f t="shared" si="139"/>
        <v>0</v>
      </c>
      <c r="K362" s="158">
        <f t="shared" si="139"/>
        <v>0</v>
      </c>
      <c r="L362" s="158">
        <f t="shared" si="139"/>
        <v>0</v>
      </c>
      <c r="M362" s="158">
        <f t="shared" si="139"/>
        <v>0</v>
      </c>
      <c r="N362" s="158">
        <f t="shared" si="139"/>
        <v>0</v>
      </c>
      <c r="O362" s="158">
        <f t="shared" si="139"/>
        <v>0</v>
      </c>
      <c r="P362" s="158">
        <f t="shared" si="139"/>
        <v>0</v>
      </c>
      <c r="Q362" s="158">
        <f t="shared" si="139"/>
        <v>0</v>
      </c>
      <c r="R362" s="158">
        <f t="shared" si="139"/>
        <v>0</v>
      </c>
      <c r="S362" s="158">
        <f t="shared" si="139"/>
        <v>0</v>
      </c>
      <c r="T362" s="158">
        <f t="shared" si="139"/>
        <v>0</v>
      </c>
      <c r="U362" s="158">
        <f t="shared" si="139"/>
        <v>0</v>
      </c>
      <c r="V362" s="158">
        <f t="shared" si="139"/>
        <v>0</v>
      </c>
      <c r="W362" s="158">
        <f t="shared" si="139"/>
        <v>0</v>
      </c>
      <c r="X362" s="158">
        <f t="shared" si="139"/>
        <v>0</v>
      </c>
      <c r="Y362" s="158">
        <f t="shared" si="139"/>
        <v>0</v>
      </c>
      <c r="Z362" s="158">
        <f t="shared" si="139"/>
        <v>0</v>
      </c>
      <c r="AA362" s="158">
        <f t="shared" si="139"/>
        <v>0</v>
      </c>
      <c r="AB362" s="158">
        <f t="shared" si="139"/>
        <v>0</v>
      </c>
      <c r="AC362" s="158">
        <f t="shared" si="139"/>
        <v>0</v>
      </c>
      <c r="AD362" s="158">
        <f t="shared" si="139"/>
        <v>0</v>
      </c>
      <c r="AE362" s="158">
        <f t="shared" si="139"/>
        <v>0</v>
      </c>
      <c r="AF362" s="158">
        <f t="shared" si="139"/>
        <v>0</v>
      </c>
      <c r="AG362" s="158">
        <f t="shared" si="139"/>
        <v>0</v>
      </c>
      <c r="AH362" s="158">
        <f t="shared" si="139"/>
        <v>0</v>
      </c>
      <c r="AI362" s="158">
        <f t="shared" si="139"/>
        <v>0</v>
      </c>
      <c r="AJ362" s="158">
        <f t="shared" si="139"/>
        <v>0</v>
      </c>
      <c r="AK362" s="158">
        <f t="shared" si="139"/>
        <v>0</v>
      </c>
      <c r="AL362" s="158">
        <f t="shared" si="139"/>
        <v>0</v>
      </c>
      <c r="AM362" s="158">
        <f t="shared" si="139"/>
        <v>0</v>
      </c>
      <c r="AN362" s="158">
        <f t="shared" si="139"/>
        <v>0</v>
      </c>
      <c r="AO362" s="158">
        <f t="shared" si="139"/>
        <v>0</v>
      </c>
      <c r="AP362" s="158">
        <f t="shared" si="139"/>
        <v>0</v>
      </c>
    </row>
    <row r="363" spans="1:42" x14ac:dyDescent="0.2">
      <c r="A363" s="4">
        <f t="shared" si="138"/>
        <v>4</v>
      </c>
      <c r="B363" s="176">
        <f t="shared" si="136"/>
        <v>0</v>
      </c>
      <c r="C363" s="158">
        <f t="shared" ref="C363:AP363" si="140">LOOKUP(C352,$B$344:$AP$344,$B$345:$AP$345)/100*$B687</f>
        <v>0</v>
      </c>
      <c r="D363" s="158">
        <f t="shared" si="140"/>
        <v>0</v>
      </c>
      <c r="E363" s="158">
        <f t="shared" si="140"/>
        <v>0</v>
      </c>
      <c r="F363" s="158">
        <f t="shared" si="140"/>
        <v>0</v>
      </c>
      <c r="G363" s="158">
        <f t="shared" si="140"/>
        <v>0</v>
      </c>
      <c r="H363" s="158">
        <f t="shared" si="140"/>
        <v>0</v>
      </c>
      <c r="I363" s="158">
        <f t="shared" si="140"/>
        <v>0</v>
      </c>
      <c r="J363" s="158">
        <f t="shared" si="140"/>
        <v>0</v>
      </c>
      <c r="K363" s="158">
        <f t="shared" si="140"/>
        <v>0</v>
      </c>
      <c r="L363" s="158">
        <f t="shared" si="140"/>
        <v>0</v>
      </c>
      <c r="M363" s="158">
        <f t="shared" si="140"/>
        <v>0</v>
      </c>
      <c r="N363" s="158">
        <f t="shared" si="140"/>
        <v>0</v>
      </c>
      <c r="O363" s="158">
        <f t="shared" si="140"/>
        <v>0</v>
      </c>
      <c r="P363" s="158">
        <f t="shared" si="140"/>
        <v>0</v>
      </c>
      <c r="Q363" s="158">
        <f t="shared" si="140"/>
        <v>0</v>
      </c>
      <c r="R363" s="158">
        <f t="shared" si="140"/>
        <v>0</v>
      </c>
      <c r="S363" s="158">
        <f t="shared" si="140"/>
        <v>0</v>
      </c>
      <c r="T363" s="158">
        <f t="shared" si="140"/>
        <v>0</v>
      </c>
      <c r="U363" s="158">
        <f t="shared" si="140"/>
        <v>0</v>
      </c>
      <c r="V363" s="158">
        <f t="shared" si="140"/>
        <v>0</v>
      </c>
      <c r="W363" s="158">
        <f t="shared" si="140"/>
        <v>0</v>
      </c>
      <c r="X363" s="158">
        <f t="shared" si="140"/>
        <v>0</v>
      </c>
      <c r="Y363" s="158">
        <f t="shared" si="140"/>
        <v>0</v>
      </c>
      <c r="Z363" s="158">
        <f t="shared" si="140"/>
        <v>0</v>
      </c>
      <c r="AA363" s="158">
        <f t="shared" si="140"/>
        <v>0</v>
      </c>
      <c r="AB363" s="158">
        <f t="shared" si="140"/>
        <v>0</v>
      </c>
      <c r="AC363" s="158">
        <f t="shared" si="140"/>
        <v>0</v>
      </c>
      <c r="AD363" s="158">
        <f t="shared" si="140"/>
        <v>0</v>
      </c>
      <c r="AE363" s="158">
        <f t="shared" si="140"/>
        <v>0</v>
      </c>
      <c r="AF363" s="158">
        <f t="shared" si="140"/>
        <v>0</v>
      </c>
      <c r="AG363" s="158">
        <f t="shared" si="140"/>
        <v>0</v>
      </c>
      <c r="AH363" s="158">
        <f t="shared" si="140"/>
        <v>0</v>
      </c>
      <c r="AI363" s="158">
        <f t="shared" si="140"/>
        <v>0</v>
      </c>
      <c r="AJ363" s="158">
        <f t="shared" si="140"/>
        <v>0</v>
      </c>
      <c r="AK363" s="158">
        <f t="shared" si="140"/>
        <v>0</v>
      </c>
      <c r="AL363" s="158">
        <f t="shared" si="140"/>
        <v>0</v>
      </c>
      <c r="AM363" s="158">
        <f t="shared" si="140"/>
        <v>0</v>
      </c>
      <c r="AN363" s="158">
        <f t="shared" si="140"/>
        <v>0</v>
      </c>
      <c r="AO363" s="158">
        <f t="shared" si="140"/>
        <v>0</v>
      </c>
      <c r="AP363" s="158">
        <f t="shared" si="140"/>
        <v>0</v>
      </c>
    </row>
    <row r="364" spans="1:42" x14ac:dyDescent="0.2">
      <c r="A364" s="4">
        <f t="shared" si="138"/>
        <v>5</v>
      </c>
      <c r="B364" s="176">
        <f t="shared" si="136"/>
        <v>0</v>
      </c>
      <c r="C364" s="158">
        <f t="shared" ref="C364:AP364" si="141">LOOKUP(C353,$B$344:$AP$344,$B$345:$AP$345)/100*$B688</f>
        <v>0</v>
      </c>
      <c r="D364" s="158">
        <f t="shared" si="141"/>
        <v>0</v>
      </c>
      <c r="E364" s="158">
        <f t="shared" si="141"/>
        <v>0</v>
      </c>
      <c r="F364" s="158">
        <f t="shared" si="141"/>
        <v>0</v>
      </c>
      <c r="G364" s="158">
        <f t="shared" si="141"/>
        <v>0</v>
      </c>
      <c r="H364" s="158">
        <f t="shared" si="141"/>
        <v>0</v>
      </c>
      <c r="I364" s="158">
        <f t="shared" si="141"/>
        <v>0</v>
      </c>
      <c r="J364" s="158">
        <f t="shared" si="141"/>
        <v>0</v>
      </c>
      <c r="K364" s="158">
        <f t="shared" si="141"/>
        <v>0</v>
      </c>
      <c r="L364" s="158">
        <f t="shared" si="141"/>
        <v>0</v>
      </c>
      <c r="M364" s="158">
        <f t="shared" si="141"/>
        <v>0</v>
      </c>
      <c r="N364" s="158">
        <f t="shared" si="141"/>
        <v>0</v>
      </c>
      <c r="O364" s="158">
        <f t="shared" si="141"/>
        <v>0</v>
      </c>
      <c r="P364" s="158">
        <f t="shared" si="141"/>
        <v>0</v>
      </c>
      <c r="Q364" s="158">
        <f t="shared" si="141"/>
        <v>0</v>
      </c>
      <c r="R364" s="158">
        <f t="shared" si="141"/>
        <v>0</v>
      </c>
      <c r="S364" s="158">
        <f t="shared" si="141"/>
        <v>0</v>
      </c>
      <c r="T364" s="158">
        <f t="shared" si="141"/>
        <v>0</v>
      </c>
      <c r="U364" s="158">
        <f t="shared" si="141"/>
        <v>0</v>
      </c>
      <c r="V364" s="158">
        <f t="shared" si="141"/>
        <v>0</v>
      </c>
      <c r="W364" s="158">
        <f t="shared" si="141"/>
        <v>0</v>
      </c>
      <c r="X364" s="158">
        <f t="shared" si="141"/>
        <v>0</v>
      </c>
      <c r="Y364" s="158">
        <f t="shared" si="141"/>
        <v>0</v>
      </c>
      <c r="Z364" s="158">
        <f t="shared" si="141"/>
        <v>0</v>
      </c>
      <c r="AA364" s="158">
        <f t="shared" si="141"/>
        <v>0</v>
      </c>
      <c r="AB364" s="158">
        <f t="shared" si="141"/>
        <v>0</v>
      </c>
      <c r="AC364" s="158">
        <f t="shared" si="141"/>
        <v>0</v>
      </c>
      <c r="AD364" s="158">
        <f t="shared" si="141"/>
        <v>0</v>
      </c>
      <c r="AE364" s="158">
        <f t="shared" si="141"/>
        <v>0</v>
      </c>
      <c r="AF364" s="158">
        <f t="shared" si="141"/>
        <v>0</v>
      </c>
      <c r="AG364" s="158">
        <f t="shared" si="141"/>
        <v>0</v>
      </c>
      <c r="AH364" s="158">
        <f t="shared" si="141"/>
        <v>0</v>
      </c>
      <c r="AI364" s="158">
        <f t="shared" si="141"/>
        <v>0</v>
      </c>
      <c r="AJ364" s="158">
        <f t="shared" si="141"/>
        <v>0</v>
      </c>
      <c r="AK364" s="158">
        <f t="shared" si="141"/>
        <v>0</v>
      </c>
      <c r="AL364" s="158">
        <f t="shared" si="141"/>
        <v>0</v>
      </c>
      <c r="AM364" s="158">
        <f t="shared" si="141"/>
        <v>0</v>
      </c>
      <c r="AN364" s="158">
        <f t="shared" si="141"/>
        <v>0</v>
      </c>
      <c r="AO364" s="158">
        <f t="shared" si="141"/>
        <v>0</v>
      </c>
      <c r="AP364" s="158">
        <f t="shared" si="141"/>
        <v>0</v>
      </c>
    </row>
    <row r="365" spans="1:42" x14ac:dyDescent="0.2">
      <c r="A365" s="4">
        <f t="shared" si="138"/>
        <v>6</v>
      </c>
      <c r="B365" s="176">
        <f t="shared" si="136"/>
        <v>0</v>
      </c>
      <c r="C365" s="158">
        <f t="shared" ref="C365:AP365" si="142">LOOKUP(C354,$B$344:$AP$344,$B$345:$AP$345)/100*$B689</f>
        <v>0</v>
      </c>
      <c r="D365" s="158">
        <f t="shared" si="142"/>
        <v>0</v>
      </c>
      <c r="E365" s="158">
        <f t="shared" si="142"/>
        <v>0</v>
      </c>
      <c r="F365" s="158">
        <f t="shared" si="142"/>
        <v>0</v>
      </c>
      <c r="G365" s="158">
        <f t="shared" si="142"/>
        <v>0</v>
      </c>
      <c r="H365" s="158">
        <f t="shared" si="142"/>
        <v>0</v>
      </c>
      <c r="I365" s="158">
        <f t="shared" si="142"/>
        <v>0</v>
      </c>
      <c r="J365" s="158">
        <f t="shared" si="142"/>
        <v>0</v>
      </c>
      <c r="K365" s="158">
        <f t="shared" si="142"/>
        <v>0</v>
      </c>
      <c r="L365" s="158">
        <f t="shared" si="142"/>
        <v>0</v>
      </c>
      <c r="M365" s="158">
        <f t="shared" si="142"/>
        <v>0</v>
      </c>
      <c r="N365" s="158">
        <f t="shared" si="142"/>
        <v>0</v>
      </c>
      <c r="O365" s="158">
        <f t="shared" si="142"/>
        <v>0</v>
      </c>
      <c r="P365" s="158">
        <f t="shared" si="142"/>
        <v>0</v>
      </c>
      <c r="Q365" s="158">
        <f t="shared" si="142"/>
        <v>0</v>
      </c>
      <c r="R365" s="158">
        <f t="shared" si="142"/>
        <v>0</v>
      </c>
      <c r="S365" s="158">
        <f t="shared" si="142"/>
        <v>0</v>
      </c>
      <c r="T365" s="158">
        <f t="shared" si="142"/>
        <v>0</v>
      </c>
      <c r="U365" s="158">
        <f t="shared" si="142"/>
        <v>0</v>
      </c>
      <c r="V365" s="158">
        <f t="shared" si="142"/>
        <v>0</v>
      </c>
      <c r="W365" s="158">
        <f t="shared" si="142"/>
        <v>0</v>
      </c>
      <c r="X365" s="158">
        <f t="shared" si="142"/>
        <v>0</v>
      </c>
      <c r="Y365" s="158">
        <f t="shared" si="142"/>
        <v>0</v>
      </c>
      <c r="Z365" s="158">
        <f t="shared" si="142"/>
        <v>0</v>
      </c>
      <c r="AA365" s="158">
        <f t="shared" si="142"/>
        <v>0</v>
      </c>
      <c r="AB365" s="158">
        <f t="shared" si="142"/>
        <v>0</v>
      </c>
      <c r="AC365" s="158">
        <f t="shared" si="142"/>
        <v>0</v>
      </c>
      <c r="AD365" s="158">
        <f t="shared" si="142"/>
        <v>0</v>
      </c>
      <c r="AE365" s="158">
        <f t="shared" si="142"/>
        <v>0</v>
      </c>
      <c r="AF365" s="158">
        <f t="shared" si="142"/>
        <v>0</v>
      </c>
      <c r="AG365" s="158">
        <f t="shared" si="142"/>
        <v>0</v>
      </c>
      <c r="AH365" s="158">
        <f t="shared" si="142"/>
        <v>0</v>
      </c>
      <c r="AI365" s="158">
        <f t="shared" si="142"/>
        <v>0</v>
      </c>
      <c r="AJ365" s="158">
        <f t="shared" si="142"/>
        <v>0</v>
      </c>
      <c r="AK365" s="158">
        <f t="shared" si="142"/>
        <v>0</v>
      </c>
      <c r="AL365" s="158">
        <f t="shared" si="142"/>
        <v>0</v>
      </c>
      <c r="AM365" s="158">
        <f t="shared" si="142"/>
        <v>0</v>
      </c>
      <c r="AN365" s="158">
        <f t="shared" si="142"/>
        <v>0</v>
      </c>
      <c r="AO365" s="158">
        <f t="shared" si="142"/>
        <v>0</v>
      </c>
      <c r="AP365" s="158">
        <f t="shared" si="142"/>
        <v>0</v>
      </c>
    </row>
    <row r="366" spans="1:42" x14ac:dyDescent="0.2">
      <c r="A366" s="4">
        <f t="shared" si="138"/>
        <v>7</v>
      </c>
      <c r="B366" s="176">
        <f t="shared" si="136"/>
        <v>0</v>
      </c>
      <c r="C366" s="158">
        <f t="shared" ref="C366:AP366" si="143">LOOKUP(C355,$B$344:$AP$344,$B$345:$AP$345)/100*$B690</f>
        <v>0</v>
      </c>
      <c r="D366" s="158">
        <f t="shared" si="143"/>
        <v>0</v>
      </c>
      <c r="E366" s="158">
        <f t="shared" si="143"/>
        <v>0</v>
      </c>
      <c r="F366" s="158">
        <f t="shared" si="143"/>
        <v>0</v>
      </c>
      <c r="G366" s="158">
        <f t="shared" si="143"/>
        <v>0</v>
      </c>
      <c r="H366" s="158">
        <f t="shared" si="143"/>
        <v>0</v>
      </c>
      <c r="I366" s="158">
        <f t="shared" si="143"/>
        <v>0</v>
      </c>
      <c r="J366" s="158">
        <f t="shared" si="143"/>
        <v>0</v>
      </c>
      <c r="K366" s="158">
        <f t="shared" si="143"/>
        <v>0</v>
      </c>
      <c r="L366" s="158">
        <f t="shared" si="143"/>
        <v>0</v>
      </c>
      <c r="M366" s="158">
        <f t="shared" si="143"/>
        <v>0</v>
      </c>
      <c r="N366" s="158">
        <f t="shared" si="143"/>
        <v>0</v>
      </c>
      <c r="O366" s="158">
        <f t="shared" si="143"/>
        <v>0</v>
      </c>
      <c r="P366" s="158">
        <f t="shared" si="143"/>
        <v>0</v>
      </c>
      <c r="Q366" s="158">
        <f t="shared" si="143"/>
        <v>0</v>
      </c>
      <c r="R366" s="158">
        <f t="shared" si="143"/>
        <v>0</v>
      </c>
      <c r="S366" s="158">
        <f t="shared" si="143"/>
        <v>0</v>
      </c>
      <c r="T366" s="158">
        <f t="shared" si="143"/>
        <v>0</v>
      </c>
      <c r="U366" s="158">
        <f t="shared" si="143"/>
        <v>0</v>
      </c>
      <c r="V366" s="158">
        <f t="shared" si="143"/>
        <v>0</v>
      </c>
      <c r="W366" s="158">
        <f t="shared" si="143"/>
        <v>0</v>
      </c>
      <c r="X366" s="158">
        <f t="shared" si="143"/>
        <v>0</v>
      </c>
      <c r="Y366" s="158">
        <f t="shared" si="143"/>
        <v>0</v>
      </c>
      <c r="Z366" s="158">
        <f t="shared" si="143"/>
        <v>0</v>
      </c>
      <c r="AA366" s="158">
        <f t="shared" si="143"/>
        <v>0</v>
      </c>
      <c r="AB366" s="158">
        <f t="shared" si="143"/>
        <v>0</v>
      </c>
      <c r="AC366" s="158">
        <f t="shared" si="143"/>
        <v>0</v>
      </c>
      <c r="AD366" s="158">
        <f t="shared" si="143"/>
        <v>0</v>
      </c>
      <c r="AE366" s="158">
        <f t="shared" si="143"/>
        <v>0</v>
      </c>
      <c r="AF366" s="158">
        <f t="shared" si="143"/>
        <v>0</v>
      </c>
      <c r="AG366" s="158">
        <f t="shared" si="143"/>
        <v>0</v>
      </c>
      <c r="AH366" s="158">
        <f t="shared" si="143"/>
        <v>0</v>
      </c>
      <c r="AI366" s="158">
        <f t="shared" si="143"/>
        <v>0</v>
      </c>
      <c r="AJ366" s="158">
        <f t="shared" si="143"/>
        <v>0</v>
      </c>
      <c r="AK366" s="158">
        <f t="shared" si="143"/>
        <v>0</v>
      </c>
      <c r="AL366" s="158">
        <f t="shared" si="143"/>
        <v>0</v>
      </c>
      <c r="AM366" s="158">
        <f t="shared" si="143"/>
        <v>0</v>
      </c>
      <c r="AN366" s="158">
        <f t="shared" si="143"/>
        <v>0</v>
      </c>
      <c r="AO366" s="158">
        <f t="shared" si="143"/>
        <v>0</v>
      </c>
      <c r="AP366" s="158">
        <f t="shared" si="143"/>
        <v>0</v>
      </c>
    </row>
    <row r="367" spans="1:42" x14ac:dyDescent="0.2">
      <c r="A367" s="4">
        <f t="shared" si="138"/>
        <v>8</v>
      </c>
      <c r="B367" s="176">
        <f t="shared" si="136"/>
        <v>0</v>
      </c>
      <c r="C367" s="158">
        <f t="shared" ref="C367:AP367" si="144">LOOKUP(C356,$B$344:$AP$344,$B$345:$AP$345)/100*$B691</f>
        <v>0</v>
      </c>
      <c r="D367" s="158">
        <f t="shared" si="144"/>
        <v>0</v>
      </c>
      <c r="E367" s="158">
        <f t="shared" si="144"/>
        <v>0</v>
      </c>
      <c r="F367" s="158">
        <f t="shared" si="144"/>
        <v>0</v>
      </c>
      <c r="G367" s="158">
        <f t="shared" si="144"/>
        <v>0</v>
      </c>
      <c r="H367" s="158">
        <f t="shared" si="144"/>
        <v>0</v>
      </c>
      <c r="I367" s="158">
        <f t="shared" si="144"/>
        <v>0</v>
      </c>
      <c r="J367" s="158">
        <f t="shared" si="144"/>
        <v>0</v>
      </c>
      <c r="K367" s="158">
        <f t="shared" si="144"/>
        <v>0</v>
      </c>
      <c r="L367" s="158">
        <f t="shared" si="144"/>
        <v>0</v>
      </c>
      <c r="M367" s="158">
        <f t="shared" si="144"/>
        <v>0</v>
      </c>
      <c r="N367" s="158">
        <f t="shared" si="144"/>
        <v>0</v>
      </c>
      <c r="O367" s="158">
        <f t="shared" si="144"/>
        <v>0</v>
      </c>
      <c r="P367" s="158">
        <f t="shared" si="144"/>
        <v>0</v>
      </c>
      <c r="Q367" s="158">
        <f t="shared" si="144"/>
        <v>0</v>
      </c>
      <c r="R367" s="158">
        <f t="shared" si="144"/>
        <v>0</v>
      </c>
      <c r="S367" s="158">
        <f t="shared" si="144"/>
        <v>0</v>
      </c>
      <c r="T367" s="158">
        <f t="shared" si="144"/>
        <v>0</v>
      </c>
      <c r="U367" s="158">
        <f t="shared" si="144"/>
        <v>0</v>
      </c>
      <c r="V367" s="158">
        <f t="shared" si="144"/>
        <v>0</v>
      </c>
      <c r="W367" s="158">
        <f t="shared" si="144"/>
        <v>0</v>
      </c>
      <c r="X367" s="158">
        <f t="shared" si="144"/>
        <v>0</v>
      </c>
      <c r="Y367" s="158">
        <f t="shared" si="144"/>
        <v>0</v>
      </c>
      <c r="Z367" s="158">
        <f t="shared" si="144"/>
        <v>0</v>
      </c>
      <c r="AA367" s="158">
        <f t="shared" si="144"/>
        <v>0</v>
      </c>
      <c r="AB367" s="158">
        <f t="shared" si="144"/>
        <v>0</v>
      </c>
      <c r="AC367" s="158">
        <f t="shared" si="144"/>
        <v>0</v>
      </c>
      <c r="AD367" s="158">
        <f t="shared" si="144"/>
        <v>0</v>
      </c>
      <c r="AE367" s="158">
        <f t="shared" si="144"/>
        <v>0</v>
      </c>
      <c r="AF367" s="158">
        <f t="shared" si="144"/>
        <v>0</v>
      </c>
      <c r="AG367" s="158">
        <f t="shared" si="144"/>
        <v>0</v>
      </c>
      <c r="AH367" s="158">
        <f t="shared" si="144"/>
        <v>0</v>
      </c>
      <c r="AI367" s="158">
        <f t="shared" si="144"/>
        <v>0</v>
      </c>
      <c r="AJ367" s="158">
        <f t="shared" si="144"/>
        <v>0</v>
      </c>
      <c r="AK367" s="158">
        <f t="shared" si="144"/>
        <v>0</v>
      </c>
      <c r="AL367" s="158">
        <f t="shared" si="144"/>
        <v>0</v>
      </c>
      <c r="AM367" s="158">
        <f t="shared" si="144"/>
        <v>0</v>
      </c>
      <c r="AN367" s="158">
        <f t="shared" si="144"/>
        <v>0</v>
      </c>
      <c r="AO367" s="158">
        <f t="shared" si="144"/>
        <v>0</v>
      </c>
      <c r="AP367" s="158">
        <f t="shared" si="144"/>
        <v>0</v>
      </c>
    </row>
    <row r="368" spans="1:42" x14ac:dyDescent="0.2">
      <c r="A368" s="4">
        <f>A367+1</f>
        <v>9</v>
      </c>
      <c r="B368" s="176">
        <f t="shared" si="136"/>
        <v>0</v>
      </c>
      <c r="C368" s="158">
        <f t="shared" ref="C368:AP368" si="145">LOOKUP(C357,$B$344:$AP$344,$B$345:$AP$345)/100*$B692</f>
        <v>0</v>
      </c>
      <c r="D368" s="158">
        <f t="shared" si="145"/>
        <v>0</v>
      </c>
      <c r="E368" s="158">
        <f t="shared" si="145"/>
        <v>0</v>
      </c>
      <c r="F368" s="158">
        <f t="shared" si="145"/>
        <v>0</v>
      </c>
      <c r="G368" s="158">
        <f t="shared" si="145"/>
        <v>0</v>
      </c>
      <c r="H368" s="158">
        <f t="shared" si="145"/>
        <v>0</v>
      </c>
      <c r="I368" s="158">
        <f t="shared" si="145"/>
        <v>0</v>
      </c>
      <c r="J368" s="158">
        <f t="shared" si="145"/>
        <v>0</v>
      </c>
      <c r="K368" s="158">
        <f t="shared" si="145"/>
        <v>0</v>
      </c>
      <c r="L368" s="158">
        <f t="shared" si="145"/>
        <v>0</v>
      </c>
      <c r="M368" s="158">
        <f t="shared" si="145"/>
        <v>0</v>
      </c>
      <c r="N368" s="158">
        <f t="shared" si="145"/>
        <v>0</v>
      </c>
      <c r="O368" s="158">
        <f t="shared" si="145"/>
        <v>0</v>
      </c>
      <c r="P368" s="158">
        <f t="shared" si="145"/>
        <v>0</v>
      </c>
      <c r="Q368" s="158">
        <f t="shared" si="145"/>
        <v>0</v>
      </c>
      <c r="R368" s="158">
        <f t="shared" si="145"/>
        <v>0</v>
      </c>
      <c r="S368" s="158">
        <f t="shared" si="145"/>
        <v>0</v>
      </c>
      <c r="T368" s="158">
        <f t="shared" si="145"/>
        <v>0</v>
      </c>
      <c r="U368" s="158">
        <f t="shared" si="145"/>
        <v>0</v>
      </c>
      <c r="V368" s="158">
        <f t="shared" si="145"/>
        <v>0</v>
      </c>
      <c r="W368" s="158">
        <f t="shared" si="145"/>
        <v>0</v>
      </c>
      <c r="X368" s="158">
        <f t="shared" si="145"/>
        <v>0</v>
      </c>
      <c r="Y368" s="158">
        <f t="shared" si="145"/>
        <v>0</v>
      </c>
      <c r="Z368" s="158">
        <f t="shared" si="145"/>
        <v>0</v>
      </c>
      <c r="AA368" s="158">
        <f t="shared" si="145"/>
        <v>0</v>
      </c>
      <c r="AB368" s="158">
        <f t="shared" si="145"/>
        <v>0</v>
      </c>
      <c r="AC368" s="158">
        <f t="shared" si="145"/>
        <v>0</v>
      </c>
      <c r="AD368" s="158">
        <f t="shared" si="145"/>
        <v>0</v>
      </c>
      <c r="AE368" s="158">
        <f t="shared" si="145"/>
        <v>0</v>
      </c>
      <c r="AF368" s="158">
        <f t="shared" si="145"/>
        <v>0</v>
      </c>
      <c r="AG368" s="158">
        <f t="shared" si="145"/>
        <v>0</v>
      </c>
      <c r="AH368" s="158">
        <f t="shared" si="145"/>
        <v>0</v>
      </c>
      <c r="AI368" s="158">
        <f t="shared" si="145"/>
        <v>0</v>
      </c>
      <c r="AJ368" s="158">
        <f t="shared" si="145"/>
        <v>0</v>
      </c>
      <c r="AK368" s="158">
        <f t="shared" si="145"/>
        <v>0</v>
      </c>
      <c r="AL368" s="158">
        <f t="shared" si="145"/>
        <v>0</v>
      </c>
      <c r="AM368" s="158">
        <f t="shared" si="145"/>
        <v>0</v>
      </c>
      <c r="AN368" s="158">
        <f t="shared" si="145"/>
        <v>0</v>
      </c>
      <c r="AO368" s="158">
        <f t="shared" si="145"/>
        <v>0</v>
      </c>
      <c r="AP368" s="158">
        <f t="shared" si="145"/>
        <v>0</v>
      </c>
    </row>
    <row r="369" spans="1:42" x14ac:dyDescent="0.2">
      <c r="A369" s="4">
        <f t="shared" si="138"/>
        <v>10</v>
      </c>
      <c r="B369" s="176">
        <f t="shared" si="136"/>
        <v>0</v>
      </c>
      <c r="C369" s="158">
        <f t="shared" ref="C369:AP369" si="146">LOOKUP(C358,$B$344:$AP$344,$B$345:$AP$345)/100*$B693</f>
        <v>0</v>
      </c>
      <c r="D369" s="158">
        <f t="shared" si="146"/>
        <v>0</v>
      </c>
      <c r="E369" s="158">
        <f t="shared" si="146"/>
        <v>0</v>
      </c>
      <c r="F369" s="158">
        <f t="shared" si="146"/>
        <v>0</v>
      </c>
      <c r="G369" s="158">
        <f t="shared" si="146"/>
        <v>0</v>
      </c>
      <c r="H369" s="158">
        <f t="shared" si="146"/>
        <v>0</v>
      </c>
      <c r="I369" s="158">
        <f t="shared" si="146"/>
        <v>0</v>
      </c>
      <c r="J369" s="158">
        <f t="shared" si="146"/>
        <v>0</v>
      </c>
      <c r="K369" s="158">
        <f t="shared" si="146"/>
        <v>0</v>
      </c>
      <c r="L369" s="158">
        <f t="shared" si="146"/>
        <v>0</v>
      </c>
      <c r="M369" s="158">
        <f t="shared" si="146"/>
        <v>0</v>
      </c>
      <c r="N369" s="158">
        <f t="shared" si="146"/>
        <v>0</v>
      </c>
      <c r="O369" s="158">
        <f t="shared" si="146"/>
        <v>0</v>
      </c>
      <c r="P369" s="158">
        <f t="shared" si="146"/>
        <v>0</v>
      </c>
      <c r="Q369" s="158">
        <f t="shared" si="146"/>
        <v>0</v>
      </c>
      <c r="R369" s="158">
        <f t="shared" si="146"/>
        <v>0</v>
      </c>
      <c r="S369" s="158">
        <f t="shared" si="146"/>
        <v>0</v>
      </c>
      <c r="T369" s="158">
        <f t="shared" si="146"/>
        <v>0</v>
      </c>
      <c r="U369" s="158">
        <f t="shared" si="146"/>
        <v>0</v>
      </c>
      <c r="V369" s="158">
        <f t="shared" si="146"/>
        <v>0</v>
      </c>
      <c r="W369" s="158">
        <f t="shared" si="146"/>
        <v>0</v>
      </c>
      <c r="X369" s="158">
        <f t="shared" si="146"/>
        <v>0</v>
      </c>
      <c r="Y369" s="158">
        <f t="shared" si="146"/>
        <v>0</v>
      </c>
      <c r="Z369" s="158">
        <f t="shared" si="146"/>
        <v>0</v>
      </c>
      <c r="AA369" s="158">
        <f t="shared" si="146"/>
        <v>0</v>
      </c>
      <c r="AB369" s="158">
        <f t="shared" si="146"/>
        <v>0</v>
      </c>
      <c r="AC369" s="158">
        <f t="shared" si="146"/>
        <v>0</v>
      </c>
      <c r="AD369" s="158">
        <f t="shared" si="146"/>
        <v>0</v>
      </c>
      <c r="AE369" s="158">
        <f t="shared" si="146"/>
        <v>0</v>
      </c>
      <c r="AF369" s="158">
        <f t="shared" si="146"/>
        <v>0</v>
      </c>
      <c r="AG369" s="158">
        <f t="shared" si="146"/>
        <v>0</v>
      </c>
      <c r="AH369" s="158">
        <f t="shared" si="146"/>
        <v>0</v>
      </c>
      <c r="AI369" s="158">
        <f t="shared" si="146"/>
        <v>0</v>
      </c>
      <c r="AJ369" s="158">
        <f t="shared" si="146"/>
        <v>0</v>
      </c>
      <c r="AK369" s="158">
        <f t="shared" si="146"/>
        <v>0</v>
      </c>
      <c r="AL369" s="158">
        <f t="shared" si="146"/>
        <v>0</v>
      </c>
      <c r="AM369" s="158">
        <f t="shared" si="146"/>
        <v>0</v>
      </c>
      <c r="AN369" s="158">
        <f t="shared" si="146"/>
        <v>0</v>
      </c>
      <c r="AO369" s="158">
        <f t="shared" si="146"/>
        <v>0</v>
      </c>
      <c r="AP369" s="158">
        <f t="shared" si="146"/>
        <v>0</v>
      </c>
    </row>
    <row r="370" spans="1:42" ht="12" customHeight="1" x14ac:dyDescent="0.2">
      <c r="A370" s="27" t="s">
        <v>13</v>
      </c>
      <c r="B370" s="158"/>
      <c r="C370" s="158">
        <f>SUM(C360:C369)</f>
        <v>0</v>
      </c>
      <c r="D370" s="158">
        <f t="shared" ref="D370:AP370" si="147">SUM(D360:D369)</f>
        <v>0</v>
      </c>
      <c r="E370" s="158">
        <f t="shared" si="147"/>
        <v>0</v>
      </c>
      <c r="F370" s="158">
        <f t="shared" si="147"/>
        <v>0</v>
      </c>
      <c r="G370" s="158">
        <f t="shared" si="147"/>
        <v>0</v>
      </c>
      <c r="H370" s="158">
        <f t="shared" si="147"/>
        <v>0</v>
      </c>
      <c r="I370" s="158">
        <f t="shared" si="147"/>
        <v>0</v>
      </c>
      <c r="J370" s="158">
        <f t="shared" si="147"/>
        <v>0</v>
      </c>
      <c r="K370" s="158">
        <f t="shared" si="147"/>
        <v>0</v>
      </c>
      <c r="L370" s="158">
        <f t="shared" si="147"/>
        <v>0</v>
      </c>
      <c r="M370" s="158">
        <f t="shared" si="147"/>
        <v>0</v>
      </c>
      <c r="N370" s="158">
        <f t="shared" si="147"/>
        <v>0</v>
      </c>
      <c r="O370" s="158">
        <f t="shared" si="147"/>
        <v>0</v>
      </c>
      <c r="P370" s="158">
        <f t="shared" si="147"/>
        <v>0</v>
      </c>
      <c r="Q370" s="158">
        <f t="shared" si="147"/>
        <v>2825947.6419475321</v>
      </c>
      <c r="R370" s="158">
        <f t="shared" si="147"/>
        <v>4521516.2271160511</v>
      </c>
      <c r="S370" s="158">
        <f t="shared" si="147"/>
        <v>2712909.736269631</v>
      </c>
      <c r="T370" s="158">
        <f t="shared" si="147"/>
        <v>1627745.8417617783</v>
      </c>
      <c r="U370" s="158">
        <f t="shared" si="147"/>
        <v>1627745.8417617783</v>
      </c>
      <c r="V370" s="158">
        <f t="shared" si="147"/>
        <v>813872.92088088917</v>
      </c>
      <c r="W370" s="158">
        <f t="shared" si="147"/>
        <v>0</v>
      </c>
      <c r="X370" s="158">
        <f t="shared" si="147"/>
        <v>0</v>
      </c>
      <c r="Y370" s="158">
        <f t="shared" si="147"/>
        <v>0</v>
      </c>
      <c r="Z370" s="158">
        <f t="shared" si="147"/>
        <v>0</v>
      </c>
      <c r="AA370" s="158">
        <f t="shared" si="147"/>
        <v>0</v>
      </c>
      <c r="AB370" s="158">
        <f t="shared" si="147"/>
        <v>0</v>
      </c>
      <c r="AC370" s="158">
        <f t="shared" si="147"/>
        <v>0</v>
      </c>
      <c r="AD370" s="158">
        <f t="shared" si="147"/>
        <v>0</v>
      </c>
      <c r="AE370" s="158">
        <f t="shared" si="147"/>
        <v>0</v>
      </c>
      <c r="AF370" s="158">
        <f t="shared" si="147"/>
        <v>0</v>
      </c>
      <c r="AG370" s="158">
        <f t="shared" si="147"/>
        <v>0</v>
      </c>
      <c r="AH370" s="158">
        <f t="shared" si="147"/>
        <v>0</v>
      </c>
      <c r="AI370" s="158">
        <f t="shared" si="147"/>
        <v>0</v>
      </c>
      <c r="AJ370" s="158">
        <f t="shared" si="147"/>
        <v>0</v>
      </c>
      <c r="AK370" s="158">
        <f t="shared" si="147"/>
        <v>0</v>
      </c>
      <c r="AL370" s="158">
        <f t="shared" si="147"/>
        <v>0</v>
      </c>
      <c r="AM370" s="158">
        <f t="shared" si="147"/>
        <v>0</v>
      </c>
      <c r="AN370" s="158">
        <f t="shared" si="147"/>
        <v>0</v>
      </c>
      <c r="AO370" s="158">
        <f t="shared" si="147"/>
        <v>0</v>
      </c>
      <c r="AP370" s="158">
        <f t="shared" si="147"/>
        <v>0</v>
      </c>
    </row>
    <row r="371" spans="1:42" x14ac:dyDescent="0.2">
      <c r="A371" s="22"/>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row>
    <row r="372" spans="1:42" x14ac:dyDescent="0.2">
      <c r="A372" s="18" t="s">
        <v>93</v>
      </c>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row>
    <row r="373" spans="1:42" x14ac:dyDescent="0.2">
      <c r="A373" s="22" t="s">
        <v>77</v>
      </c>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row>
    <row r="374" spans="1:42" x14ac:dyDescent="0.2">
      <c r="A374" s="4">
        <v>1</v>
      </c>
      <c r="B374" s="4">
        <v>0</v>
      </c>
      <c r="C374" s="158">
        <f>IF(C$2&lt;=analysis_period,IF(SUM($C716:C716)&gt;0,B374+1,0),0)</f>
        <v>0</v>
      </c>
      <c r="D374" s="158">
        <f>IF(D$2&lt;=analysis_period,IF(SUM($C716:D716)&gt;0,C374+1,0),0)</f>
        <v>0</v>
      </c>
      <c r="E374" s="158">
        <f>IF(E$2&lt;=analysis_period,IF(SUM($C716:E716)&gt;0,D374+1,0),0)</f>
        <v>0</v>
      </c>
      <c r="F374" s="158">
        <f>IF(F$2&lt;=analysis_period,IF(SUM($C716:F716)&gt;0,E374+1,0),0)</f>
        <v>0</v>
      </c>
      <c r="G374" s="158">
        <f>IF(G$2&lt;=analysis_period,IF(SUM($C716:G716)&gt;0,F374+1,0),0)</f>
        <v>0</v>
      </c>
      <c r="H374" s="158">
        <f>IF(H$2&lt;=analysis_period,IF(SUM($C716:H716)&gt;0,G374+1,0),0)</f>
        <v>0</v>
      </c>
      <c r="I374" s="158">
        <f>IF(I$2&lt;=analysis_period,IF(SUM($C716:I716)&gt;0,H374+1,0),0)</f>
        <v>0</v>
      </c>
      <c r="J374" s="158">
        <f>IF(J$2&lt;=analysis_period,IF(SUM($C716:J716)&gt;0,I374+1,0),0)</f>
        <v>0</v>
      </c>
      <c r="K374" s="158">
        <f>IF(K$2&lt;=analysis_period,IF(SUM($C716:K716)&gt;0,J374+1,0),0)</f>
        <v>0</v>
      </c>
      <c r="L374" s="158">
        <f>IF(L$2&lt;=analysis_period,IF(SUM($C716:L716)&gt;0,K374+1,0),0)</f>
        <v>0</v>
      </c>
      <c r="M374" s="158">
        <f>IF(M$2&lt;=analysis_period,IF(SUM($C716:M716)&gt;0,L374+1,0),0)</f>
        <v>0</v>
      </c>
      <c r="N374" s="158">
        <f>IF(N$2&lt;=analysis_period,IF(SUM($C716:N716)&gt;0,M374+1,0),0)</f>
        <v>0</v>
      </c>
      <c r="O374" s="158">
        <f>IF(O$2&lt;=analysis_period,IF(SUM($C716:O716)&gt;0,N374+1,0),0)</f>
        <v>0</v>
      </c>
      <c r="P374" s="158">
        <f>IF(P$2&lt;=analysis_period,IF(SUM($C716:P716)&gt;0,O374+1,0),0)</f>
        <v>0</v>
      </c>
      <c r="Q374" s="158">
        <f>IF(Q$2&lt;=analysis_period,IF(SUM($C716:Q716)&gt;0,P374+1,0),0)</f>
        <v>0</v>
      </c>
      <c r="R374" s="158">
        <f>IF(R$2&lt;=analysis_period,IF(SUM($C716:R716)&gt;0,Q374+1,0),0)</f>
        <v>0</v>
      </c>
      <c r="S374" s="158">
        <f>IF(S$2&lt;=analysis_period,IF(SUM($C716:S716)&gt;0,R374+1,0),0)</f>
        <v>0</v>
      </c>
      <c r="T374" s="158">
        <f>IF(T$2&lt;=analysis_period,IF(SUM($C716:T716)&gt;0,S374+1,0),0)</f>
        <v>0</v>
      </c>
      <c r="U374" s="158">
        <f>IF(U$2&lt;=analysis_period,IF(SUM($C716:U716)&gt;0,T374+1,0),0)</f>
        <v>0</v>
      </c>
      <c r="V374" s="158">
        <f>IF(V$2&lt;=analysis_period,IF(SUM($C716:V716)&gt;0,U374+1,0),0)</f>
        <v>0</v>
      </c>
      <c r="W374" s="158">
        <f>IF(W$2&lt;=analysis_period,IF(SUM($C716:W716)&gt;0,V374+1,0),0)</f>
        <v>0</v>
      </c>
      <c r="X374" s="158">
        <f>IF(X$2&lt;=analysis_period,IF(SUM($C716:X716)&gt;0,W374+1,0),0)</f>
        <v>0</v>
      </c>
      <c r="Y374" s="158">
        <f>IF(Y$2&lt;=analysis_period,IF(SUM($C716:Y716)&gt;0,X374+1,0),0)</f>
        <v>0</v>
      </c>
      <c r="Z374" s="158">
        <f>IF(Z$2&lt;=analysis_period,IF(SUM($C716:Z716)&gt;0,Y374+1,0),0)</f>
        <v>0</v>
      </c>
      <c r="AA374" s="158">
        <f>IF(AA$2&lt;=analysis_period,IF(SUM($C716:AA716)&gt;0,Z374+1,0),0)</f>
        <v>0</v>
      </c>
      <c r="AB374" s="158">
        <f>IF(AB$2&lt;=analysis_period,IF(SUM($C716:AB716)&gt;0,AA374+1,0),0)</f>
        <v>0</v>
      </c>
      <c r="AC374" s="158">
        <f>IF(AC$2&lt;=analysis_period,IF(SUM($C716:AC716)&gt;0,AB374+1,0),0)</f>
        <v>0</v>
      </c>
      <c r="AD374" s="158">
        <f>IF(AD$2&lt;=analysis_period,IF(SUM($C716:AD716)&gt;0,AC374+1,0),0)</f>
        <v>0</v>
      </c>
      <c r="AE374" s="158">
        <f>IF(AE$2&lt;=analysis_period,IF(SUM($C716:AE716)&gt;0,AD374+1,0),0)</f>
        <v>0</v>
      </c>
      <c r="AF374" s="158">
        <f>IF(AF$2&lt;=analysis_period,IF(SUM($C716:AF716)&gt;0,AE374+1,0),0)</f>
        <v>0</v>
      </c>
      <c r="AG374" s="158">
        <f>IF(AG$2&lt;=analysis_period,IF(SUM($C716:AG716)&gt;0,AF374+1,0),0)</f>
        <v>0</v>
      </c>
      <c r="AH374" s="158">
        <f>IF(AH$2&lt;=analysis_period,IF(SUM($C716:AH716)&gt;0,AG374+1,0),0)</f>
        <v>0</v>
      </c>
      <c r="AI374" s="158">
        <f>IF(AI$2&lt;=analysis_period,IF(SUM($C716:AI716)&gt;0,AH374+1,0),0)</f>
        <v>0</v>
      </c>
      <c r="AJ374" s="158">
        <f>IF(AJ$2&lt;=analysis_period,IF(SUM($C716:AJ716)&gt;0,AI374+1,0),0)</f>
        <v>0</v>
      </c>
      <c r="AK374" s="158">
        <f>IF(AK$2&lt;=analysis_period,IF(SUM($C716:AK716)&gt;0,AJ374+1,0),0)</f>
        <v>0</v>
      </c>
      <c r="AL374" s="158">
        <f>IF(AL$2&lt;=analysis_period,IF(SUM($C716:AL716)&gt;0,AK374+1,0),0)</f>
        <v>0</v>
      </c>
      <c r="AM374" s="158">
        <f>IF(AM$2&lt;=analysis_period,IF(SUM($C716:AM716)&gt;0,AL374+1,0),0)</f>
        <v>0</v>
      </c>
      <c r="AN374" s="158">
        <f>IF(AN$2&lt;=analysis_period,IF(SUM($C716:AN716)&gt;0,AM374+1,0),0)</f>
        <v>0</v>
      </c>
      <c r="AO374" s="158">
        <f>IF(AO$2&lt;=analysis_period,IF(SUM($C716:AO716)&gt;0,AN374+1,0),0)</f>
        <v>0</v>
      </c>
      <c r="AP374" s="158">
        <f>IF(AP$2&lt;=analysis_period,IF(SUM($C716:AP716)&gt;0,AO374+1,0),0)</f>
        <v>0</v>
      </c>
    </row>
    <row r="375" spans="1:42" x14ac:dyDescent="0.2">
      <c r="A375" s="4">
        <f>A374+1</f>
        <v>2</v>
      </c>
      <c r="B375" s="4">
        <v>0</v>
      </c>
      <c r="C375" s="158">
        <f>IF(C$2&lt;=analysis_period,IF(SUM($C717:C717)&gt;0,B375+1,0),0)</f>
        <v>0</v>
      </c>
      <c r="D375" s="158">
        <f>IF(D$2&lt;=analysis_period,IF(SUM($C717:D717)&gt;0,C375+1,0),0)</f>
        <v>0</v>
      </c>
      <c r="E375" s="158">
        <f>IF(E$2&lt;=analysis_period,IF(SUM($C717:E717)&gt;0,D375+1,0),0)</f>
        <v>0</v>
      </c>
      <c r="F375" s="158">
        <f>IF(F$2&lt;=analysis_period,IF(SUM($C717:F717)&gt;0,E375+1,0),0)</f>
        <v>0</v>
      </c>
      <c r="G375" s="158">
        <f>IF(G$2&lt;=analysis_period,IF(SUM($C717:G717)&gt;0,F375+1,0),0)</f>
        <v>0</v>
      </c>
      <c r="H375" s="158">
        <f>IF(H$2&lt;=analysis_period,IF(SUM($C717:H717)&gt;0,G375+1,0),0)</f>
        <v>0</v>
      </c>
      <c r="I375" s="158">
        <f>IF(I$2&lt;=analysis_period,IF(SUM($C717:I717)&gt;0,H375+1,0),0)</f>
        <v>0</v>
      </c>
      <c r="J375" s="158">
        <f>IF(J$2&lt;=analysis_period,IF(SUM($C717:J717)&gt;0,I375+1,0),0)</f>
        <v>0</v>
      </c>
      <c r="K375" s="158">
        <f>IF(K$2&lt;=analysis_period,IF(SUM($C717:K717)&gt;0,J375+1,0),0)</f>
        <v>0</v>
      </c>
      <c r="L375" s="158">
        <f>IF(L$2&lt;=analysis_period,IF(SUM($C717:L717)&gt;0,K375+1,0),0)</f>
        <v>0</v>
      </c>
      <c r="M375" s="158">
        <f>IF(M$2&lt;=analysis_period,IF(SUM($C717:M717)&gt;0,L375+1,0),0)</f>
        <v>0</v>
      </c>
      <c r="N375" s="158">
        <f>IF(N$2&lt;=analysis_period,IF(SUM($C717:N717)&gt;0,M375+1,0),0)</f>
        <v>0</v>
      </c>
      <c r="O375" s="158">
        <f>IF(O$2&lt;=analysis_period,IF(SUM($C717:O717)&gt;0,N375+1,0),0)</f>
        <v>0</v>
      </c>
      <c r="P375" s="158">
        <f>IF(P$2&lt;=analysis_period,IF(SUM($C717:P717)&gt;0,O375+1,0),0)</f>
        <v>0</v>
      </c>
      <c r="Q375" s="158">
        <f>IF(Q$2&lt;=analysis_period,IF(SUM($C717:Q717)&gt;0,P375+1,0),0)</f>
        <v>0</v>
      </c>
      <c r="R375" s="158">
        <f>IF(R$2&lt;=analysis_period,IF(SUM($C717:R717)&gt;0,Q375+1,0),0)</f>
        <v>0</v>
      </c>
      <c r="S375" s="158">
        <f>IF(S$2&lt;=analysis_period,IF(SUM($C717:S717)&gt;0,R375+1,0),0)</f>
        <v>0</v>
      </c>
      <c r="T375" s="158">
        <f>IF(T$2&lt;=analysis_period,IF(SUM($C717:T717)&gt;0,S375+1,0),0)</f>
        <v>0</v>
      </c>
      <c r="U375" s="158">
        <f>IF(U$2&lt;=analysis_period,IF(SUM($C717:U717)&gt;0,T375+1,0),0)</f>
        <v>0</v>
      </c>
      <c r="V375" s="158">
        <f>IF(V$2&lt;=analysis_period,IF(SUM($C717:V717)&gt;0,U375+1,0),0)</f>
        <v>0</v>
      </c>
      <c r="W375" s="158">
        <f>IF(W$2&lt;=analysis_period,IF(SUM($C717:W717)&gt;0,V375+1,0),0)</f>
        <v>0</v>
      </c>
      <c r="X375" s="158">
        <f>IF(X$2&lt;=analysis_period,IF(SUM($C717:X717)&gt;0,W375+1,0),0)</f>
        <v>0</v>
      </c>
      <c r="Y375" s="158">
        <f>IF(Y$2&lt;=analysis_period,IF(SUM($C717:Y717)&gt;0,X375+1,0),0)</f>
        <v>0</v>
      </c>
      <c r="Z375" s="158">
        <f>IF(Z$2&lt;=analysis_period,IF(SUM($C717:Z717)&gt;0,Y375+1,0),0)</f>
        <v>0</v>
      </c>
      <c r="AA375" s="158">
        <f>IF(AA$2&lt;=analysis_period,IF(SUM($C717:AA717)&gt;0,Z375+1,0),0)</f>
        <v>0</v>
      </c>
      <c r="AB375" s="158">
        <f>IF(AB$2&lt;=analysis_period,IF(SUM($C717:AB717)&gt;0,AA375+1,0),0)</f>
        <v>0</v>
      </c>
      <c r="AC375" s="158">
        <f>IF(AC$2&lt;=analysis_period,IF(SUM($C717:AC717)&gt;0,AB375+1,0),0)</f>
        <v>0</v>
      </c>
      <c r="AD375" s="158">
        <f>IF(AD$2&lt;=analysis_period,IF(SUM($C717:AD717)&gt;0,AC375+1,0),0)</f>
        <v>0</v>
      </c>
      <c r="AE375" s="158">
        <f>IF(AE$2&lt;=analysis_period,IF(SUM($C717:AE717)&gt;0,AD375+1,0),0)</f>
        <v>0</v>
      </c>
      <c r="AF375" s="158">
        <f>IF(AF$2&lt;=analysis_period,IF(SUM($C717:AF717)&gt;0,AE375+1,0),0)</f>
        <v>0</v>
      </c>
      <c r="AG375" s="158">
        <f>IF(AG$2&lt;=analysis_period,IF(SUM($C717:AG717)&gt;0,AF375+1,0),0)</f>
        <v>0</v>
      </c>
      <c r="AH375" s="158">
        <f>IF(AH$2&lt;=analysis_period,IF(SUM($C717:AH717)&gt;0,AG375+1,0),0)</f>
        <v>0</v>
      </c>
      <c r="AI375" s="158">
        <f>IF(AI$2&lt;=analysis_period,IF(SUM($C717:AI717)&gt;0,AH375+1,0),0)</f>
        <v>0</v>
      </c>
      <c r="AJ375" s="158">
        <f>IF(AJ$2&lt;=analysis_period,IF(SUM($C717:AJ717)&gt;0,AI375+1,0),0)</f>
        <v>0</v>
      </c>
      <c r="AK375" s="158">
        <f>IF(AK$2&lt;=analysis_period,IF(SUM($C717:AK717)&gt;0,AJ375+1,0),0)</f>
        <v>0</v>
      </c>
      <c r="AL375" s="158">
        <f>IF(AL$2&lt;=analysis_period,IF(SUM($C717:AL717)&gt;0,AK375+1,0),0)</f>
        <v>0</v>
      </c>
      <c r="AM375" s="158">
        <f>IF(AM$2&lt;=analysis_period,IF(SUM($C717:AM717)&gt;0,AL375+1,0),0)</f>
        <v>0</v>
      </c>
      <c r="AN375" s="158">
        <f>IF(AN$2&lt;=analysis_period,IF(SUM($C717:AN717)&gt;0,AM375+1,0),0)</f>
        <v>0</v>
      </c>
      <c r="AO375" s="158">
        <f>IF(AO$2&lt;=analysis_period,IF(SUM($C717:AO717)&gt;0,AN375+1,0),0)</f>
        <v>0</v>
      </c>
      <c r="AP375" s="158">
        <f>IF(AP$2&lt;=analysis_period,IF(SUM($C717:AP717)&gt;0,AO375+1,0),0)</f>
        <v>0</v>
      </c>
    </row>
    <row r="376" spans="1:42" x14ac:dyDescent="0.2">
      <c r="A376" s="4">
        <f t="shared" ref="A376:A383" si="148">A375+1</f>
        <v>3</v>
      </c>
      <c r="B376" s="4">
        <v>0</v>
      </c>
      <c r="C376" s="158">
        <f>IF(C$2&lt;=analysis_period,IF(SUM($C718:C718)&gt;0,B376+1,0),0)</f>
        <v>0</v>
      </c>
      <c r="D376" s="158">
        <f>IF(D$2&lt;=analysis_period,IF(SUM($C718:D718)&gt;0,C376+1,0),0)</f>
        <v>0</v>
      </c>
      <c r="E376" s="158">
        <f>IF(E$2&lt;=analysis_period,IF(SUM($C718:E718)&gt;0,D376+1,0),0)</f>
        <v>0</v>
      </c>
      <c r="F376" s="158">
        <f>IF(F$2&lt;=analysis_period,IF(SUM($C718:F718)&gt;0,E376+1,0),0)</f>
        <v>0</v>
      </c>
      <c r="G376" s="158">
        <f>IF(G$2&lt;=analysis_period,IF(SUM($C718:G718)&gt;0,F376+1,0),0)</f>
        <v>0</v>
      </c>
      <c r="H376" s="158">
        <f>IF(H$2&lt;=analysis_period,IF(SUM($C718:H718)&gt;0,G376+1,0),0)</f>
        <v>0</v>
      </c>
      <c r="I376" s="158">
        <f>IF(I$2&lt;=analysis_period,IF(SUM($C718:I718)&gt;0,H376+1,0),0)</f>
        <v>0</v>
      </c>
      <c r="J376" s="158">
        <f>IF(J$2&lt;=analysis_period,IF(SUM($C718:J718)&gt;0,I376+1,0),0)</f>
        <v>0</v>
      </c>
      <c r="K376" s="158">
        <f>IF(K$2&lt;=analysis_period,IF(SUM($C718:K718)&gt;0,J376+1,0),0)</f>
        <v>0</v>
      </c>
      <c r="L376" s="158">
        <f>IF(L$2&lt;=analysis_period,IF(SUM($C718:L718)&gt;0,K376+1,0),0)</f>
        <v>0</v>
      </c>
      <c r="M376" s="158">
        <f>IF(M$2&lt;=analysis_period,IF(SUM($C718:M718)&gt;0,L376+1,0),0)</f>
        <v>0</v>
      </c>
      <c r="N376" s="158">
        <f>IF(N$2&lt;=analysis_period,IF(SUM($C718:N718)&gt;0,M376+1,0),0)</f>
        <v>0</v>
      </c>
      <c r="O376" s="158">
        <f>IF(O$2&lt;=analysis_period,IF(SUM($C718:O718)&gt;0,N376+1,0),0)</f>
        <v>0</v>
      </c>
      <c r="P376" s="158">
        <f>IF(P$2&lt;=analysis_period,IF(SUM($C718:P718)&gt;0,O376+1,0),0)</f>
        <v>0</v>
      </c>
      <c r="Q376" s="158">
        <f>IF(Q$2&lt;=analysis_period,IF(SUM($C718:Q718)&gt;0,P376+1,0),0)</f>
        <v>0</v>
      </c>
      <c r="R376" s="158">
        <f>IF(R$2&lt;=analysis_period,IF(SUM($C718:R718)&gt;0,Q376+1,0),0)</f>
        <v>0</v>
      </c>
      <c r="S376" s="158">
        <f>IF(S$2&lt;=analysis_period,IF(SUM($C718:S718)&gt;0,R376+1,0),0)</f>
        <v>0</v>
      </c>
      <c r="T376" s="158">
        <f>IF(T$2&lt;=analysis_period,IF(SUM($C718:T718)&gt;0,S376+1,0),0)</f>
        <v>0</v>
      </c>
      <c r="U376" s="158">
        <f>IF(U$2&lt;=analysis_period,IF(SUM($C718:U718)&gt;0,T376+1,0),0)</f>
        <v>0</v>
      </c>
      <c r="V376" s="158">
        <f>IF(V$2&lt;=analysis_period,IF(SUM($C718:V718)&gt;0,U376+1,0),0)</f>
        <v>0</v>
      </c>
      <c r="W376" s="158">
        <f>IF(W$2&lt;=analysis_period,IF(SUM($C718:W718)&gt;0,V376+1,0),0)</f>
        <v>0</v>
      </c>
      <c r="X376" s="158">
        <f>IF(X$2&lt;=analysis_period,IF(SUM($C718:X718)&gt;0,W376+1,0),0)</f>
        <v>0</v>
      </c>
      <c r="Y376" s="158">
        <f>IF(Y$2&lt;=analysis_period,IF(SUM($C718:Y718)&gt;0,X376+1,0),0)</f>
        <v>0</v>
      </c>
      <c r="Z376" s="158">
        <f>IF(Z$2&lt;=analysis_period,IF(SUM($C718:Z718)&gt;0,Y376+1,0),0)</f>
        <v>0</v>
      </c>
      <c r="AA376" s="158">
        <f>IF(AA$2&lt;=analysis_period,IF(SUM($C718:AA718)&gt;0,Z376+1,0),0)</f>
        <v>0</v>
      </c>
      <c r="AB376" s="158">
        <f>IF(AB$2&lt;=analysis_period,IF(SUM($C718:AB718)&gt;0,AA376+1,0),0)</f>
        <v>0</v>
      </c>
      <c r="AC376" s="158">
        <f>IF(AC$2&lt;=analysis_period,IF(SUM($C718:AC718)&gt;0,AB376+1,0),0)</f>
        <v>0</v>
      </c>
      <c r="AD376" s="158">
        <f>IF(AD$2&lt;=analysis_period,IF(SUM($C718:AD718)&gt;0,AC376+1,0),0)</f>
        <v>0</v>
      </c>
      <c r="AE376" s="158">
        <f>IF(AE$2&lt;=analysis_period,IF(SUM($C718:AE718)&gt;0,AD376+1,0),0)</f>
        <v>0</v>
      </c>
      <c r="AF376" s="158">
        <f>IF(AF$2&lt;=analysis_period,IF(SUM($C718:AF718)&gt;0,AE376+1,0),0)</f>
        <v>0</v>
      </c>
      <c r="AG376" s="158">
        <f>IF(AG$2&lt;=analysis_period,IF(SUM($C718:AG718)&gt;0,AF376+1,0),0)</f>
        <v>0</v>
      </c>
      <c r="AH376" s="158">
        <f>IF(AH$2&lt;=analysis_period,IF(SUM($C718:AH718)&gt;0,AG376+1,0),0)</f>
        <v>0</v>
      </c>
      <c r="AI376" s="158">
        <f>IF(AI$2&lt;=analysis_period,IF(SUM($C718:AI718)&gt;0,AH376+1,0),0)</f>
        <v>0</v>
      </c>
      <c r="AJ376" s="158">
        <f>IF(AJ$2&lt;=analysis_period,IF(SUM($C718:AJ718)&gt;0,AI376+1,0),0)</f>
        <v>0</v>
      </c>
      <c r="AK376" s="158">
        <f>IF(AK$2&lt;=analysis_period,IF(SUM($C718:AK718)&gt;0,AJ376+1,0),0)</f>
        <v>0</v>
      </c>
      <c r="AL376" s="158">
        <f>IF(AL$2&lt;=analysis_period,IF(SUM($C718:AL718)&gt;0,AK376+1,0),0)</f>
        <v>0</v>
      </c>
      <c r="AM376" s="158">
        <f>IF(AM$2&lt;=analysis_period,IF(SUM($C718:AM718)&gt;0,AL376+1,0),0)</f>
        <v>0</v>
      </c>
      <c r="AN376" s="158">
        <f>IF(AN$2&lt;=analysis_period,IF(SUM($C718:AN718)&gt;0,AM376+1,0),0)</f>
        <v>0</v>
      </c>
      <c r="AO376" s="158">
        <f>IF(AO$2&lt;=analysis_period,IF(SUM($C718:AO718)&gt;0,AN376+1,0),0)</f>
        <v>0</v>
      </c>
      <c r="AP376" s="158">
        <f>IF(AP$2&lt;=analysis_period,IF(SUM($C718:AP718)&gt;0,AO376+1,0),0)</f>
        <v>0</v>
      </c>
    </row>
    <row r="377" spans="1:42" x14ac:dyDescent="0.2">
      <c r="A377" s="4">
        <f t="shared" si="148"/>
        <v>4</v>
      </c>
      <c r="B377" s="4">
        <v>0</v>
      </c>
      <c r="C377" s="158">
        <f>IF(C$2&lt;=analysis_period,IF(SUM($C719:C719)&gt;0,B377+1,0),0)</f>
        <v>0</v>
      </c>
      <c r="D377" s="158">
        <f>IF(D$2&lt;=analysis_period,IF(SUM($C719:D719)&gt;0,C377+1,0),0)</f>
        <v>0</v>
      </c>
      <c r="E377" s="158">
        <f>IF(E$2&lt;=analysis_period,IF(SUM($C719:E719)&gt;0,D377+1,0),0)</f>
        <v>0</v>
      </c>
      <c r="F377" s="158">
        <f>IF(F$2&lt;=analysis_period,IF(SUM($C719:F719)&gt;0,E377+1,0),0)</f>
        <v>0</v>
      </c>
      <c r="G377" s="158">
        <f>IF(G$2&lt;=analysis_period,IF(SUM($C719:G719)&gt;0,F377+1,0),0)</f>
        <v>0</v>
      </c>
      <c r="H377" s="158">
        <f>IF(H$2&lt;=analysis_period,IF(SUM($C719:H719)&gt;0,G377+1,0),0)</f>
        <v>0</v>
      </c>
      <c r="I377" s="158">
        <f>IF(I$2&lt;=analysis_period,IF(SUM($C719:I719)&gt;0,H377+1,0),0)</f>
        <v>0</v>
      </c>
      <c r="J377" s="158">
        <f>IF(J$2&lt;=analysis_period,IF(SUM($C719:J719)&gt;0,I377+1,0),0)</f>
        <v>0</v>
      </c>
      <c r="K377" s="158">
        <f>IF(K$2&lt;=analysis_period,IF(SUM($C719:K719)&gt;0,J377+1,0),0)</f>
        <v>0</v>
      </c>
      <c r="L377" s="158">
        <f>IF(L$2&lt;=analysis_period,IF(SUM($C719:L719)&gt;0,K377+1,0),0)</f>
        <v>0</v>
      </c>
      <c r="M377" s="158">
        <f>IF(M$2&lt;=analysis_period,IF(SUM($C719:M719)&gt;0,L377+1,0),0)</f>
        <v>0</v>
      </c>
      <c r="N377" s="158">
        <f>IF(N$2&lt;=analysis_period,IF(SUM($C719:N719)&gt;0,M377+1,0),0)</f>
        <v>0</v>
      </c>
      <c r="O377" s="158">
        <f>IF(O$2&lt;=analysis_period,IF(SUM($C719:O719)&gt;0,N377+1,0),0)</f>
        <v>0</v>
      </c>
      <c r="P377" s="158">
        <f>IF(P$2&lt;=analysis_period,IF(SUM($C719:P719)&gt;0,O377+1,0),0)</f>
        <v>0</v>
      </c>
      <c r="Q377" s="158">
        <f>IF(Q$2&lt;=analysis_period,IF(SUM($C719:Q719)&gt;0,P377+1,0),0)</f>
        <v>0</v>
      </c>
      <c r="R377" s="158">
        <f>IF(R$2&lt;=analysis_period,IF(SUM($C719:R719)&gt;0,Q377+1,0),0)</f>
        <v>0</v>
      </c>
      <c r="S377" s="158">
        <f>IF(S$2&lt;=analysis_period,IF(SUM($C719:S719)&gt;0,R377+1,0),0)</f>
        <v>0</v>
      </c>
      <c r="T377" s="158">
        <f>IF(T$2&lt;=analysis_period,IF(SUM($C719:T719)&gt;0,S377+1,0),0)</f>
        <v>0</v>
      </c>
      <c r="U377" s="158">
        <f>IF(U$2&lt;=analysis_period,IF(SUM($C719:U719)&gt;0,T377+1,0),0)</f>
        <v>0</v>
      </c>
      <c r="V377" s="158">
        <f>IF(V$2&lt;=analysis_period,IF(SUM($C719:V719)&gt;0,U377+1,0),0)</f>
        <v>0</v>
      </c>
      <c r="W377" s="158">
        <f>IF(W$2&lt;=analysis_period,IF(SUM($C719:W719)&gt;0,V377+1,0),0)</f>
        <v>0</v>
      </c>
      <c r="X377" s="158">
        <f>IF(X$2&lt;=analysis_period,IF(SUM($C719:X719)&gt;0,W377+1,0),0)</f>
        <v>0</v>
      </c>
      <c r="Y377" s="158">
        <f>IF(Y$2&lt;=analysis_period,IF(SUM($C719:Y719)&gt;0,X377+1,0),0)</f>
        <v>0</v>
      </c>
      <c r="Z377" s="158">
        <f>IF(Z$2&lt;=analysis_period,IF(SUM($C719:Z719)&gt;0,Y377+1,0),0)</f>
        <v>0</v>
      </c>
      <c r="AA377" s="158">
        <f>IF(AA$2&lt;=analysis_period,IF(SUM($C719:AA719)&gt;0,Z377+1,0),0)</f>
        <v>0</v>
      </c>
      <c r="AB377" s="158">
        <f>IF(AB$2&lt;=analysis_period,IF(SUM($C719:AB719)&gt;0,AA377+1,0),0)</f>
        <v>0</v>
      </c>
      <c r="AC377" s="158">
        <f>IF(AC$2&lt;=analysis_period,IF(SUM($C719:AC719)&gt;0,AB377+1,0),0)</f>
        <v>0</v>
      </c>
      <c r="AD377" s="158">
        <f>IF(AD$2&lt;=analysis_period,IF(SUM($C719:AD719)&gt;0,AC377+1,0),0)</f>
        <v>0</v>
      </c>
      <c r="AE377" s="158">
        <f>IF(AE$2&lt;=analysis_period,IF(SUM($C719:AE719)&gt;0,AD377+1,0),0)</f>
        <v>0</v>
      </c>
      <c r="AF377" s="158">
        <f>IF(AF$2&lt;=analysis_period,IF(SUM($C719:AF719)&gt;0,AE377+1,0),0)</f>
        <v>0</v>
      </c>
      <c r="AG377" s="158">
        <f>IF(AG$2&lt;=analysis_period,IF(SUM($C719:AG719)&gt;0,AF377+1,0),0)</f>
        <v>0</v>
      </c>
      <c r="AH377" s="158">
        <f>IF(AH$2&lt;=analysis_period,IF(SUM($C719:AH719)&gt;0,AG377+1,0),0)</f>
        <v>0</v>
      </c>
      <c r="AI377" s="158">
        <f>IF(AI$2&lt;=analysis_period,IF(SUM($C719:AI719)&gt;0,AH377+1,0),0)</f>
        <v>0</v>
      </c>
      <c r="AJ377" s="158">
        <f>IF(AJ$2&lt;=analysis_period,IF(SUM($C719:AJ719)&gt;0,AI377+1,0),0)</f>
        <v>0</v>
      </c>
      <c r="AK377" s="158">
        <f>IF(AK$2&lt;=analysis_period,IF(SUM($C719:AK719)&gt;0,AJ377+1,0),0)</f>
        <v>0</v>
      </c>
      <c r="AL377" s="158">
        <f>IF(AL$2&lt;=analysis_period,IF(SUM($C719:AL719)&gt;0,AK377+1,0),0)</f>
        <v>0</v>
      </c>
      <c r="AM377" s="158">
        <f>IF(AM$2&lt;=analysis_period,IF(SUM($C719:AM719)&gt;0,AL377+1,0),0)</f>
        <v>0</v>
      </c>
      <c r="AN377" s="158">
        <f>IF(AN$2&lt;=analysis_period,IF(SUM($C719:AN719)&gt;0,AM377+1,0),0)</f>
        <v>0</v>
      </c>
      <c r="AO377" s="158">
        <f>IF(AO$2&lt;=analysis_period,IF(SUM($C719:AO719)&gt;0,AN377+1,0),0)</f>
        <v>0</v>
      </c>
      <c r="AP377" s="158">
        <f>IF(AP$2&lt;=analysis_period,IF(SUM($C719:AP719)&gt;0,AO377+1,0),0)</f>
        <v>0</v>
      </c>
    </row>
    <row r="378" spans="1:42" x14ac:dyDescent="0.2">
      <c r="A378" s="4">
        <f t="shared" si="148"/>
        <v>5</v>
      </c>
      <c r="B378" s="4">
        <v>0</v>
      </c>
      <c r="C378" s="158">
        <f>IF(C$2&lt;=analysis_period,IF(SUM($C720:C720)&gt;0,B378+1,0),0)</f>
        <v>0</v>
      </c>
      <c r="D378" s="158">
        <f>IF(D$2&lt;=analysis_period,IF(SUM($C720:D720)&gt;0,C378+1,0),0)</f>
        <v>0</v>
      </c>
      <c r="E378" s="158">
        <f>IF(E$2&lt;=analysis_period,IF(SUM($C720:E720)&gt;0,D378+1,0),0)</f>
        <v>0</v>
      </c>
      <c r="F378" s="158">
        <f>IF(F$2&lt;=analysis_period,IF(SUM($C720:F720)&gt;0,E378+1,0),0)</f>
        <v>0</v>
      </c>
      <c r="G378" s="158">
        <f>IF(G$2&lt;=analysis_period,IF(SUM($C720:G720)&gt;0,F378+1,0),0)</f>
        <v>0</v>
      </c>
      <c r="H378" s="158">
        <f>IF(H$2&lt;=analysis_period,IF(SUM($C720:H720)&gt;0,G378+1,0),0)</f>
        <v>0</v>
      </c>
      <c r="I378" s="158">
        <f>IF(I$2&lt;=analysis_period,IF(SUM($C720:I720)&gt;0,H378+1,0),0)</f>
        <v>0</v>
      </c>
      <c r="J378" s="158">
        <f>IF(J$2&lt;=analysis_period,IF(SUM($C720:J720)&gt;0,I378+1,0),0)</f>
        <v>0</v>
      </c>
      <c r="K378" s="158">
        <f>IF(K$2&lt;=analysis_period,IF(SUM($C720:K720)&gt;0,J378+1,0),0)</f>
        <v>0</v>
      </c>
      <c r="L378" s="158">
        <f>IF(L$2&lt;=analysis_period,IF(SUM($C720:L720)&gt;0,K378+1,0),0)</f>
        <v>0</v>
      </c>
      <c r="M378" s="158">
        <f>IF(M$2&lt;=analysis_period,IF(SUM($C720:M720)&gt;0,L378+1,0),0)</f>
        <v>0</v>
      </c>
      <c r="N378" s="158">
        <f>IF(N$2&lt;=analysis_period,IF(SUM($C720:N720)&gt;0,M378+1,0),0)</f>
        <v>0</v>
      </c>
      <c r="O378" s="158">
        <f>IF(O$2&lt;=analysis_period,IF(SUM($C720:O720)&gt;0,N378+1,0),0)</f>
        <v>0</v>
      </c>
      <c r="P378" s="158">
        <f>IF(P$2&lt;=analysis_period,IF(SUM($C720:P720)&gt;0,O378+1,0),0)</f>
        <v>0</v>
      </c>
      <c r="Q378" s="158">
        <f>IF(Q$2&lt;=analysis_period,IF(SUM($C720:Q720)&gt;0,P378+1,0),0)</f>
        <v>0</v>
      </c>
      <c r="R378" s="158">
        <f>IF(R$2&lt;=analysis_period,IF(SUM($C720:R720)&gt;0,Q378+1,0),0)</f>
        <v>0</v>
      </c>
      <c r="S378" s="158">
        <f>IF(S$2&lt;=analysis_period,IF(SUM($C720:S720)&gt;0,R378+1,0),0)</f>
        <v>0</v>
      </c>
      <c r="T378" s="158">
        <f>IF(T$2&lt;=analysis_period,IF(SUM($C720:T720)&gt;0,S378+1,0),0)</f>
        <v>0</v>
      </c>
      <c r="U378" s="158">
        <f>IF(U$2&lt;=analysis_period,IF(SUM($C720:U720)&gt;0,T378+1,0),0)</f>
        <v>0</v>
      </c>
      <c r="V378" s="158">
        <f>IF(V$2&lt;=analysis_period,IF(SUM($C720:V720)&gt;0,U378+1,0),0)</f>
        <v>0</v>
      </c>
      <c r="W378" s="158">
        <f>IF(W$2&lt;=analysis_period,IF(SUM($C720:W720)&gt;0,V378+1,0),0)</f>
        <v>0</v>
      </c>
      <c r="X378" s="158">
        <f>IF(X$2&lt;=analysis_period,IF(SUM($C720:X720)&gt;0,W378+1,0),0)</f>
        <v>0</v>
      </c>
      <c r="Y378" s="158">
        <f>IF(Y$2&lt;=analysis_period,IF(SUM($C720:Y720)&gt;0,X378+1,0),0)</f>
        <v>0</v>
      </c>
      <c r="Z378" s="158">
        <f>IF(Z$2&lt;=analysis_period,IF(SUM($C720:Z720)&gt;0,Y378+1,0),0)</f>
        <v>0</v>
      </c>
      <c r="AA378" s="158">
        <f>IF(AA$2&lt;=analysis_period,IF(SUM($C720:AA720)&gt;0,Z378+1,0),0)</f>
        <v>0</v>
      </c>
      <c r="AB378" s="158">
        <f>IF(AB$2&lt;=analysis_period,IF(SUM($C720:AB720)&gt;0,AA378+1,0),0)</f>
        <v>0</v>
      </c>
      <c r="AC378" s="158">
        <f>IF(AC$2&lt;=analysis_period,IF(SUM($C720:AC720)&gt;0,AB378+1,0),0)</f>
        <v>0</v>
      </c>
      <c r="AD378" s="158">
        <f>IF(AD$2&lt;=analysis_period,IF(SUM($C720:AD720)&gt;0,AC378+1,0),0)</f>
        <v>0</v>
      </c>
      <c r="AE378" s="158">
        <f>IF(AE$2&lt;=analysis_period,IF(SUM($C720:AE720)&gt;0,AD378+1,0),0)</f>
        <v>0</v>
      </c>
      <c r="AF378" s="158">
        <f>IF(AF$2&lt;=analysis_period,IF(SUM($C720:AF720)&gt;0,AE378+1,0),0)</f>
        <v>0</v>
      </c>
      <c r="AG378" s="158">
        <f>IF(AG$2&lt;=analysis_period,IF(SUM($C720:AG720)&gt;0,AF378+1,0),0)</f>
        <v>0</v>
      </c>
      <c r="AH378" s="158">
        <f>IF(AH$2&lt;=analysis_period,IF(SUM($C720:AH720)&gt;0,AG378+1,0),0)</f>
        <v>0</v>
      </c>
      <c r="AI378" s="158">
        <f>IF(AI$2&lt;=analysis_period,IF(SUM($C720:AI720)&gt;0,AH378+1,0),0)</f>
        <v>0</v>
      </c>
      <c r="AJ378" s="158">
        <f>IF(AJ$2&lt;=analysis_period,IF(SUM($C720:AJ720)&gt;0,AI378+1,0),0)</f>
        <v>0</v>
      </c>
      <c r="AK378" s="158">
        <f>IF(AK$2&lt;=analysis_period,IF(SUM($C720:AK720)&gt;0,AJ378+1,0),0)</f>
        <v>0</v>
      </c>
      <c r="AL378" s="158">
        <f>IF(AL$2&lt;=analysis_period,IF(SUM($C720:AL720)&gt;0,AK378+1,0),0)</f>
        <v>0</v>
      </c>
      <c r="AM378" s="158">
        <f>IF(AM$2&lt;=analysis_period,IF(SUM($C720:AM720)&gt;0,AL378+1,0),0)</f>
        <v>0</v>
      </c>
      <c r="AN378" s="158">
        <f>IF(AN$2&lt;=analysis_period,IF(SUM($C720:AN720)&gt;0,AM378+1,0),0)</f>
        <v>0</v>
      </c>
      <c r="AO378" s="158">
        <f>IF(AO$2&lt;=analysis_period,IF(SUM($C720:AO720)&gt;0,AN378+1,0),0)</f>
        <v>0</v>
      </c>
      <c r="AP378" s="158">
        <f>IF(AP$2&lt;=analysis_period,IF(SUM($C720:AP720)&gt;0,AO378+1,0),0)</f>
        <v>0</v>
      </c>
    </row>
    <row r="379" spans="1:42" x14ac:dyDescent="0.2">
      <c r="A379" s="4">
        <f t="shared" si="148"/>
        <v>6</v>
      </c>
      <c r="B379" s="4">
        <v>0</v>
      </c>
      <c r="C379" s="158">
        <f>IF(C$2&lt;=analysis_period,IF(SUM($C721:C721)&gt;0,B379+1,0),0)</f>
        <v>0</v>
      </c>
      <c r="D379" s="158">
        <f>IF(D$2&lt;=analysis_period,IF(SUM($C721:D721)&gt;0,C379+1,0),0)</f>
        <v>0</v>
      </c>
      <c r="E379" s="158">
        <f>IF(E$2&lt;=analysis_period,IF(SUM($C721:E721)&gt;0,D379+1,0),0)</f>
        <v>0</v>
      </c>
      <c r="F379" s="158">
        <f>IF(F$2&lt;=analysis_period,IF(SUM($C721:F721)&gt;0,E379+1,0),0)</f>
        <v>0</v>
      </c>
      <c r="G379" s="158">
        <f>IF(G$2&lt;=analysis_period,IF(SUM($C721:G721)&gt;0,F379+1,0),0)</f>
        <v>0</v>
      </c>
      <c r="H379" s="158">
        <f>IF(H$2&lt;=analysis_period,IF(SUM($C721:H721)&gt;0,G379+1,0),0)</f>
        <v>0</v>
      </c>
      <c r="I379" s="158">
        <f>IF(I$2&lt;=analysis_period,IF(SUM($C721:I721)&gt;0,H379+1,0),0)</f>
        <v>0</v>
      </c>
      <c r="J379" s="158">
        <f>IF(J$2&lt;=analysis_period,IF(SUM($C721:J721)&gt;0,I379+1,0),0)</f>
        <v>0</v>
      </c>
      <c r="K379" s="158">
        <f>IF(K$2&lt;=analysis_period,IF(SUM($C721:K721)&gt;0,J379+1,0),0)</f>
        <v>0</v>
      </c>
      <c r="L379" s="158">
        <f>IF(L$2&lt;=analysis_period,IF(SUM($C721:L721)&gt;0,K379+1,0),0)</f>
        <v>0</v>
      </c>
      <c r="M379" s="158">
        <f>IF(M$2&lt;=analysis_period,IF(SUM($C721:M721)&gt;0,L379+1,0),0)</f>
        <v>0</v>
      </c>
      <c r="N379" s="158">
        <f>IF(N$2&lt;=analysis_period,IF(SUM($C721:N721)&gt;0,M379+1,0),0)</f>
        <v>0</v>
      </c>
      <c r="O379" s="158">
        <f>IF(O$2&lt;=analysis_period,IF(SUM($C721:O721)&gt;0,N379+1,0),0)</f>
        <v>0</v>
      </c>
      <c r="P379" s="158">
        <f>IF(P$2&lt;=analysis_period,IF(SUM($C721:P721)&gt;0,O379+1,0),0)</f>
        <v>0</v>
      </c>
      <c r="Q379" s="158">
        <f>IF(Q$2&lt;=analysis_period,IF(SUM($C721:Q721)&gt;0,P379+1,0),0)</f>
        <v>0</v>
      </c>
      <c r="R379" s="158">
        <f>IF(R$2&lt;=analysis_period,IF(SUM($C721:R721)&gt;0,Q379+1,0),0)</f>
        <v>0</v>
      </c>
      <c r="S379" s="158">
        <f>IF(S$2&lt;=analysis_period,IF(SUM($C721:S721)&gt;0,R379+1,0),0)</f>
        <v>0</v>
      </c>
      <c r="T379" s="158">
        <f>IF(T$2&lt;=analysis_period,IF(SUM($C721:T721)&gt;0,S379+1,0),0)</f>
        <v>0</v>
      </c>
      <c r="U379" s="158">
        <f>IF(U$2&lt;=analysis_period,IF(SUM($C721:U721)&gt;0,T379+1,0),0)</f>
        <v>0</v>
      </c>
      <c r="V379" s="158">
        <f>IF(V$2&lt;=analysis_period,IF(SUM($C721:V721)&gt;0,U379+1,0),0)</f>
        <v>0</v>
      </c>
      <c r="W379" s="158">
        <f>IF(W$2&lt;=analysis_period,IF(SUM($C721:W721)&gt;0,V379+1,0),0)</f>
        <v>0</v>
      </c>
      <c r="X379" s="158">
        <f>IF(X$2&lt;=analysis_period,IF(SUM($C721:X721)&gt;0,W379+1,0),0)</f>
        <v>0</v>
      </c>
      <c r="Y379" s="158">
        <f>IF(Y$2&lt;=analysis_period,IF(SUM($C721:Y721)&gt;0,X379+1,0),0)</f>
        <v>0</v>
      </c>
      <c r="Z379" s="158">
        <f>IF(Z$2&lt;=analysis_period,IF(SUM($C721:Z721)&gt;0,Y379+1,0),0)</f>
        <v>0</v>
      </c>
      <c r="AA379" s="158">
        <f>IF(AA$2&lt;=analysis_period,IF(SUM($C721:AA721)&gt;0,Z379+1,0),0)</f>
        <v>0</v>
      </c>
      <c r="AB379" s="158">
        <f>IF(AB$2&lt;=analysis_period,IF(SUM($C721:AB721)&gt;0,AA379+1,0),0)</f>
        <v>0</v>
      </c>
      <c r="AC379" s="158">
        <f>IF(AC$2&lt;=analysis_period,IF(SUM($C721:AC721)&gt;0,AB379+1,0),0)</f>
        <v>0</v>
      </c>
      <c r="AD379" s="158">
        <f>IF(AD$2&lt;=analysis_period,IF(SUM($C721:AD721)&gt;0,AC379+1,0),0)</f>
        <v>0</v>
      </c>
      <c r="AE379" s="158">
        <f>IF(AE$2&lt;=analysis_period,IF(SUM($C721:AE721)&gt;0,AD379+1,0),0)</f>
        <v>0</v>
      </c>
      <c r="AF379" s="158">
        <f>IF(AF$2&lt;=analysis_period,IF(SUM($C721:AF721)&gt;0,AE379+1,0),0)</f>
        <v>0</v>
      </c>
      <c r="AG379" s="158">
        <f>IF(AG$2&lt;=analysis_period,IF(SUM($C721:AG721)&gt;0,AF379+1,0),0)</f>
        <v>0</v>
      </c>
      <c r="AH379" s="158">
        <f>IF(AH$2&lt;=analysis_period,IF(SUM($C721:AH721)&gt;0,AG379+1,0),0)</f>
        <v>0</v>
      </c>
      <c r="AI379" s="158">
        <f>IF(AI$2&lt;=analysis_period,IF(SUM($C721:AI721)&gt;0,AH379+1,0),0)</f>
        <v>0</v>
      </c>
      <c r="AJ379" s="158">
        <f>IF(AJ$2&lt;=analysis_period,IF(SUM($C721:AJ721)&gt;0,AI379+1,0),0)</f>
        <v>0</v>
      </c>
      <c r="AK379" s="158">
        <f>IF(AK$2&lt;=analysis_period,IF(SUM($C721:AK721)&gt;0,AJ379+1,0),0)</f>
        <v>0</v>
      </c>
      <c r="AL379" s="158">
        <f>IF(AL$2&lt;=analysis_period,IF(SUM($C721:AL721)&gt;0,AK379+1,0),0)</f>
        <v>0</v>
      </c>
      <c r="AM379" s="158">
        <f>IF(AM$2&lt;=analysis_period,IF(SUM($C721:AM721)&gt;0,AL379+1,0),0)</f>
        <v>0</v>
      </c>
      <c r="AN379" s="158">
        <f>IF(AN$2&lt;=analysis_period,IF(SUM($C721:AN721)&gt;0,AM379+1,0),0)</f>
        <v>0</v>
      </c>
      <c r="AO379" s="158">
        <f>IF(AO$2&lt;=analysis_period,IF(SUM($C721:AO721)&gt;0,AN379+1,0),0)</f>
        <v>0</v>
      </c>
      <c r="AP379" s="158">
        <f>IF(AP$2&lt;=analysis_period,IF(SUM($C721:AP721)&gt;0,AO379+1,0),0)</f>
        <v>0</v>
      </c>
    </row>
    <row r="380" spans="1:42" x14ac:dyDescent="0.2">
      <c r="A380" s="4">
        <f t="shared" si="148"/>
        <v>7</v>
      </c>
      <c r="B380" s="4">
        <v>0</v>
      </c>
      <c r="C380" s="158">
        <f>IF(C$2&lt;=analysis_period,IF(SUM($C722:C722)&gt;0,B380+1,0),0)</f>
        <v>0</v>
      </c>
      <c r="D380" s="158">
        <f>IF(D$2&lt;=analysis_period,IF(SUM($C722:D722)&gt;0,C380+1,0),0)</f>
        <v>0</v>
      </c>
      <c r="E380" s="158">
        <f>IF(E$2&lt;=analysis_period,IF(SUM($C722:E722)&gt;0,D380+1,0),0)</f>
        <v>0</v>
      </c>
      <c r="F380" s="158">
        <f>IF(F$2&lt;=analysis_period,IF(SUM($C722:F722)&gt;0,E380+1,0),0)</f>
        <v>0</v>
      </c>
      <c r="G380" s="158">
        <f>IF(G$2&lt;=analysis_period,IF(SUM($C722:G722)&gt;0,F380+1,0),0)</f>
        <v>0</v>
      </c>
      <c r="H380" s="158">
        <f>IF(H$2&lt;=analysis_period,IF(SUM($C722:H722)&gt;0,G380+1,0),0)</f>
        <v>0</v>
      </c>
      <c r="I380" s="158">
        <f>IF(I$2&lt;=analysis_period,IF(SUM($C722:I722)&gt;0,H380+1,0),0)</f>
        <v>0</v>
      </c>
      <c r="J380" s="158">
        <f>IF(J$2&lt;=analysis_period,IF(SUM($C722:J722)&gt;0,I380+1,0),0)</f>
        <v>0</v>
      </c>
      <c r="K380" s="158">
        <f>IF(K$2&lt;=analysis_period,IF(SUM($C722:K722)&gt;0,J380+1,0),0)</f>
        <v>0</v>
      </c>
      <c r="L380" s="158">
        <f>IF(L$2&lt;=analysis_period,IF(SUM($C722:L722)&gt;0,K380+1,0),0)</f>
        <v>0</v>
      </c>
      <c r="M380" s="158">
        <f>IF(M$2&lt;=analysis_period,IF(SUM($C722:M722)&gt;0,L380+1,0),0)</f>
        <v>0</v>
      </c>
      <c r="N380" s="158">
        <f>IF(N$2&lt;=analysis_period,IF(SUM($C722:N722)&gt;0,M380+1,0),0)</f>
        <v>0</v>
      </c>
      <c r="O380" s="158">
        <f>IF(O$2&lt;=analysis_period,IF(SUM($C722:O722)&gt;0,N380+1,0),0)</f>
        <v>0</v>
      </c>
      <c r="P380" s="158">
        <f>IF(P$2&lt;=analysis_period,IF(SUM($C722:P722)&gt;0,O380+1,0),0)</f>
        <v>0</v>
      </c>
      <c r="Q380" s="158">
        <f>IF(Q$2&lt;=analysis_period,IF(SUM($C722:Q722)&gt;0,P380+1,0),0)</f>
        <v>0</v>
      </c>
      <c r="R380" s="158">
        <f>IF(R$2&lt;=analysis_period,IF(SUM($C722:R722)&gt;0,Q380+1,0),0)</f>
        <v>0</v>
      </c>
      <c r="S380" s="158">
        <f>IF(S$2&lt;=analysis_period,IF(SUM($C722:S722)&gt;0,R380+1,0),0)</f>
        <v>0</v>
      </c>
      <c r="T380" s="158">
        <f>IF(T$2&lt;=analysis_period,IF(SUM($C722:T722)&gt;0,S380+1,0),0)</f>
        <v>0</v>
      </c>
      <c r="U380" s="158">
        <f>IF(U$2&lt;=analysis_period,IF(SUM($C722:U722)&gt;0,T380+1,0),0)</f>
        <v>0</v>
      </c>
      <c r="V380" s="158">
        <f>IF(V$2&lt;=analysis_period,IF(SUM($C722:V722)&gt;0,U380+1,0),0)</f>
        <v>0</v>
      </c>
      <c r="W380" s="158">
        <f>IF(W$2&lt;=analysis_period,IF(SUM($C722:W722)&gt;0,V380+1,0),0)</f>
        <v>0</v>
      </c>
      <c r="X380" s="158">
        <f>IF(X$2&lt;=analysis_period,IF(SUM($C722:X722)&gt;0,W380+1,0),0)</f>
        <v>0</v>
      </c>
      <c r="Y380" s="158">
        <f>IF(Y$2&lt;=analysis_period,IF(SUM($C722:Y722)&gt;0,X380+1,0),0)</f>
        <v>0</v>
      </c>
      <c r="Z380" s="158">
        <f>IF(Z$2&lt;=analysis_period,IF(SUM($C722:Z722)&gt;0,Y380+1,0),0)</f>
        <v>0</v>
      </c>
      <c r="AA380" s="158">
        <f>IF(AA$2&lt;=analysis_period,IF(SUM($C722:AA722)&gt;0,Z380+1,0),0)</f>
        <v>0</v>
      </c>
      <c r="AB380" s="158">
        <f>IF(AB$2&lt;=analysis_period,IF(SUM($C722:AB722)&gt;0,AA380+1,0),0)</f>
        <v>0</v>
      </c>
      <c r="AC380" s="158">
        <f>IF(AC$2&lt;=analysis_period,IF(SUM($C722:AC722)&gt;0,AB380+1,0),0)</f>
        <v>0</v>
      </c>
      <c r="AD380" s="158">
        <f>IF(AD$2&lt;=analysis_period,IF(SUM($C722:AD722)&gt;0,AC380+1,0),0)</f>
        <v>0</v>
      </c>
      <c r="AE380" s="158">
        <f>IF(AE$2&lt;=analysis_period,IF(SUM($C722:AE722)&gt;0,AD380+1,0),0)</f>
        <v>0</v>
      </c>
      <c r="AF380" s="158">
        <f>IF(AF$2&lt;=analysis_period,IF(SUM($C722:AF722)&gt;0,AE380+1,0),0)</f>
        <v>0</v>
      </c>
      <c r="AG380" s="158">
        <f>IF(AG$2&lt;=analysis_period,IF(SUM($C722:AG722)&gt;0,AF380+1,0),0)</f>
        <v>0</v>
      </c>
      <c r="AH380" s="158">
        <f>IF(AH$2&lt;=analysis_period,IF(SUM($C722:AH722)&gt;0,AG380+1,0),0)</f>
        <v>0</v>
      </c>
      <c r="AI380" s="158">
        <f>IF(AI$2&lt;=analysis_period,IF(SUM($C722:AI722)&gt;0,AH380+1,0),0)</f>
        <v>0</v>
      </c>
      <c r="AJ380" s="158">
        <f>IF(AJ$2&lt;=analysis_period,IF(SUM($C722:AJ722)&gt;0,AI380+1,0),0)</f>
        <v>0</v>
      </c>
      <c r="AK380" s="158">
        <f>IF(AK$2&lt;=analysis_period,IF(SUM($C722:AK722)&gt;0,AJ380+1,0),0)</f>
        <v>0</v>
      </c>
      <c r="AL380" s="158">
        <f>IF(AL$2&lt;=analysis_period,IF(SUM($C722:AL722)&gt;0,AK380+1,0),0)</f>
        <v>0</v>
      </c>
      <c r="AM380" s="158">
        <f>IF(AM$2&lt;=analysis_period,IF(SUM($C722:AM722)&gt;0,AL380+1,0),0)</f>
        <v>0</v>
      </c>
      <c r="AN380" s="158">
        <f>IF(AN$2&lt;=analysis_period,IF(SUM($C722:AN722)&gt;0,AM380+1,0),0)</f>
        <v>0</v>
      </c>
      <c r="AO380" s="158">
        <f>IF(AO$2&lt;=analysis_period,IF(SUM($C722:AO722)&gt;0,AN380+1,0),0)</f>
        <v>0</v>
      </c>
      <c r="AP380" s="158">
        <f>IF(AP$2&lt;=analysis_period,IF(SUM($C722:AP722)&gt;0,AO380+1,0),0)</f>
        <v>0</v>
      </c>
    </row>
    <row r="381" spans="1:42" x14ac:dyDescent="0.2">
      <c r="A381" s="4">
        <f t="shared" si="148"/>
        <v>8</v>
      </c>
      <c r="B381" s="4">
        <v>0</v>
      </c>
      <c r="C381" s="158">
        <f>IF(C$2&lt;=analysis_period,IF(SUM($C723:C723)&gt;0,B381+1,0),0)</f>
        <v>0</v>
      </c>
      <c r="D381" s="158">
        <f>IF(D$2&lt;=analysis_period,IF(SUM($C723:D723)&gt;0,C381+1,0),0)</f>
        <v>0</v>
      </c>
      <c r="E381" s="158">
        <f>IF(E$2&lt;=analysis_period,IF(SUM($C723:E723)&gt;0,D381+1,0),0)</f>
        <v>0</v>
      </c>
      <c r="F381" s="158">
        <f>IF(F$2&lt;=analysis_period,IF(SUM($C723:F723)&gt;0,E381+1,0),0)</f>
        <v>0</v>
      </c>
      <c r="G381" s="158">
        <f>IF(G$2&lt;=analysis_period,IF(SUM($C723:G723)&gt;0,F381+1,0),0)</f>
        <v>0</v>
      </c>
      <c r="H381" s="158">
        <f>IF(H$2&lt;=analysis_period,IF(SUM($C723:H723)&gt;0,G381+1,0),0)</f>
        <v>0</v>
      </c>
      <c r="I381" s="158">
        <f>IF(I$2&lt;=analysis_period,IF(SUM($C723:I723)&gt;0,H381+1,0),0)</f>
        <v>0</v>
      </c>
      <c r="J381" s="158">
        <f>IF(J$2&lt;=analysis_period,IF(SUM($C723:J723)&gt;0,I381+1,0),0)</f>
        <v>0</v>
      </c>
      <c r="K381" s="158">
        <f>IF(K$2&lt;=analysis_period,IF(SUM($C723:K723)&gt;0,J381+1,0),0)</f>
        <v>0</v>
      </c>
      <c r="L381" s="158">
        <f>IF(L$2&lt;=analysis_period,IF(SUM($C723:L723)&gt;0,K381+1,0),0)</f>
        <v>0</v>
      </c>
      <c r="M381" s="158">
        <f>IF(M$2&lt;=analysis_period,IF(SUM($C723:M723)&gt;0,L381+1,0),0)</f>
        <v>0</v>
      </c>
      <c r="N381" s="158">
        <f>IF(N$2&lt;=analysis_period,IF(SUM($C723:N723)&gt;0,M381+1,0),0)</f>
        <v>0</v>
      </c>
      <c r="O381" s="158">
        <f>IF(O$2&lt;=analysis_period,IF(SUM($C723:O723)&gt;0,N381+1,0),0)</f>
        <v>0</v>
      </c>
      <c r="P381" s="158">
        <f>IF(P$2&lt;=analysis_period,IF(SUM($C723:P723)&gt;0,O381+1,0),0)</f>
        <v>0</v>
      </c>
      <c r="Q381" s="158">
        <f>IF(Q$2&lt;=analysis_period,IF(SUM($C723:Q723)&gt;0,P381+1,0),0)</f>
        <v>0</v>
      </c>
      <c r="R381" s="158">
        <f>IF(R$2&lt;=analysis_period,IF(SUM($C723:R723)&gt;0,Q381+1,0),0)</f>
        <v>0</v>
      </c>
      <c r="S381" s="158">
        <f>IF(S$2&lt;=analysis_period,IF(SUM($C723:S723)&gt;0,R381+1,0),0)</f>
        <v>0</v>
      </c>
      <c r="T381" s="158">
        <f>IF(T$2&lt;=analysis_period,IF(SUM($C723:T723)&gt;0,S381+1,0),0)</f>
        <v>0</v>
      </c>
      <c r="U381" s="158">
        <f>IF(U$2&lt;=analysis_period,IF(SUM($C723:U723)&gt;0,T381+1,0),0)</f>
        <v>0</v>
      </c>
      <c r="V381" s="158">
        <f>IF(V$2&lt;=analysis_period,IF(SUM($C723:V723)&gt;0,U381+1,0),0)</f>
        <v>0</v>
      </c>
      <c r="W381" s="158">
        <f>IF(W$2&lt;=analysis_period,IF(SUM($C723:W723)&gt;0,V381+1,0),0)</f>
        <v>0</v>
      </c>
      <c r="X381" s="158">
        <f>IF(X$2&lt;=analysis_period,IF(SUM($C723:X723)&gt;0,W381+1,0),0)</f>
        <v>0</v>
      </c>
      <c r="Y381" s="158">
        <f>IF(Y$2&lt;=analysis_period,IF(SUM($C723:Y723)&gt;0,X381+1,0),0)</f>
        <v>0</v>
      </c>
      <c r="Z381" s="158">
        <f>IF(Z$2&lt;=analysis_period,IF(SUM($C723:Z723)&gt;0,Y381+1,0),0)</f>
        <v>0</v>
      </c>
      <c r="AA381" s="158">
        <f>IF(AA$2&lt;=analysis_period,IF(SUM($C723:AA723)&gt;0,Z381+1,0),0)</f>
        <v>0</v>
      </c>
      <c r="AB381" s="158">
        <f>IF(AB$2&lt;=analysis_period,IF(SUM($C723:AB723)&gt;0,AA381+1,0),0)</f>
        <v>0</v>
      </c>
      <c r="AC381" s="158">
        <f>IF(AC$2&lt;=analysis_period,IF(SUM($C723:AC723)&gt;0,AB381+1,0),0)</f>
        <v>0</v>
      </c>
      <c r="AD381" s="158">
        <f>IF(AD$2&lt;=analysis_period,IF(SUM($C723:AD723)&gt;0,AC381+1,0),0)</f>
        <v>0</v>
      </c>
      <c r="AE381" s="158">
        <f>IF(AE$2&lt;=analysis_period,IF(SUM($C723:AE723)&gt;0,AD381+1,0),0)</f>
        <v>0</v>
      </c>
      <c r="AF381" s="158">
        <f>IF(AF$2&lt;=analysis_period,IF(SUM($C723:AF723)&gt;0,AE381+1,0),0)</f>
        <v>0</v>
      </c>
      <c r="AG381" s="158">
        <f>IF(AG$2&lt;=analysis_period,IF(SUM($C723:AG723)&gt;0,AF381+1,0),0)</f>
        <v>0</v>
      </c>
      <c r="AH381" s="158">
        <f>IF(AH$2&lt;=analysis_period,IF(SUM($C723:AH723)&gt;0,AG381+1,0),0)</f>
        <v>0</v>
      </c>
      <c r="AI381" s="158">
        <f>IF(AI$2&lt;=analysis_period,IF(SUM($C723:AI723)&gt;0,AH381+1,0),0)</f>
        <v>0</v>
      </c>
      <c r="AJ381" s="158">
        <f>IF(AJ$2&lt;=analysis_period,IF(SUM($C723:AJ723)&gt;0,AI381+1,0),0)</f>
        <v>0</v>
      </c>
      <c r="AK381" s="158">
        <f>IF(AK$2&lt;=analysis_period,IF(SUM($C723:AK723)&gt;0,AJ381+1,0),0)</f>
        <v>0</v>
      </c>
      <c r="AL381" s="158">
        <f>IF(AL$2&lt;=analysis_period,IF(SUM($C723:AL723)&gt;0,AK381+1,0),0)</f>
        <v>0</v>
      </c>
      <c r="AM381" s="158">
        <f>IF(AM$2&lt;=analysis_period,IF(SUM($C723:AM723)&gt;0,AL381+1,0),0)</f>
        <v>0</v>
      </c>
      <c r="AN381" s="158">
        <f>IF(AN$2&lt;=analysis_period,IF(SUM($C723:AN723)&gt;0,AM381+1,0),0)</f>
        <v>0</v>
      </c>
      <c r="AO381" s="158">
        <f>IF(AO$2&lt;=analysis_period,IF(SUM($C723:AO723)&gt;0,AN381+1,0),0)</f>
        <v>0</v>
      </c>
      <c r="AP381" s="158">
        <f>IF(AP$2&lt;=analysis_period,IF(SUM($C723:AP723)&gt;0,AO381+1,0),0)</f>
        <v>0</v>
      </c>
    </row>
    <row r="382" spans="1:42" x14ac:dyDescent="0.2">
      <c r="A382" s="4">
        <f>A381+1</f>
        <v>9</v>
      </c>
      <c r="B382" s="4">
        <v>0</v>
      </c>
      <c r="C382" s="158">
        <f>IF(C$2&lt;=analysis_period,IF(SUM($C724:C724)&gt;0,B382+1,0),0)</f>
        <v>0</v>
      </c>
      <c r="D382" s="158">
        <f>IF(D$2&lt;=analysis_period,IF(SUM($C724:D724)&gt;0,C382+1,0),0)</f>
        <v>0</v>
      </c>
      <c r="E382" s="158">
        <f>IF(E$2&lt;=analysis_period,IF(SUM($C724:E724)&gt;0,D382+1,0),0)</f>
        <v>0</v>
      </c>
      <c r="F382" s="158">
        <f>IF(F$2&lt;=analysis_period,IF(SUM($C724:F724)&gt;0,E382+1,0),0)</f>
        <v>0</v>
      </c>
      <c r="G382" s="158">
        <f>IF(G$2&lt;=analysis_period,IF(SUM($C724:G724)&gt;0,F382+1,0),0)</f>
        <v>0</v>
      </c>
      <c r="H382" s="158">
        <f>IF(H$2&lt;=analysis_period,IF(SUM($C724:H724)&gt;0,G382+1,0),0)</f>
        <v>0</v>
      </c>
      <c r="I382" s="158">
        <f>IF(I$2&lt;=analysis_period,IF(SUM($C724:I724)&gt;0,H382+1,0),0)</f>
        <v>0</v>
      </c>
      <c r="J382" s="158">
        <f>IF(J$2&lt;=analysis_period,IF(SUM($C724:J724)&gt;0,I382+1,0),0)</f>
        <v>0</v>
      </c>
      <c r="K382" s="158">
        <f>IF(K$2&lt;=analysis_period,IF(SUM($C724:K724)&gt;0,J382+1,0),0)</f>
        <v>0</v>
      </c>
      <c r="L382" s="158">
        <f>IF(L$2&lt;=analysis_period,IF(SUM($C724:L724)&gt;0,K382+1,0),0)</f>
        <v>0</v>
      </c>
      <c r="M382" s="158">
        <f>IF(M$2&lt;=analysis_period,IF(SUM($C724:M724)&gt;0,L382+1,0),0)</f>
        <v>0</v>
      </c>
      <c r="N382" s="158">
        <f>IF(N$2&lt;=analysis_period,IF(SUM($C724:N724)&gt;0,M382+1,0),0)</f>
        <v>0</v>
      </c>
      <c r="O382" s="158">
        <f>IF(O$2&lt;=analysis_period,IF(SUM($C724:O724)&gt;0,N382+1,0),0)</f>
        <v>0</v>
      </c>
      <c r="P382" s="158">
        <f>IF(P$2&lt;=analysis_period,IF(SUM($C724:P724)&gt;0,O382+1,0),0)</f>
        <v>0</v>
      </c>
      <c r="Q382" s="158">
        <f>IF(Q$2&lt;=analysis_period,IF(SUM($C724:Q724)&gt;0,P382+1,0),0)</f>
        <v>0</v>
      </c>
      <c r="R382" s="158">
        <f>IF(R$2&lt;=analysis_period,IF(SUM($C724:R724)&gt;0,Q382+1,0),0)</f>
        <v>0</v>
      </c>
      <c r="S382" s="158">
        <f>IF(S$2&lt;=analysis_period,IF(SUM($C724:S724)&gt;0,R382+1,0),0)</f>
        <v>0</v>
      </c>
      <c r="T382" s="158">
        <f>IF(T$2&lt;=analysis_period,IF(SUM($C724:T724)&gt;0,S382+1,0),0)</f>
        <v>0</v>
      </c>
      <c r="U382" s="158">
        <f>IF(U$2&lt;=analysis_period,IF(SUM($C724:U724)&gt;0,T382+1,0),0)</f>
        <v>0</v>
      </c>
      <c r="V382" s="158">
        <f>IF(V$2&lt;=analysis_period,IF(SUM($C724:V724)&gt;0,U382+1,0),0)</f>
        <v>0</v>
      </c>
      <c r="W382" s="158">
        <f>IF(W$2&lt;=analysis_period,IF(SUM($C724:W724)&gt;0,V382+1,0),0)</f>
        <v>0</v>
      </c>
      <c r="X382" s="158">
        <f>IF(X$2&lt;=analysis_period,IF(SUM($C724:X724)&gt;0,W382+1,0),0)</f>
        <v>0</v>
      </c>
      <c r="Y382" s="158">
        <f>IF(Y$2&lt;=analysis_period,IF(SUM($C724:Y724)&gt;0,X382+1,0),0)</f>
        <v>0</v>
      </c>
      <c r="Z382" s="158">
        <f>IF(Z$2&lt;=analysis_period,IF(SUM($C724:Z724)&gt;0,Y382+1,0),0)</f>
        <v>0</v>
      </c>
      <c r="AA382" s="158">
        <f>IF(AA$2&lt;=analysis_period,IF(SUM($C724:AA724)&gt;0,Z382+1,0),0)</f>
        <v>0</v>
      </c>
      <c r="AB382" s="158">
        <f>IF(AB$2&lt;=analysis_period,IF(SUM($C724:AB724)&gt;0,AA382+1,0),0)</f>
        <v>0</v>
      </c>
      <c r="AC382" s="158">
        <f>IF(AC$2&lt;=analysis_period,IF(SUM($C724:AC724)&gt;0,AB382+1,0),0)</f>
        <v>0</v>
      </c>
      <c r="AD382" s="158">
        <f>IF(AD$2&lt;=analysis_period,IF(SUM($C724:AD724)&gt;0,AC382+1,0),0)</f>
        <v>0</v>
      </c>
      <c r="AE382" s="158">
        <f>IF(AE$2&lt;=analysis_period,IF(SUM($C724:AE724)&gt;0,AD382+1,0),0)</f>
        <v>0</v>
      </c>
      <c r="AF382" s="158">
        <f>IF(AF$2&lt;=analysis_period,IF(SUM($C724:AF724)&gt;0,AE382+1,0),0)</f>
        <v>0</v>
      </c>
      <c r="AG382" s="158">
        <f>IF(AG$2&lt;=analysis_period,IF(SUM($C724:AG724)&gt;0,AF382+1,0),0)</f>
        <v>0</v>
      </c>
      <c r="AH382" s="158">
        <f>IF(AH$2&lt;=analysis_period,IF(SUM($C724:AH724)&gt;0,AG382+1,0),0)</f>
        <v>0</v>
      </c>
      <c r="AI382" s="158">
        <f>IF(AI$2&lt;=analysis_period,IF(SUM($C724:AI724)&gt;0,AH382+1,0),0)</f>
        <v>0</v>
      </c>
      <c r="AJ382" s="158">
        <f>IF(AJ$2&lt;=analysis_period,IF(SUM($C724:AJ724)&gt;0,AI382+1,0),0)</f>
        <v>0</v>
      </c>
      <c r="AK382" s="158">
        <f>IF(AK$2&lt;=analysis_period,IF(SUM($C724:AK724)&gt;0,AJ382+1,0),0)</f>
        <v>0</v>
      </c>
      <c r="AL382" s="158">
        <f>IF(AL$2&lt;=analysis_period,IF(SUM($C724:AL724)&gt;0,AK382+1,0),0)</f>
        <v>0</v>
      </c>
      <c r="AM382" s="158">
        <f>IF(AM$2&lt;=analysis_period,IF(SUM($C724:AM724)&gt;0,AL382+1,0),0)</f>
        <v>0</v>
      </c>
      <c r="AN382" s="158">
        <f>IF(AN$2&lt;=analysis_period,IF(SUM($C724:AN724)&gt;0,AM382+1,0),0)</f>
        <v>0</v>
      </c>
      <c r="AO382" s="158">
        <f>IF(AO$2&lt;=analysis_period,IF(SUM($C724:AO724)&gt;0,AN382+1,0),0)</f>
        <v>0</v>
      </c>
      <c r="AP382" s="158">
        <f>IF(AP$2&lt;=analysis_period,IF(SUM($C724:AP724)&gt;0,AO382+1,0),0)</f>
        <v>0</v>
      </c>
    </row>
    <row r="383" spans="1:42" x14ac:dyDescent="0.2">
      <c r="A383" s="4">
        <f t="shared" si="148"/>
        <v>10</v>
      </c>
      <c r="B383" s="4">
        <v>0</v>
      </c>
      <c r="C383" s="158">
        <f>IF(C$2&lt;=analysis_period,IF(SUM($C725:C725)&gt;0,B383+1,0),0)</f>
        <v>0</v>
      </c>
      <c r="D383" s="158">
        <f>IF(D$2&lt;=analysis_period,IF(SUM($C725:D725)&gt;0,C383+1,0),0)</f>
        <v>0</v>
      </c>
      <c r="E383" s="158">
        <f>IF(E$2&lt;=analysis_period,IF(SUM($C725:E725)&gt;0,D383+1,0),0)</f>
        <v>0</v>
      </c>
      <c r="F383" s="158">
        <f>IF(F$2&lt;=analysis_period,IF(SUM($C725:F725)&gt;0,E383+1,0),0)</f>
        <v>0</v>
      </c>
      <c r="G383" s="158">
        <f>IF(G$2&lt;=analysis_period,IF(SUM($C725:G725)&gt;0,F383+1,0),0)</f>
        <v>0</v>
      </c>
      <c r="H383" s="158">
        <f>IF(H$2&lt;=analysis_period,IF(SUM($C725:H725)&gt;0,G383+1,0),0)</f>
        <v>0</v>
      </c>
      <c r="I383" s="158">
        <f>IF(I$2&lt;=analysis_period,IF(SUM($C725:I725)&gt;0,H383+1,0),0)</f>
        <v>0</v>
      </c>
      <c r="J383" s="158">
        <f>IF(J$2&lt;=analysis_period,IF(SUM($C725:J725)&gt;0,I383+1,0),0)</f>
        <v>0</v>
      </c>
      <c r="K383" s="158">
        <f>IF(K$2&lt;=analysis_period,IF(SUM($C725:K725)&gt;0,J383+1,0),0)</f>
        <v>0</v>
      </c>
      <c r="L383" s="158">
        <f>IF(L$2&lt;=analysis_period,IF(SUM($C725:L725)&gt;0,K383+1,0),0)</f>
        <v>0</v>
      </c>
      <c r="M383" s="158">
        <f>IF(M$2&lt;=analysis_period,IF(SUM($C725:M725)&gt;0,L383+1,0),0)</f>
        <v>0</v>
      </c>
      <c r="N383" s="158">
        <f>IF(N$2&lt;=analysis_period,IF(SUM($C725:N725)&gt;0,M383+1,0),0)</f>
        <v>0</v>
      </c>
      <c r="O383" s="158">
        <f>IF(O$2&lt;=analysis_period,IF(SUM($C725:O725)&gt;0,N383+1,0),0)</f>
        <v>0</v>
      </c>
      <c r="P383" s="158">
        <f>IF(P$2&lt;=analysis_period,IF(SUM($C725:P725)&gt;0,O383+1,0),0)</f>
        <v>0</v>
      </c>
      <c r="Q383" s="158">
        <f>IF(Q$2&lt;=analysis_period,IF(SUM($C725:Q725)&gt;0,P383+1,0),0)</f>
        <v>0</v>
      </c>
      <c r="R383" s="158">
        <f>IF(R$2&lt;=analysis_period,IF(SUM($C725:R725)&gt;0,Q383+1,0),0)</f>
        <v>0</v>
      </c>
      <c r="S383" s="158">
        <f>IF(S$2&lt;=analysis_period,IF(SUM($C725:S725)&gt;0,R383+1,0),0)</f>
        <v>0</v>
      </c>
      <c r="T383" s="158">
        <f>IF(T$2&lt;=analysis_period,IF(SUM($C725:T725)&gt;0,S383+1,0),0)</f>
        <v>0</v>
      </c>
      <c r="U383" s="158">
        <f>IF(U$2&lt;=analysis_period,IF(SUM($C725:U725)&gt;0,T383+1,0),0)</f>
        <v>0</v>
      </c>
      <c r="V383" s="158">
        <f>IF(V$2&lt;=analysis_period,IF(SUM($C725:V725)&gt;0,U383+1,0),0)</f>
        <v>0</v>
      </c>
      <c r="W383" s="158">
        <f>IF(W$2&lt;=analysis_period,IF(SUM($C725:W725)&gt;0,V383+1,0),0)</f>
        <v>0</v>
      </c>
      <c r="X383" s="158">
        <f>IF(X$2&lt;=analysis_period,IF(SUM($C725:X725)&gt;0,W383+1,0),0)</f>
        <v>0</v>
      </c>
      <c r="Y383" s="158">
        <f>IF(Y$2&lt;=analysis_period,IF(SUM($C725:Y725)&gt;0,X383+1,0),0)</f>
        <v>0</v>
      </c>
      <c r="Z383" s="158">
        <f>IF(Z$2&lt;=analysis_period,IF(SUM($C725:Z725)&gt;0,Y383+1,0),0)</f>
        <v>0</v>
      </c>
      <c r="AA383" s="158">
        <f>IF(AA$2&lt;=analysis_period,IF(SUM($C725:AA725)&gt;0,Z383+1,0),0)</f>
        <v>0</v>
      </c>
      <c r="AB383" s="158">
        <f>IF(AB$2&lt;=analysis_period,IF(SUM($C725:AB725)&gt;0,AA383+1,0),0)</f>
        <v>0</v>
      </c>
      <c r="AC383" s="158">
        <f>IF(AC$2&lt;=analysis_period,IF(SUM($C725:AC725)&gt;0,AB383+1,0),0)</f>
        <v>0</v>
      </c>
      <c r="AD383" s="158">
        <f>IF(AD$2&lt;=analysis_period,IF(SUM($C725:AD725)&gt;0,AC383+1,0),0)</f>
        <v>0</v>
      </c>
      <c r="AE383" s="158">
        <f>IF(AE$2&lt;=analysis_period,IF(SUM($C725:AE725)&gt;0,AD383+1,0),0)</f>
        <v>0</v>
      </c>
      <c r="AF383" s="158">
        <f>IF(AF$2&lt;=analysis_period,IF(SUM($C725:AF725)&gt;0,AE383+1,0),0)</f>
        <v>0</v>
      </c>
      <c r="AG383" s="158">
        <f>IF(AG$2&lt;=analysis_period,IF(SUM($C725:AG725)&gt;0,AF383+1,0),0)</f>
        <v>0</v>
      </c>
      <c r="AH383" s="158">
        <f>IF(AH$2&lt;=analysis_period,IF(SUM($C725:AH725)&gt;0,AG383+1,0),0)</f>
        <v>0</v>
      </c>
      <c r="AI383" s="158">
        <f>IF(AI$2&lt;=analysis_period,IF(SUM($C725:AI725)&gt;0,AH383+1,0),0)</f>
        <v>0</v>
      </c>
      <c r="AJ383" s="158">
        <f>IF(AJ$2&lt;=analysis_period,IF(SUM($C725:AJ725)&gt;0,AI383+1,0),0)</f>
        <v>0</v>
      </c>
      <c r="AK383" s="158">
        <f>IF(AK$2&lt;=analysis_period,IF(SUM($C725:AK725)&gt;0,AJ383+1,0),0)</f>
        <v>0</v>
      </c>
      <c r="AL383" s="158">
        <f>IF(AL$2&lt;=analysis_period,IF(SUM($C725:AL725)&gt;0,AK383+1,0),0)</f>
        <v>0</v>
      </c>
      <c r="AM383" s="158">
        <f>IF(AM$2&lt;=analysis_period,IF(SUM($C725:AM725)&gt;0,AL383+1,0),0)</f>
        <v>0</v>
      </c>
      <c r="AN383" s="158">
        <f>IF(AN$2&lt;=analysis_period,IF(SUM($C725:AN725)&gt;0,AM383+1,0),0)</f>
        <v>0</v>
      </c>
      <c r="AO383" s="158">
        <f>IF(AO$2&lt;=analysis_period,IF(SUM($C725:AO725)&gt;0,AN383+1,0),0)</f>
        <v>0</v>
      </c>
      <c r="AP383" s="158">
        <f>IF(AP$2&lt;=analysis_period,IF(SUM($C725:AP725)&gt;0,AO383+1,0),0)</f>
        <v>0</v>
      </c>
    </row>
    <row r="384" spans="1:42" x14ac:dyDescent="0.2">
      <c r="A384" s="22"/>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row>
    <row r="385" spans="1:42" x14ac:dyDescent="0.2">
      <c r="A385" s="22" t="s">
        <v>81</v>
      </c>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row>
    <row r="386" spans="1:42" x14ac:dyDescent="0.2">
      <c r="A386" s="4">
        <v>1</v>
      </c>
      <c r="B386" s="176">
        <f t="shared" ref="B386:B395" si="149">SUM(C386:AP386)</f>
        <v>0</v>
      </c>
      <c r="C386" s="178">
        <f t="shared" ref="C386:AP386" si="150">LOOKUP(C374,$B$344:$AP$344,$B$345:$AP$345)/100*$B716</f>
        <v>0</v>
      </c>
      <c r="D386" s="178">
        <f t="shared" si="150"/>
        <v>0</v>
      </c>
      <c r="E386" s="178">
        <f t="shared" si="150"/>
        <v>0</v>
      </c>
      <c r="F386" s="178">
        <f t="shared" si="150"/>
        <v>0</v>
      </c>
      <c r="G386" s="178">
        <f t="shared" si="150"/>
        <v>0</v>
      </c>
      <c r="H386" s="178">
        <f t="shared" si="150"/>
        <v>0</v>
      </c>
      <c r="I386" s="178">
        <f t="shared" si="150"/>
        <v>0</v>
      </c>
      <c r="J386" s="178">
        <f t="shared" si="150"/>
        <v>0</v>
      </c>
      <c r="K386" s="178">
        <f t="shared" si="150"/>
        <v>0</v>
      </c>
      <c r="L386" s="178">
        <f t="shared" si="150"/>
        <v>0</v>
      </c>
      <c r="M386" s="178">
        <f t="shared" si="150"/>
        <v>0</v>
      </c>
      <c r="N386" s="178">
        <f t="shared" si="150"/>
        <v>0</v>
      </c>
      <c r="O386" s="178">
        <f t="shared" si="150"/>
        <v>0</v>
      </c>
      <c r="P386" s="178">
        <f t="shared" si="150"/>
        <v>0</v>
      </c>
      <c r="Q386" s="178">
        <f t="shared" si="150"/>
        <v>0</v>
      </c>
      <c r="R386" s="178">
        <f t="shared" si="150"/>
        <v>0</v>
      </c>
      <c r="S386" s="178">
        <f t="shared" si="150"/>
        <v>0</v>
      </c>
      <c r="T386" s="178">
        <f t="shared" si="150"/>
        <v>0</v>
      </c>
      <c r="U386" s="178">
        <f t="shared" si="150"/>
        <v>0</v>
      </c>
      <c r="V386" s="178">
        <f t="shared" si="150"/>
        <v>0</v>
      </c>
      <c r="W386" s="178">
        <f t="shared" si="150"/>
        <v>0</v>
      </c>
      <c r="X386" s="178">
        <f t="shared" si="150"/>
        <v>0</v>
      </c>
      <c r="Y386" s="178">
        <f t="shared" si="150"/>
        <v>0</v>
      </c>
      <c r="Z386" s="178">
        <f t="shared" si="150"/>
        <v>0</v>
      </c>
      <c r="AA386" s="178">
        <f t="shared" si="150"/>
        <v>0</v>
      </c>
      <c r="AB386" s="178">
        <f t="shared" si="150"/>
        <v>0</v>
      </c>
      <c r="AC386" s="178">
        <f t="shared" si="150"/>
        <v>0</v>
      </c>
      <c r="AD386" s="178">
        <f t="shared" si="150"/>
        <v>0</v>
      </c>
      <c r="AE386" s="178">
        <f t="shared" si="150"/>
        <v>0</v>
      </c>
      <c r="AF386" s="178">
        <f t="shared" si="150"/>
        <v>0</v>
      </c>
      <c r="AG386" s="178">
        <f t="shared" si="150"/>
        <v>0</v>
      </c>
      <c r="AH386" s="178">
        <f t="shared" si="150"/>
        <v>0</v>
      </c>
      <c r="AI386" s="178">
        <f t="shared" si="150"/>
        <v>0</v>
      </c>
      <c r="AJ386" s="178">
        <f t="shared" si="150"/>
        <v>0</v>
      </c>
      <c r="AK386" s="178">
        <f t="shared" si="150"/>
        <v>0</v>
      </c>
      <c r="AL386" s="178">
        <f t="shared" si="150"/>
        <v>0</v>
      </c>
      <c r="AM386" s="178">
        <f t="shared" si="150"/>
        <v>0</v>
      </c>
      <c r="AN386" s="178">
        <f t="shared" si="150"/>
        <v>0</v>
      </c>
      <c r="AO386" s="178">
        <f t="shared" si="150"/>
        <v>0</v>
      </c>
      <c r="AP386" s="178">
        <f t="shared" si="150"/>
        <v>0</v>
      </c>
    </row>
    <row r="387" spans="1:42" x14ac:dyDescent="0.2">
      <c r="A387" s="4">
        <f>A386+1</f>
        <v>2</v>
      </c>
      <c r="B387" s="176">
        <f t="shared" si="149"/>
        <v>0</v>
      </c>
      <c r="C387" s="178">
        <f t="shared" ref="C387:AP387" si="151">LOOKUP(C375,$B$344:$AP$344,$B$345:$AP$345)/100*$B717</f>
        <v>0</v>
      </c>
      <c r="D387" s="178">
        <f t="shared" si="151"/>
        <v>0</v>
      </c>
      <c r="E387" s="178">
        <f t="shared" si="151"/>
        <v>0</v>
      </c>
      <c r="F387" s="178">
        <f t="shared" si="151"/>
        <v>0</v>
      </c>
      <c r="G387" s="178">
        <f t="shared" si="151"/>
        <v>0</v>
      </c>
      <c r="H387" s="178">
        <f t="shared" si="151"/>
        <v>0</v>
      </c>
      <c r="I387" s="178">
        <f t="shared" si="151"/>
        <v>0</v>
      </c>
      <c r="J387" s="178">
        <f t="shared" si="151"/>
        <v>0</v>
      </c>
      <c r="K387" s="178">
        <f t="shared" si="151"/>
        <v>0</v>
      </c>
      <c r="L387" s="178">
        <f t="shared" si="151"/>
        <v>0</v>
      </c>
      <c r="M387" s="178">
        <f t="shared" si="151"/>
        <v>0</v>
      </c>
      <c r="N387" s="178">
        <f t="shared" si="151"/>
        <v>0</v>
      </c>
      <c r="O387" s="178">
        <f t="shared" si="151"/>
        <v>0</v>
      </c>
      <c r="P387" s="178">
        <f t="shared" si="151"/>
        <v>0</v>
      </c>
      <c r="Q387" s="178">
        <f t="shared" si="151"/>
        <v>0</v>
      </c>
      <c r="R387" s="178">
        <f t="shared" si="151"/>
        <v>0</v>
      </c>
      <c r="S387" s="178">
        <f t="shared" si="151"/>
        <v>0</v>
      </c>
      <c r="T387" s="178">
        <f t="shared" si="151"/>
        <v>0</v>
      </c>
      <c r="U387" s="178">
        <f t="shared" si="151"/>
        <v>0</v>
      </c>
      <c r="V387" s="178">
        <f t="shared" si="151"/>
        <v>0</v>
      </c>
      <c r="W387" s="178">
        <f t="shared" si="151"/>
        <v>0</v>
      </c>
      <c r="X387" s="178">
        <f t="shared" si="151"/>
        <v>0</v>
      </c>
      <c r="Y387" s="178">
        <f t="shared" si="151"/>
        <v>0</v>
      </c>
      <c r="Z387" s="178">
        <f t="shared" si="151"/>
        <v>0</v>
      </c>
      <c r="AA387" s="178">
        <f t="shared" si="151"/>
        <v>0</v>
      </c>
      <c r="AB387" s="178">
        <f t="shared" si="151"/>
        <v>0</v>
      </c>
      <c r="AC387" s="178">
        <f t="shared" si="151"/>
        <v>0</v>
      </c>
      <c r="AD387" s="178">
        <f t="shared" si="151"/>
        <v>0</v>
      </c>
      <c r="AE387" s="178">
        <f t="shared" si="151"/>
        <v>0</v>
      </c>
      <c r="AF387" s="178">
        <f t="shared" si="151"/>
        <v>0</v>
      </c>
      <c r="AG387" s="178">
        <f t="shared" si="151"/>
        <v>0</v>
      </c>
      <c r="AH387" s="178">
        <f t="shared" si="151"/>
        <v>0</v>
      </c>
      <c r="AI387" s="178">
        <f t="shared" si="151"/>
        <v>0</v>
      </c>
      <c r="AJ387" s="178">
        <f t="shared" si="151"/>
        <v>0</v>
      </c>
      <c r="AK387" s="178">
        <f t="shared" si="151"/>
        <v>0</v>
      </c>
      <c r="AL387" s="178">
        <f t="shared" si="151"/>
        <v>0</v>
      </c>
      <c r="AM387" s="178">
        <f t="shared" si="151"/>
        <v>0</v>
      </c>
      <c r="AN387" s="178">
        <f t="shared" si="151"/>
        <v>0</v>
      </c>
      <c r="AO387" s="178">
        <f t="shared" si="151"/>
        <v>0</v>
      </c>
      <c r="AP387" s="178">
        <f t="shared" si="151"/>
        <v>0</v>
      </c>
    </row>
    <row r="388" spans="1:42" x14ac:dyDescent="0.2">
      <c r="A388" s="4">
        <f t="shared" ref="A388:A395" si="152">A387+1</f>
        <v>3</v>
      </c>
      <c r="B388" s="176">
        <f t="shared" si="149"/>
        <v>0</v>
      </c>
      <c r="C388" s="178">
        <f t="shared" ref="C388:AP388" si="153">LOOKUP(C376,$B$344:$AP$344,$B$345:$AP$345)/100*$B718</f>
        <v>0</v>
      </c>
      <c r="D388" s="178">
        <f t="shared" si="153"/>
        <v>0</v>
      </c>
      <c r="E388" s="178">
        <f t="shared" si="153"/>
        <v>0</v>
      </c>
      <c r="F388" s="178">
        <f t="shared" si="153"/>
        <v>0</v>
      </c>
      <c r="G388" s="178">
        <f t="shared" si="153"/>
        <v>0</v>
      </c>
      <c r="H388" s="178">
        <f t="shared" si="153"/>
        <v>0</v>
      </c>
      <c r="I388" s="178">
        <f t="shared" si="153"/>
        <v>0</v>
      </c>
      <c r="J388" s="178">
        <f t="shared" si="153"/>
        <v>0</v>
      </c>
      <c r="K388" s="178">
        <f t="shared" si="153"/>
        <v>0</v>
      </c>
      <c r="L388" s="178">
        <f t="shared" si="153"/>
        <v>0</v>
      </c>
      <c r="M388" s="178">
        <f t="shared" si="153"/>
        <v>0</v>
      </c>
      <c r="N388" s="178">
        <f t="shared" si="153"/>
        <v>0</v>
      </c>
      <c r="O388" s="178">
        <f t="shared" si="153"/>
        <v>0</v>
      </c>
      <c r="P388" s="178">
        <f t="shared" si="153"/>
        <v>0</v>
      </c>
      <c r="Q388" s="178">
        <f t="shared" si="153"/>
        <v>0</v>
      </c>
      <c r="R388" s="178">
        <f t="shared" si="153"/>
        <v>0</v>
      </c>
      <c r="S388" s="178">
        <f t="shared" si="153"/>
        <v>0</v>
      </c>
      <c r="T388" s="178">
        <f t="shared" si="153"/>
        <v>0</v>
      </c>
      <c r="U388" s="178">
        <f t="shared" si="153"/>
        <v>0</v>
      </c>
      <c r="V388" s="178">
        <f t="shared" si="153"/>
        <v>0</v>
      </c>
      <c r="W388" s="178">
        <f t="shared" si="153"/>
        <v>0</v>
      </c>
      <c r="X388" s="178">
        <f t="shared" si="153"/>
        <v>0</v>
      </c>
      <c r="Y388" s="178">
        <f t="shared" si="153"/>
        <v>0</v>
      </c>
      <c r="Z388" s="178">
        <f t="shared" si="153"/>
        <v>0</v>
      </c>
      <c r="AA388" s="178">
        <f t="shared" si="153"/>
        <v>0</v>
      </c>
      <c r="AB388" s="178">
        <f t="shared" si="153"/>
        <v>0</v>
      </c>
      <c r="AC388" s="178">
        <f t="shared" si="153"/>
        <v>0</v>
      </c>
      <c r="AD388" s="178">
        <f t="shared" si="153"/>
        <v>0</v>
      </c>
      <c r="AE388" s="178">
        <f t="shared" si="153"/>
        <v>0</v>
      </c>
      <c r="AF388" s="178">
        <f t="shared" si="153"/>
        <v>0</v>
      </c>
      <c r="AG388" s="178">
        <f t="shared" si="153"/>
        <v>0</v>
      </c>
      <c r="AH388" s="178">
        <f t="shared" si="153"/>
        <v>0</v>
      </c>
      <c r="AI388" s="178">
        <f t="shared" si="153"/>
        <v>0</v>
      </c>
      <c r="AJ388" s="178">
        <f t="shared" si="153"/>
        <v>0</v>
      </c>
      <c r="AK388" s="178">
        <f t="shared" si="153"/>
        <v>0</v>
      </c>
      <c r="AL388" s="178">
        <f t="shared" si="153"/>
        <v>0</v>
      </c>
      <c r="AM388" s="178">
        <f t="shared" si="153"/>
        <v>0</v>
      </c>
      <c r="AN388" s="178">
        <f t="shared" si="153"/>
        <v>0</v>
      </c>
      <c r="AO388" s="178">
        <f t="shared" si="153"/>
        <v>0</v>
      </c>
      <c r="AP388" s="178">
        <f t="shared" si="153"/>
        <v>0</v>
      </c>
    </row>
    <row r="389" spans="1:42" x14ac:dyDescent="0.2">
      <c r="A389" s="4">
        <f t="shared" si="152"/>
        <v>4</v>
      </c>
      <c r="B389" s="176">
        <f t="shared" si="149"/>
        <v>0</v>
      </c>
      <c r="C389" s="178">
        <f t="shared" ref="C389:AP389" si="154">LOOKUP(C377,$B$344:$AP$344,$B$345:$AP$345)/100*$B719</f>
        <v>0</v>
      </c>
      <c r="D389" s="178">
        <f t="shared" si="154"/>
        <v>0</v>
      </c>
      <c r="E389" s="178">
        <f t="shared" si="154"/>
        <v>0</v>
      </c>
      <c r="F389" s="178">
        <f t="shared" si="154"/>
        <v>0</v>
      </c>
      <c r="G389" s="178">
        <f t="shared" si="154"/>
        <v>0</v>
      </c>
      <c r="H389" s="178">
        <f t="shared" si="154"/>
        <v>0</v>
      </c>
      <c r="I389" s="178">
        <f t="shared" si="154"/>
        <v>0</v>
      </c>
      <c r="J389" s="178">
        <f t="shared" si="154"/>
        <v>0</v>
      </c>
      <c r="K389" s="178">
        <f t="shared" si="154"/>
        <v>0</v>
      </c>
      <c r="L389" s="178">
        <f t="shared" si="154"/>
        <v>0</v>
      </c>
      <c r="M389" s="178">
        <f t="shared" si="154"/>
        <v>0</v>
      </c>
      <c r="N389" s="178">
        <f t="shared" si="154"/>
        <v>0</v>
      </c>
      <c r="O389" s="178">
        <f t="shared" si="154"/>
        <v>0</v>
      </c>
      <c r="P389" s="178">
        <f t="shared" si="154"/>
        <v>0</v>
      </c>
      <c r="Q389" s="178">
        <f t="shared" si="154"/>
        <v>0</v>
      </c>
      <c r="R389" s="178">
        <f t="shared" si="154"/>
        <v>0</v>
      </c>
      <c r="S389" s="178">
        <f t="shared" si="154"/>
        <v>0</v>
      </c>
      <c r="T389" s="178">
        <f t="shared" si="154"/>
        <v>0</v>
      </c>
      <c r="U389" s="178">
        <f t="shared" si="154"/>
        <v>0</v>
      </c>
      <c r="V389" s="178">
        <f t="shared" si="154"/>
        <v>0</v>
      </c>
      <c r="W389" s="178">
        <f t="shared" si="154"/>
        <v>0</v>
      </c>
      <c r="X389" s="178">
        <f t="shared" si="154"/>
        <v>0</v>
      </c>
      <c r="Y389" s="178">
        <f t="shared" si="154"/>
        <v>0</v>
      </c>
      <c r="Z389" s="178">
        <f t="shared" si="154"/>
        <v>0</v>
      </c>
      <c r="AA389" s="178">
        <f t="shared" si="154"/>
        <v>0</v>
      </c>
      <c r="AB389" s="178">
        <f t="shared" si="154"/>
        <v>0</v>
      </c>
      <c r="AC389" s="178">
        <f t="shared" si="154"/>
        <v>0</v>
      </c>
      <c r="AD389" s="178">
        <f t="shared" si="154"/>
        <v>0</v>
      </c>
      <c r="AE389" s="178">
        <f t="shared" si="154"/>
        <v>0</v>
      </c>
      <c r="AF389" s="178">
        <f t="shared" si="154"/>
        <v>0</v>
      </c>
      <c r="AG389" s="178">
        <f t="shared" si="154"/>
        <v>0</v>
      </c>
      <c r="AH389" s="178">
        <f t="shared" si="154"/>
        <v>0</v>
      </c>
      <c r="AI389" s="178">
        <f t="shared" si="154"/>
        <v>0</v>
      </c>
      <c r="AJ389" s="178">
        <f t="shared" si="154"/>
        <v>0</v>
      </c>
      <c r="AK389" s="178">
        <f t="shared" si="154"/>
        <v>0</v>
      </c>
      <c r="AL389" s="178">
        <f t="shared" si="154"/>
        <v>0</v>
      </c>
      <c r="AM389" s="178">
        <f t="shared" si="154"/>
        <v>0</v>
      </c>
      <c r="AN389" s="178">
        <f t="shared" si="154"/>
        <v>0</v>
      </c>
      <c r="AO389" s="178">
        <f t="shared" si="154"/>
        <v>0</v>
      </c>
      <c r="AP389" s="178">
        <f t="shared" si="154"/>
        <v>0</v>
      </c>
    </row>
    <row r="390" spans="1:42" x14ac:dyDescent="0.2">
      <c r="A390" s="4">
        <f t="shared" si="152"/>
        <v>5</v>
      </c>
      <c r="B390" s="176">
        <f t="shared" si="149"/>
        <v>0</v>
      </c>
      <c r="C390" s="178">
        <f t="shared" ref="C390:AP390" si="155">LOOKUP(C378,$B$344:$AP$344,$B$345:$AP$345)/100*$B720</f>
        <v>0</v>
      </c>
      <c r="D390" s="178">
        <f t="shared" si="155"/>
        <v>0</v>
      </c>
      <c r="E390" s="178">
        <f t="shared" si="155"/>
        <v>0</v>
      </c>
      <c r="F390" s="178">
        <f t="shared" si="155"/>
        <v>0</v>
      </c>
      <c r="G390" s="178">
        <f t="shared" si="155"/>
        <v>0</v>
      </c>
      <c r="H390" s="178">
        <f t="shared" si="155"/>
        <v>0</v>
      </c>
      <c r="I390" s="178">
        <f t="shared" si="155"/>
        <v>0</v>
      </c>
      <c r="J390" s="178">
        <f t="shared" si="155"/>
        <v>0</v>
      </c>
      <c r="K390" s="178">
        <f t="shared" si="155"/>
        <v>0</v>
      </c>
      <c r="L390" s="178">
        <f t="shared" si="155"/>
        <v>0</v>
      </c>
      <c r="M390" s="178">
        <f t="shared" si="155"/>
        <v>0</v>
      </c>
      <c r="N390" s="178">
        <f t="shared" si="155"/>
        <v>0</v>
      </c>
      <c r="O390" s="178">
        <f t="shared" si="155"/>
        <v>0</v>
      </c>
      <c r="P390" s="178">
        <f t="shared" si="155"/>
        <v>0</v>
      </c>
      <c r="Q390" s="178">
        <f t="shared" si="155"/>
        <v>0</v>
      </c>
      <c r="R390" s="178">
        <f t="shared" si="155"/>
        <v>0</v>
      </c>
      <c r="S390" s="178">
        <f t="shared" si="155"/>
        <v>0</v>
      </c>
      <c r="T390" s="178">
        <f t="shared" si="155"/>
        <v>0</v>
      </c>
      <c r="U390" s="178">
        <f t="shared" si="155"/>
        <v>0</v>
      </c>
      <c r="V390" s="178">
        <f t="shared" si="155"/>
        <v>0</v>
      </c>
      <c r="W390" s="178">
        <f t="shared" si="155"/>
        <v>0</v>
      </c>
      <c r="X390" s="178">
        <f t="shared" si="155"/>
        <v>0</v>
      </c>
      <c r="Y390" s="178">
        <f t="shared" si="155"/>
        <v>0</v>
      </c>
      <c r="Z390" s="178">
        <f t="shared" si="155"/>
        <v>0</v>
      </c>
      <c r="AA390" s="178">
        <f t="shared" si="155"/>
        <v>0</v>
      </c>
      <c r="AB390" s="178">
        <f t="shared" si="155"/>
        <v>0</v>
      </c>
      <c r="AC390" s="178">
        <f t="shared" si="155"/>
        <v>0</v>
      </c>
      <c r="AD390" s="178">
        <f t="shared" si="155"/>
        <v>0</v>
      </c>
      <c r="AE390" s="178">
        <f t="shared" si="155"/>
        <v>0</v>
      </c>
      <c r="AF390" s="178">
        <f t="shared" si="155"/>
        <v>0</v>
      </c>
      <c r="AG390" s="178">
        <f t="shared" si="155"/>
        <v>0</v>
      </c>
      <c r="AH390" s="178">
        <f t="shared" si="155"/>
        <v>0</v>
      </c>
      <c r="AI390" s="178">
        <f t="shared" si="155"/>
        <v>0</v>
      </c>
      <c r="AJ390" s="178">
        <f t="shared" si="155"/>
        <v>0</v>
      </c>
      <c r="AK390" s="178">
        <f t="shared" si="155"/>
        <v>0</v>
      </c>
      <c r="AL390" s="178">
        <f t="shared" si="155"/>
        <v>0</v>
      </c>
      <c r="AM390" s="178">
        <f t="shared" si="155"/>
        <v>0</v>
      </c>
      <c r="AN390" s="178">
        <f t="shared" si="155"/>
        <v>0</v>
      </c>
      <c r="AO390" s="178">
        <f t="shared" si="155"/>
        <v>0</v>
      </c>
      <c r="AP390" s="178">
        <f t="shared" si="155"/>
        <v>0</v>
      </c>
    </row>
    <row r="391" spans="1:42" x14ac:dyDescent="0.2">
      <c r="A391" s="4">
        <f t="shared" si="152"/>
        <v>6</v>
      </c>
      <c r="B391" s="176">
        <f t="shared" si="149"/>
        <v>0</v>
      </c>
      <c r="C391" s="178">
        <f t="shared" ref="C391:AP391" si="156">LOOKUP(C379,$B$344:$AP$344,$B$345:$AP$345)/100*$B721</f>
        <v>0</v>
      </c>
      <c r="D391" s="178">
        <f t="shared" si="156"/>
        <v>0</v>
      </c>
      <c r="E391" s="178">
        <f t="shared" si="156"/>
        <v>0</v>
      </c>
      <c r="F391" s="178">
        <f t="shared" si="156"/>
        <v>0</v>
      </c>
      <c r="G391" s="178">
        <f t="shared" si="156"/>
        <v>0</v>
      </c>
      <c r="H391" s="178">
        <f t="shared" si="156"/>
        <v>0</v>
      </c>
      <c r="I391" s="178">
        <f t="shared" si="156"/>
        <v>0</v>
      </c>
      <c r="J391" s="178">
        <f t="shared" si="156"/>
        <v>0</v>
      </c>
      <c r="K391" s="178">
        <f t="shared" si="156"/>
        <v>0</v>
      </c>
      <c r="L391" s="178">
        <f t="shared" si="156"/>
        <v>0</v>
      </c>
      <c r="M391" s="178">
        <f t="shared" si="156"/>
        <v>0</v>
      </c>
      <c r="N391" s="178">
        <f t="shared" si="156"/>
        <v>0</v>
      </c>
      <c r="O391" s="178">
        <f t="shared" si="156"/>
        <v>0</v>
      </c>
      <c r="P391" s="178">
        <f t="shared" si="156"/>
        <v>0</v>
      </c>
      <c r="Q391" s="178">
        <f t="shared" si="156"/>
        <v>0</v>
      </c>
      <c r="R391" s="178">
        <f t="shared" si="156"/>
        <v>0</v>
      </c>
      <c r="S391" s="178">
        <f t="shared" si="156"/>
        <v>0</v>
      </c>
      <c r="T391" s="178">
        <f t="shared" si="156"/>
        <v>0</v>
      </c>
      <c r="U391" s="178">
        <f t="shared" si="156"/>
        <v>0</v>
      </c>
      <c r="V391" s="178">
        <f t="shared" si="156"/>
        <v>0</v>
      </c>
      <c r="W391" s="178">
        <f t="shared" si="156"/>
        <v>0</v>
      </c>
      <c r="X391" s="178">
        <f t="shared" si="156"/>
        <v>0</v>
      </c>
      <c r="Y391" s="178">
        <f t="shared" si="156"/>
        <v>0</v>
      </c>
      <c r="Z391" s="178">
        <f t="shared" si="156"/>
        <v>0</v>
      </c>
      <c r="AA391" s="178">
        <f t="shared" si="156"/>
        <v>0</v>
      </c>
      <c r="AB391" s="178">
        <f t="shared" si="156"/>
        <v>0</v>
      </c>
      <c r="AC391" s="178">
        <f t="shared" si="156"/>
        <v>0</v>
      </c>
      <c r="AD391" s="178">
        <f t="shared" si="156"/>
        <v>0</v>
      </c>
      <c r="AE391" s="178">
        <f t="shared" si="156"/>
        <v>0</v>
      </c>
      <c r="AF391" s="178">
        <f t="shared" si="156"/>
        <v>0</v>
      </c>
      <c r="AG391" s="178">
        <f t="shared" si="156"/>
        <v>0</v>
      </c>
      <c r="AH391" s="178">
        <f t="shared" si="156"/>
        <v>0</v>
      </c>
      <c r="AI391" s="178">
        <f t="shared" si="156"/>
        <v>0</v>
      </c>
      <c r="AJ391" s="178">
        <f t="shared" si="156"/>
        <v>0</v>
      </c>
      <c r="AK391" s="178">
        <f t="shared" si="156"/>
        <v>0</v>
      </c>
      <c r="AL391" s="178">
        <f t="shared" si="156"/>
        <v>0</v>
      </c>
      <c r="AM391" s="178">
        <f t="shared" si="156"/>
        <v>0</v>
      </c>
      <c r="AN391" s="178">
        <f t="shared" si="156"/>
        <v>0</v>
      </c>
      <c r="AO391" s="178">
        <f t="shared" si="156"/>
        <v>0</v>
      </c>
      <c r="AP391" s="178">
        <f t="shared" si="156"/>
        <v>0</v>
      </c>
    </row>
    <row r="392" spans="1:42" x14ac:dyDescent="0.2">
      <c r="A392" s="4">
        <f t="shared" si="152"/>
        <v>7</v>
      </c>
      <c r="B392" s="176">
        <f t="shared" si="149"/>
        <v>0</v>
      </c>
      <c r="C392" s="178">
        <f t="shared" ref="C392:AP392" si="157">LOOKUP(C380,$B$344:$AP$344,$B$345:$AP$345)/100*$B722</f>
        <v>0</v>
      </c>
      <c r="D392" s="178">
        <f t="shared" si="157"/>
        <v>0</v>
      </c>
      <c r="E392" s="178">
        <f t="shared" si="157"/>
        <v>0</v>
      </c>
      <c r="F392" s="178">
        <f t="shared" si="157"/>
        <v>0</v>
      </c>
      <c r="G392" s="178">
        <f t="shared" si="157"/>
        <v>0</v>
      </c>
      <c r="H392" s="178">
        <f t="shared" si="157"/>
        <v>0</v>
      </c>
      <c r="I392" s="178">
        <f t="shared" si="157"/>
        <v>0</v>
      </c>
      <c r="J392" s="178">
        <f t="shared" si="157"/>
        <v>0</v>
      </c>
      <c r="K392" s="178">
        <f t="shared" si="157"/>
        <v>0</v>
      </c>
      <c r="L392" s="178">
        <f t="shared" si="157"/>
        <v>0</v>
      </c>
      <c r="M392" s="178">
        <f t="shared" si="157"/>
        <v>0</v>
      </c>
      <c r="N392" s="178">
        <f t="shared" si="157"/>
        <v>0</v>
      </c>
      <c r="O392" s="178">
        <f t="shared" si="157"/>
        <v>0</v>
      </c>
      <c r="P392" s="178">
        <f t="shared" si="157"/>
        <v>0</v>
      </c>
      <c r="Q392" s="178">
        <f t="shared" si="157"/>
        <v>0</v>
      </c>
      <c r="R392" s="178">
        <f t="shared" si="157"/>
        <v>0</v>
      </c>
      <c r="S392" s="178">
        <f t="shared" si="157"/>
        <v>0</v>
      </c>
      <c r="T392" s="178">
        <f t="shared" si="157"/>
        <v>0</v>
      </c>
      <c r="U392" s="178">
        <f t="shared" si="157"/>
        <v>0</v>
      </c>
      <c r="V392" s="178">
        <f t="shared" si="157"/>
        <v>0</v>
      </c>
      <c r="W392" s="178">
        <f t="shared" si="157"/>
        <v>0</v>
      </c>
      <c r="X392" s="178">
        <f t="shared" si="157"/>
        <v>0</v>
      </c>
      <c r="Y392" s="178">
        <f t="shared" si="157"/>
        <v>0</v>
      </c>
      <c r="Z392" s="178">
        <f t="shared" si="157"/>
        <v>0</v>
      </c>
      <c r="AA392" s="178">
        <f t="shared" si="157"/>
        <v>0</v>
      </c>
      <c r="AB392" s="178">
        <f t="shared" si="157"/>
        <v>0</v>
      </c>
      <c r="AC392" s="178">
        <f t="shared" si="157"/>
        <v>0</v>
      </c>
      <c r="AD392" s="178">
        <f t="shared" si="157"/>
        <v>0</v>
      </c>
      <c r="AE392" s="178">
        <f t="shared" si="157"/>
        <v>0</v>
      </c>
      <c r="AF392" s="178">
        <f t="shared" si="157"/>
        <v>0</v>
      </c>
      <c r="AG392" s="178">
        <f t="shared" si="157"/>
        <v>0</v>
      </c>
      <c r="AH392" s="178">
        <f t="shared" si="157"/>
        <v>0</v>
      </c>
      <c r="AI392" s="178">
        <f t="shared" si="157"/>
        <v>0</v>
      </c>
      <c r="AJ392" s="178">
        <f t="shared" si="157"/>
        <v>0</v>
      </c>
      <c r="AK392" s="178">
        <f t="shared" si="157"/>
        <v>0</v>
      </c>
      <c r="AL392" s="178">
        <f t="shared" si="157"/>
        <v>0</v>
      </c>
      <c r="AM392" s="178">
        <f t="shared" si="157"/>
        <v>0</v>
      </c>
      <c r="AN392" s="178">
        <f t="shared" si="157"/>
        <v>0</v>
      </c>
      <c r="AO392" s="178">
        <f t="shared" si="157"/>
        <v>0</v>
      </c>
      <c r="AP392" s="178">
        <f t="shared" si="157"/>
        <v>0</v>
      </c>
    </row>
    <row r="393" spans="1:42" x14ac:dyDescent="0.2">
      <c r="A393" s="4">
        <f t="shared" si="152"/>
        <v>8</v>
      </c>
      <c r="B393" s="176">
        <f t="shared" si="149"/>
        <v>0</v>
      </c>
      <c r="C393" s="178">
        <f t="shared" ref="C393:AP393" si="158">LOOKUP(C381,$B$344:$AP$344,$B$345:$AP$345)/100*$B723</f>
        <v>0</v>
      </c>
      <c r="D393" s="178">
        <f t="shared" si="158"/>
        <v>0</v>
      </c>
      <c r="E393" s="178">
        <f t="shared" si="158"/>
        <v>0</v>
      </c>
      <c r="F393" s="178">
        <f t="shared" si="158"/>
        <v>0</v>
      </c>
      <c r="G393" s="178">
        <f t="shared" si="158"/>
        <v>0</v>
      </c>
      <c r="H393" s="178">
        <f t="shared" si="158"/>
        <v>0</v>
      </c>
      <c r="I393" s="178">
        <f t="shared" si="158"/>
        <v>0</v>
      </c>
      <c r="J393" s="178">
        <f t="shared" si="158"/>
        <v>0</v>
      </c>
      <c r="K393" s="178">
        <f t="shared" si="158"/>
        <v>0</v>
      </c>
      <c r="L393" s="178">
        <f t="shared" si="158"/>
        <v>0</v>
      </c>
      <c r="M393" s="178">
        <f t="shared" si="158"/>
        <v>0</v>
      </c>
      <c r="N393" s="178">
        <f t="shared" si="158"/>
        <v>0</v>
      </c>
      <c r="O393" s="178">
        <f t="shared" si="158"/>
        <v>0</v>
      </c>
      <c r="P393" s="178">
        <f t="shared" si="158"/>
        <v>0</v>
      </c>
      <c r="Q393" s="178">
        <f t="shared" si="158"/>
        <v>0</v>
      </c>
      <c r="R393" s="178">
        <f t="shared" si="158"/>
        <v>0</v>
      </c>
      <c r="S393" s="178">
        <f t="shared" si="158"/>
        <v>0</v>
      </c>
      <c r="T393" s="178">
        <f t="shared" si="158"/>
        <v>0</v>
      </c>
      <c r="U393" s="178">
        <f t="shared" si="158"/>
        <v>0</v>
      </c>
      <c r="V393" s="178">
        <f t="shared" si="158"/>
        <v>0</v>
      </c>
      <c r="W393" s="178">
        <f t="shared" si="158"/>
        <v>0</v>
      </c>
      <c r="X393" s="178">
        <f t="shared" si="158"/>
        <v>0</v>
      </c>
      <c r="Y393" s="178">
        <f t="shared" si="158"/>
        <v>0</v>
      </c>
      <c r="Z393" s="178">
        <f t="shared" si="158"/>
        <v>0</v>
      </c>
      <c r="AA393" s="178">
        <f t="shared" si="158"/>
        <v>0</v>
      </c>
      <c r="AB393" s="178">
        <f t="shared" si="158"/>
        <v>0</v>
      </c>
      <c r="AC393" s="178">
        <f t="shared" si="158"/>
        <v>0</v>
      </c>
      <c r="AD393" s="178">
        <f t="shared" si="158"/>
        <v>0</v>
      </c>
      <c r="AE393" s="178">
        <f t="shared" si="158"/>
        <v>0</v>
      </c>
      <c r="AF393" s="178">
        <f t="shared" si="158"/>
        <v>0</v>
      </c>
      <c r="AG393" s="178">
        <f t="shared" si="158"/>
        <v>0</v>
      </c>
      <c r="AH393" s="178">
        <f t="shared" si="158"/>
        <v>0</v>
      </c>
      <c r="AI393" s="178">
        <f t="shared" si="158"/>
        <v>0</v>
      </c>
      <c r="AJ393" s="178">
        <f t="shared" si="158"/>
        <v>0</v>
      </c>
      <c r="AK393" s="178">
        <f t="shared" si="158"/>
        <v>0</v>
      </c>
      <c r="AL393" s="178">
        <f t="shared" si="158"/>
        <v>0</v>
      </c>
      <c r="AM393" s="178">
        <f t="shared" si="158"/>
        <v>0</v>
      </c>
      <c r="AN393" s="178">
        <f t="shared" si="158"/>
        <v>0</v>
      </c>
      <c r="AO393" s="178">
        <f t="shared" si="158"/>
        <v>0</v>
      </c>
      <c r="AP393" s="178">
        <f t="shared" si="158"/>
        <v>0</v>
      </c>
    </row>
    <row r="394" spans="1:42" x14ac:dyDescent="0.2">
      <c r="A394" s="4">
        <f>A393+1</f>
        <v>9</v>
      </c>
      <c r="B394" s="176">
        <f t="shared" si="149"/>
        <v>0</v>
      </c>
      <c r="C394" s="178">
        <f t="shared" ref="C394:AP394" si="159">LOOKUP(C382,$B$344:$AP$344,$B$345:$AP$345)/100*$B724</f>
        <v>0</v>
      </c>
      <c r="D394" s="178">
        <f t="shared" si="159"/>
        <v>0</v>
      </c>
      <c r="E394" s="178">
        <f t="shared" si="159"/>
        <v>0</v>
      </c>
      <c r="F394" s="178">
        <f t="shared" si="159"/>
        <v>0</v>
      </c>
      <c r="G394" s="178">
        <f t="shared" si="159"/>
        <v>0</v>
      </c>
      <c r="H394" s="178">
        <f t="shared" si="159"/>
        <v>0</v>
      </c>
      <c r="I394" s="178">
        <f t="shared" si="159"/>
        <v>0</v>
      </c>
      <c r="J394" s="178">
        <f t="shared" si="159"/>
        <v>0</v>
      </c>
      <c r="K394" s="178">
        <f t="shared" si="159"/>
        <v>0</v>
      </c>
      <c r="L394" s="178">
        <f t="shared" si="159"/>
        <v>0</v>
      </c>
      <c r="M394" s="178">
        <f t="shared" si="159"/>
        <v>0</v>
      </c>
      <c r="N394" s="178">
        <f t="shared" si="159"/>
        <v>0</v>
      </c>
      <c r="O394" s="178">
        <f t="shared" si="159"/>
        <v>0</v>
      </c>
      <c r="P394" s="178">
        <f t="shared" si="159"/>
        <v>0</v>
      </c>
      <c r="Q394" s="178">
        <f t="shared" si="159"/>
        <v>0</v>
      </c>
      <c r="R394" s="178">
        <f t="shared" si="159"/>
        <v>0</v>
      </c>
      <c r="S394" s="178">
        <f t="shared" si="159"/>
        <v>0</v>
      </c>
      <c r="T394" s="178">
        <f t="shared" si="159"/>
        <v>0</v>
      </c>
      <c r="U394" s="178">
        <f t="shared" si="159"/>
        <v>0</v>
      </c>
      <c r="V394" s="178">
        <f t="shared" si="159"/>
        <v>0</v>
      </c>
      <c r="W394" s="178">
        <f t="shared" si="159"/>
        <v>0</v>
      </c>
      <c r="X394" s="178">
        <f t="shared" si="159"/>
        <v>0</v>
      </c>
      <c r="Y394" s="178">
        <f t="shared" si="159"/>
        <v>0</v>
      </c>
      <c r="Z394" s="178">
        <f t="shared" si="159"/>
        <v>0</v>
      </c>
      <c r="AA394" s="178">
        <f t="shared" si="159"/>
        <v>0</v>
      </c>
      <c r="AB394" s="178">
        <f t="shared" si="159"/>
        <v>0</v>
      </c>
      <c r="AC394" s="178">
        <f t="shared" si="159"/>
        <v>0</v>
      </c>
      <c r="AD394" s="178">
        <f t="shared" si="159"/>
        <v>0</v>
      </c>
      <c r="AE394" s="178">
        <f t="shared" si="159"/>
        <v>0</v>
      </c>
      <c r="AF394" s="178">
        <f t="shared" si="159"/>
        <v>0</v>
      </c>
      <c r="AG394" s="178">
        <f t="shared" si="159"/>
        <v>0</v>
      </c>
      <c r="AH394" s="178">
        <f t="shared" si="159"/>
        <v>0</v>
      </c>
      <c r="AI394" s="178">
        <f t="shared" si="159"/>
        <v>0</v>
      </c>
      <c r="AJ394" s="178">
        <f t="shared" si="159"/>
        <v>0</v>
      </c>
      <c r="AK394" s="178">
        <f t="shared" si="159"/>
        <v>0</v>
      </c>
      <c r="AL394" s="178">
        <f t="shared" si="159"/>
        <v>0</v>
      </c>
      <c r="AM394" s="178">
        <f t="shared" si="159"/>
        <v>0</v>
      </c>
      <c r="AN394" s="178">
        <f t="shared" si="159"/>
        <v>0</v>
      </c>
      <c r="AO394" s="178">
        <f t="shared" si="159"/>
        <v>0</v>
      </c>
      <c r="AP394" s="178">
        <f t="shared" si="159"/>
        <v>0</v>
      </c>
    </row>
    <row r="395" spans="1:42" x14ac:dyDescent="0.2">
      <c r="A395" s="4">
        <f t="shared" si="152"/>
        <v>10</v>
      </c>
      <c r="B395" s="176">
        <f t="shared" si="149"/>
        <v>0</v>
      </c>
      <c r="C395" s="178">
        <f t="shared" ref="C395:AP395" si="160">LOOKUP(C383,$B$344:$AP$344,$B$345:$AP$345)/100*$B725</f>
        <v>0</v>
      </c>
      <c r="D395" s="178">
        <f t="shared" si="160"/>
        <v>0</v>
      </c>
      <c r="E395" s="178">
        <f t="shared" si="160"/>
        <v>0</v>
      </c>
      <c r="F395" s="178">
        <f t="shared" si="160"/>
        <v>0</v>
      </c>
      <c r="G395" s="178">
        <f t="shared" si="160"/>
        <v>0</v>
      </c>
      <c r="H395" s="178">
        <f t="shared" si="160"/>
        <v>0</v>
      </c>
      <c r="I395" s="178">
        <f t="shared" si="160"/>
        <v>0</v>
      </c>
      <c r="J395" s="178">
        <f t="shared" si="160"/>
        <v>0</v>
      </c>
      <c r="K395" s="178">
        <f t="shared" si="160"/>
        <v>0</v>
      </c>
      <c r="L395" s="178">
        <f t="shared" si="160"/>
        <v>0</v>
      </c>
      <c r="M395" s="178">
        <f t="shared" si="160"/>
        <v>0</v>
      </c>
      <c r="N395" s="178">
        <f t="shared" si="160"/>
        <v>0</v>
      </c>
      <c r="O395" s="178">
        <f t="shared" si="160"/>
        <v>0</v>
      </c>
      <c r="P395" s="178">
        <f t="shared" si="160"/>
        <v>0</v>
      </c>
      <c r="Q395" s="178">
        <f t="shared" si="160"/>
        <v>0</v>
      </c>
      <c r="R395" s="178">
        <f t="shared" si="160"/>
        <v>0</v>
      </c>
      <c r="S395" s="178">
        <f t="shared" si="160"/>
        <v>0</v>
      </c>
      <c r="T395" s="178">
        <f t="shared" si="160"/>
        <v>0</v>
      </c>
      <c r="U395" s="178">
        <f t="shared" si="160"/>
        <v>0</v>
      </c>
      <c r="V395" s="178">
        <f t="shared" si="160"/>
        <v>0</v>
      </c>
      <c r="W395" s="178">
        <f t="shared" si="160"/>
        <v>0</v>
      </c>
      <c r="X395" s="178">
        <f t="shared" si="160"/>
        <v>0</v>
      </c>
      <c r="Y395" s="178">
        <f t="shared" si="160"/>
        <v>0</v>
      </c>
      <c r="Z395" s="178">
        <f t="shared" si="160"/>
        <v>0</v>
      </c>
      <c r="AA395" s="178">
        <f t="shared" si="160"/>
        <v>0</v>
      </c>
      <c r="AB395" s="178">
        <f t="shared" si="160"/>
        <v>0</v>
      </c>
      <c r="AC395" s="178">
        <f t="shared" si="160"/>
        <v>0</v>
      </c>
      <c r="AD395" s="178">
        <f t="shared" si="160"/>
        <v>0</v>
      </c>
      <c r="AE395" s="178">
        <f t="shared" si="160"/>
        <v>0</v>
      </c>
      <c r="AF395" s="178">
        <f t="shared" si="160"/>
        <v>0</v>
      </c>
      <c r="AG395" s="178">
        <f t="shared" si="160"/>
        <v>0</v>
      </c>
      <c r="AH395" s="178">
        <f t="shared" si="160"/>
        <v>0</v>
      </c>
      <c r="AI395" s="178">
        <f t="shared" si="160"/>
        <v>0</v>
      </c>
      <c r="AJ395" s="178">
        <f t="shared" si="160"/>
        <v>0</v>
      </c>
      <c r="AK395" s="178">
        <f t="shared" si="160"/>
        <v>0</v>
      </c>
      <c r="AL395" s="178">
        <f t="shared" si="160"/>
        <v>0</v>
      </c>
      <c r="AM395" s="178">
        <f t="shared" si="160"/>
        <v>0</v>
      </c>
      <c r="AN395" s="178">
        <f t="shared" si="160"/>
        <v>0</v>
      </c>
      <c r="AO395" s="178">
        <f t="shared" si="160"/>
        <v>0</v>
      </c>
      <c r="AP395" s="178">
        <f t="shared" si="160"/>
        <v>0</v>
      </c>
    </row>
    <row r="396" spans="1:42" ht="12" customHeight="1" x14ac:dyDescent="0.2">
      <c r="A396" s="27" t="s">
        <v>13</v>
      </c>
      <c r="C396" s="158">
        <f>SUM(C386:C395)</f>
        <v>0</v>
      </c>
      <c r="D396" s="158">
        <f t="shared" ref="D396:AP396" si="161">SUM(D386:D395)</f>
        <v>0</v>
      </c>
      <c r="E396" s="158">
        <f t="shared" si="161"/>
        <v>0</v>
      </c>
      <c r="F396" s="158">
        <f t="shared" si="161"/>
        <v>0</v>
      </c>
      <c r="G396" s="158">
        <f t="shared" si="161"/>
        <v>0</v>
      </c>
      <c r="H396" s="158">
        <f t="shared" si="161"/>
        <v>0</v>
      </c>
      <c r="I396" s="158">
        <f t="shared" si="161"/>
        <v>0</v>
      </c>
      <c r="J396" s="158">
        <f t="shared" si="161"/>
        <v>0</v>
      </c>
      <c r="K396" s="158">
        <f t="shared" si="161"/>
        <v>0</v>
      </c>
      <c r="L396" s="158">
        <f t="shared" si="161"/>
        <v>0</v>
      </c>
      <c r="M396" s="158">
        <f t="shared" si="161"/>
        <v>0</v>
      </c>
      <c r="N396" s="158">
        <f t="shared" si="161"/>
        <v>0</v>
      </c>
      <c r="O396" s="158">
        <f t="shared" si="161"/>
        <v>0</v>
      </c>
      <c r="P396" s="158">
        <f t="shared" si="161"/>
        <v>0</v>
      </c>
      <c r="Q396" s="158">
        <f t="shared" si="161"/>
        <v>0</v>
      </c>
      <c r="R396" s="158">
        <f t="shared" si="161"/>
        <v>0</v>
      </c>
      <c r="S396" s="158">
        <f t="shared" si="161"/>
        <v>0</v>
      </c>
      <c r="T396" s="158">
        <f t="shared" si="161"/>
        <v>0</v>
      </c>
      <c r="U396" s="158">
        <f t="shared" si="161"/>
        <v>0</v>
      </c>
      <c r="V396" s="158">
        <f t="shared" si="161"/>
        <v>0</v>
      </c>
      <c r="W396" s="158">
        <f t="shared" si="161"/>
        <v>0</v>
      </c>
      <c r="X396" s="158">
        <f t="shared" si="161"/>
        <v>0</v>
      </c>
      <c r="Y396" s="158">
        <f t="shared" si="161"/>
        <v>0</v>
      </c>
      <c r="Z396" s="158">
        <f t="shared" si="161"/>
        <v>0</v>
      </c>
      <c r="AA396" s="158">
        <f t="shared" si="161"/>
        <v>0</v>
      </c>
      <c r="AB396" s="158">
        <f t="shared" si="161"/>
        <v>0</v>
      </c>
      <c r="AC396" s="158">
        <f t="shared" si="161"/>
        <v>0</v>
      </c>
      <c r="AD396" s="158">
        <f t="shared" si="161"/>
        <v>0</v>
      </c>
      <c r="AE396" s="158">
        <f t="shared" si="161"/>
        <v>0</v>
      </c>
      <c r="AF396" s="158">
        <f t="shared" si="161"/>
        <v>0</v>
      </c>
      <c r="AG396" s="158">
        <f t="shared" si="161"/>
        <v>0</v>
      </c>
      <c r="AH396" s="158">
        <f t="shared" si="161"/>
        <v>0</v>
      </c>
      <c r="AI396" s="158">
        <f t="shared" si="161"/>
        <v>0</v>
      </c>
      <c r="AJ396" s="158">
        <f t="shared" si="161"/>
        <v>0</v>
      </c>
      <c r="AK396" s="158">
        <f t="shared" si="161"/>
        <v>0</v>
      </c>
      <c r="AL396" s="158">
        <f t="shared" si="161"/>
        <v>0</v>
      </c>
      <c r="AM396" s="158">
        <f t="shared" si="161"/>
        <v>0</v>
      </c>
      <c r="AN396" s="158">
        <f t="shared" si="161"/>
        <v>0</v>
      </c>
      <c r="AO396" s="158">
        <f t="shared" si="161"/>
        <v>0</v>
      </c>
      <c r="AP396" s="158">
        <f t="shared" si="161"/>
        <v>0</v>
      </c>
    </row>
    <row r="397" spans="1:42" x14ac:dyDescent="0.2">
      <c r="A397" s="22"/>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row>
    <row r="398" spans="1:42" x14ac:dyDescent="0.2">
      <c r="A398" s="18" t="s">
        <v>94</v>
      </c>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row>
    <row r="399" spans="1:42" x14ac:dyDescent="0.2">
      <c r="A399" s="22" t="s">
        <v>77</v>
      </c>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row>
    <row r="400" spans="1:42" x14ac:dyDescent="0.2">
      <c r="A400" s="4">
        <v>1</v>
      </c>
      <c r="B400" s="4">
        <v>0</v>
      </c>
      <c r="C400" s="158">
        <f>IF(C$2&lt;=analysis_period,IF(SUM($C748:C748)&gt;0,B400+1,0),0)</f>
        <v>0</v>
      </c>
      <c r="D400" s="158">
        <f>IF(D$2&lt;=analysis_period,IF(SUM($C748:D748)&gt;0,C400+1,0),0)</f>
        <v>0</v>
      </c>
      <c r="E400" s="158">
        <f>IF(E$2&lt;=analysis_period,IF(SUM($C748:E748)&gt;0,D400+1,0),0)</f>
        <v>0</v>
      </c>
      <c r="F400" s="158">
        <f>IF(F$2&lt;=analysis_period,IF(SUM($C748:F748)&gt;0,E400+1,0),0)</f>
        <v>0</v>
      </c>
      <c r="G400" s="158">
        <f>IF(G$2&lt;=analysis_period,IF(SUM($C748:G748)&gt;0,F400+1,0),0)</f>
        <v>0</v>
      </c>
      <c r="H400" s="158">
        <f>IF(H$2&lt;=analysis_period,IF(SUM($C748:H748)&gt;0,G400+1,0),0)</f>
        <v>0</v>
      </c>
      <c r="I400" s="158">
        <f>IF(I$2&lt;=analysis_period,IF(SUM($C748:I748)&gt;0,H400+1,0),0)</f>
        <v>0</v>
      </c>
      <c r="J400" s="158">
        <f>IF(J$2&lt;=analysis_period,IF(SUM($C748:J748)&gt;0,I400+1,0),0)</f>
        <v>0</v>
      </c>
      <c r="K400" s="158">
        <f>IF(K$2&lt;=analysis_period,IF(SUM($C748:K748)&gt;0,J400+1,0),0)</f>
        <v>0</v>
      </c>
      <c r="L400" s="158">
        <f>IF(L$2&lt;=analysis_period,IF(SUM($C748:L748)&gt;0,K400+1,0),0)</f>
        <v>0</v>
      </c>
      <c r="M400" s="158">
        <f>IF(M$2&lt;=analysis_period,IF(SUM($C748:M748)&gt;0,L400+1,0),0)</f>
        <v>0</v>
      </c>
      <c r="N400" s="158">
        <f>IF(N$2&lt;=analysis_period,IF(SUM($C748:N748)&gt;0,M400+1,0),0)</f>
        <v>0</v>
      </c>
      <c r="O400" s="158">
        <f>IF(O$2&lt;=analysis_period,IF(SUM($C748:O748)&gt;0,N400+1,0),0)</f>
        <v>0</v>
      </c>
      <c r="P400" s="158">
        <f>IF(P$2&lt;=analysis_period,IF(SUM($C748:P748)&gt;0,O400+1,0),0)</f>
        <v>0</v>
      </c>
      <c r="Q400" s="158">
        <f>IF(Q$2&lt;=analysis_period,IF(SUM($C748:Q748)&gt;0,P400+1,0),0)</f>
        <v>0</v>
      </c>
      <c r="R400" s="158">
        <f>IF(R$2&lt;=analysis_period,IF(SUM($C748:R748)&gt;0,Q400+1,0),0)</f>
        <v>0</v>
      </c>
      <c r="S400" s="158">
        <f>IF(S$2&lt;=analysis_period,IF(SUM($C748:S748)&gt;0,R400+1,0),0)</f>
        <v>0</v>
      </c>
      <c r="T400" s="158">
        <f>IF(T$2&lt;=analysis_period,IF(SUM($C748:T748)&gt;0,S400+1,0),0)</f>
        <v>0</v>
      </c>
      <c r="U400" s="158">
        <f>IF(U$2&lt;=analysis_period,IF(SUM($C748:U748)&gt;0,T400+1,0),0)</f>
        <v>0</v>
      </c>
      <c r="V400" s="158">
        <f>IF(V$2&lt;=analysis_period,IF(SUM($C748:V748)&gt;0,U400+1,0),0)</f>
        <v>0</v>
      </c>
      <c r="W400" s="158">
        <f>IF(W$2&lt;=analysis_period,IF(SUM($C748:W748)&gt;0,V400+1,0),0)</f>
        <v>0</v>
      </c>
      <c r="X400" s="158">
        <f>IF(X$2&lt;=analysis_period,IF(SUM($C748:X748)&gt;0,W400+1,0),0)</f>
        <v>0</v>
      </c>
      <c r="Y400" s="158">
        <f>IF(Y$2&lt;=analysis_period,IF(SUM($C748:Y748)&gt;0,X400+1,0),0)</f>
        <v>0</v>
      </c>
      <c r="Z400" s="158">
        <f>IF(Z$2&lt;=analysis_period,IF(SUM($C748:Z748)&gt;0,Y400+1,0),0)</f>
        <v>0</v>
      </c>
      <c r="AA400" s="158">
        <f>IF(AA$2&lt;=analysis_period,IF(SUM($C748:AA748)&gt;0,Z400+1,0),0)</f>
        <v>0</v>
      </c>
      <c r="AB400" s="158">
        <f>IF(AB$2&lt;=analysis_period,IF(SUM($C748:AB748)&gt;0,AA400+1,0),0)</f>
        <v>0</v>
      </c>
      <c r="AC400" s="158">
        <f>IF(AC$2&lt;=analysis_period,IF(SUM($C748:AC748)&gt;0,AB400+1,0),0)</f>
        <v>0</v>
      </c>
      <c r="AD400" s="158">
        <f>IF(AD$2&lt;=analysis_period,IF(SUM($C748:AD748)&gt;0,AC400+1,0),0)</f>
        <v>0</v>
      </c>
      <c r="AE400" s="158">
        <f>IF(AE$2&lt;=analysis_period,IF(SUM($C748:AE748)&gt;0,AD400+1,0),0)</f>
        <v>0</v>
      </c>
      <c r="AF400" s="158">
        <f>IF(AF$2&lt;=analysis_period,IF(SUM($C748:AF748)&gt;0,AE400+1,0),0)</f>
        <v>0</v>
      </c>
      <c r="AG400" s="158">
        <f>IF(AG$2&lt;=analysis_period,IF(SUM($C748:AG748)&gt;0,AF400+1,0),0)</f>
        <v>0</v>
      </c>
      <c r="AH400" s="158">
        <f>IF(AH$2&lt;=analysis_period,IF(SUM($C748:AH748)&gt;0,AG400+1,0),0)</f>
        <v>0</v>
      </c>
      <c r="AI400" s="158">
        <f>IF(AI$2&lt;=analysis_period,IF(SUM($C748:AI748)&gt;0,AH400+1,0),0)</f>
        <v>0</v>
      </c>
      <c r="AJ400" s="158">
        <f>IF(AJ$2&lt;=analysis_period,IF(SUM($C748:AJ748)&gt;0,AI400+1,0),0)</f>
        <v>0</v>
      </c>
      <c r="AK400" s="158">
        <f>IF(AK$2&lt;=analysis_period,IF(SUM($C748:AK748)&gt;0,AJ400+1,0),0)</f>
        <v>0</v>
      </c>
      <c r="AL400" s="158">
        <f>IF(AL$2&lt;=analysis_period,IF(SUM($C748:AL748)&gt;0,AK400+1,0),0)</f>
        <v>0</v>
      </c>
      <c r="AM400" s="158">
        <f>IF(AM$2&lt;=analysis_period,IF(SUM($C748:AM748)&gt;0,AL400+1,0),0)</f>
        <v>0</v>
      </c>
      <c r="AN400" s="158">
        <f>IF(AN$2&lt;=analysis_period,IF(SUM($C748:AN748)&gt;0,AM400+1,0),0)</f>
        <v>0</v>
      </c>
      <c r="AO400" s="158">
        <f>IF(AO$2&lt;=analysis_period,IF(SUM($C748:AO748)&gt;0,AN400+1,0),0)</f>
        <v>0</v>
      </c>
      <c r="AP400" s="158">
        <f>IF(AP$2&lt;=analysis_period,IF(SUM($C748:AP748)&gt;0,AO400+1,0),0)</f>
        <v>0</v>
      </c>
    </row>
    <row r="401" spans="1:42" x14ac:dyDescent="0.2">
      <c r="A401" s="4">
        <f>A400+1</f>
        <v>2</v>
      </c>
      <c r="B401" s="4">
        <v>0</v>
      </c>
      <c r="C401" s="158">
        <f>IF(C$2&lt;=analysis_period,IF(SUM($C749:C749)&gt;0,B401+1,0),0)</f>
        <v>0</v>
      </c>
      <c r="D401" s="158">
        <f>IF(D$2&lt;=analysis_period,IF(SUM($C749:D749)&gt;0,C401+1,0),0)</f>
        <v>0</v>
      </c>
      <c r="E401" s="158">
        <f>IF(E$2&lt;=analysis_period,IF(SUM($C749:E749)&gt;0,D401+1,0),0)</f>
        <v>0</v>
      </c>
      <c r="F401" s="158">
        <f>IF(F$2&lt;=analysis_period,IF(SUM($C749:F749)&gt;0,E401+1,0),0)</f>
        <v>0</v>
      </c>
      <c r="G401" s="158">
        <f>IF(G$2&lt;=analysis_period,IF(SUM($C749:G749)&gt;0,F401+1,0),0)</f>
        <v>0</v>
      </c>
      <c r="H401" s="158">
        <f>IF(H$2&lt;=analysis_period,IF(SUM($C749:H749)&gt;0,G401+1,0),0)</f>
        <v>0</v>
      </c>
      <c r="I401" s="158">
        <f>IF(I$2&lt;=analysis_period,IF(SUM($C749:I749)&gt;0,H401+1,0),0)</f>
        <v>0</v>
      </c>
      <c r="J401" s="158">
        <f>IF(J$2&lt;=analysis_period,IF(SUM($C749:J749)&gt;0,I401+1,0),0)</f>
        <v>0</v>
      </c>
      <c r="K401" s="158">
        <f>IF(K$2&lt;=analysis_period,IF(SUM($C749:K749)&gt;0,J401+1,0),0)</f>
        <v>0</v>
      </c>
      <c r="L401" s="158">
        <f>IF(L$2&lt;=analysis_period,IF(SUM($C749:L749)&gt;0,K401+1,0),0)</f>
        <v>0</v>
      </c>
      <c r="M401" s="158">
        <f>IF(M$2&lt;=analysis_period,IF(SUM($C749:M749)&gt;0,L401+1,0),0)</f>
        <v>0</v>
      </c>
      <c r="N401" s="158">
        <f>IF(N$2&lt;=analysis_period,IF(SUM($C749:N749)&gt;0,M401+1,0),0)</f>
        <v>0</v>
      </c>
      <c r="O401" s="158">
        <f>IF(O$2&lt;=analysis_period,IF(SUM($C749:O749)&gt;0,N401+1,0),0)</f>
        <v>0</v>
      </c>
      <c r="P401" s="158">
        <f>IF(P$2&lt;=analysis_period,IF(SUM($C749:P749)&gt;0,O401+1,0),0)</f>
        <v>0</v>
      </c>
      <c r="Q401" s="158">
        <f>IF(Q$2&lt;=analysis_period,IF(SUM($C749:Q749)&gt;0,P401+1,0),0)</f>
        <v>0</v>
      </c>
      <c r="R401" s="158">
        <f>IF(R$2&lt;=analysis_period,IF(SUM($C749:R749)&gt;0,Q401+1,0),0)</f>
        <v>0</v>
      </c>
      <c r="S401" s="158">
        <f>IF(S$2&lt;=analysis_period,IF(SUM($C749:S749)&gt;0,R401+1,0),0)</f>
        <v>0</v>
      </c>
      <c r="T401" s="158">
        <f>IF(T$2&lt;=analysis_period,IF(SUM($C749:T749)&gt;0,S401+1,0),0)</f>
        <v>0</v>
      </c>
      <c r="U401" s="158">
        <f>IF(U$2&lt;=analysis_period,IF(SUM($C749:U749)&gt;0,T401+1,0),0)</f>
        <v>0</v>
      </c>
      <c r="V401" s="158">
        <f>IF(V$2&lt;=analysis_period,IF(SUM($C749:V749)&gt;0,U401+1,0),0)</f>
        <v>0</v>
      </c>
      <c r="W401" s="158">
        <f>IF(W$2&lt;=analysis_period,IF(SUM($C749:W749)&gt;0,V401+1,0),0)</f>
        <v>0</v>
      </c>
      <c r="X401" s="158">
        <f>IF(X$2&lt;=analysis_period,IF(SUM($C749:X749)&gt;0,W401+1,0),0)</f>
        <v>0</v>
      </c>
      <c r="Y401" s="158">
        <f>IF(Y$2&lt;=analysis_period,IF(SUM($C749:Y749)&gt;0,X401+1,0),0)</f>
        <v>0</v>
      </c>
      <c r="Z401" s="158">
        <f>IF(Z$2&lt;=analysis_period,IF(SUM($C749:Z749)&gt;0,Y401+1,0),0)</f>
        <v>0</v>
      </c>
      <c r="AA401" s="158">
        <f>IF(AA$2&lt;=analysis_period,IF(SUM($C749:AA749)&gt;0,Z401+1,0),0)</f>
        <v>0</v>
      </c>
      <c r="AB401" s="158">
        <f>IF(AB$2&lt;=analysis_period,IF(SUM($C749:AB749)&gt;0,AA401+1,0),0)</f>
        <v>0</v>
      </c>
      <c r="AC401" s="158">
        <f>IF(AC$2&lt;=analysis_period,IF(SUM($C749:AC749)&gt;0,AB401+1,0),0)</f>
        <v>0</v>
      </c>
      <c r="AD401" s="158">
        <f>IF(AD$2&lt;=analysis_period,IF(SUM($C749:AD749)&gt;0,AC401+1,0),0)</f>
        <v>0</v>
      </c>
      <c r="AE401" s="158">
        <f>IF(AE$2&lt;=analysis_period,IF(SUM($C749:AE749)&gt;0,AD401+1,0),0)</f>
        <v>0</v>
      </c>
      <c r="AF401" s="158">
        <f>IF(AF$2&lt;=analysis_period,IF(SUM($C749:AF749)&gt;0,AE401+1,0),0)</f>
        <v>0</v>
      </c>
      <c r="AG401" s="158">
        <f>IF(AG$2&lt;=analysis_period,IF(SUM($C749:AG749)&gt;0,AF401+1,0),0)</f>
        <v>0</v>
      </c>
      <c r="AH401" s="158">
        <f>IF(AH$2&lt;=analysis_period,IF(SUM($C749:AH749)&gt;0,AG401+1,0),0)</f>
        <v>0</v>
      </c>
      <c r="AI401" s="158">
        <f>IF(AI$2&lt;=analysis_period,IF(SUM($C749:AI749)&gt;0,AH401+1,0),0)</f>
        <v>0</v>
      </c>
      <c r="AJ401" s="158">
        <f>IF(AJ$2&lt;=analysis_period,IF(SUM($C749:AJ749)&gt;0,AI401+1,0),0)</f>
        <v>0</v>
      </c>
      <c r="AK401" s="158">
        <f>IF(AK$2&lt;=analysis_period,IF(SUM($C749:AK749)&gt;0,AJ401+1,0),0)</f>
        <v>0</v>
      </c>
      <c r="AL401" s="158">
        <f>IF(AL$2&lt;=analysis_period,IF(SUM($C749:AL749)&gt;0,AK401+1,0),0)</f>
        <v>0</v>
      </c>
      <c r="AM401" s="158">
        <f>IF(AM$2&lt;=analysis_period,IF(SUM($C749:AM749)&gt;0,AL401+1,0),0)</f>
        <v>0</v>
      </c>
      <c r="AN401" s="158">
        <f>IF(AN$2&lt;=analysis_period,IF(SUM($C749:AN749)&gt;0,AM401+1,0),0)</f>
        <v>0</v>
      </c>
      <c r="AO401" s="158">
        <f>IF(AO$2&lt;=analysis_period,IF(SUM($C749:AO749)&gt;0,AN401+1,0),0)</f>
        <v>0</v>
      </c>
      <c r="AP401" s="158">
        <f>IF(AP$2&lt;=analysis_period,IF(SUM($C749:AP749)&gt;0,AO401+1,0),0)</f>
        <v>0</v>
      </c>
    </row>
    <row r="402" spans="1:42" x14ac:dyDescent="0.2">
      <c r="A402" s="4">
        <f t="shared" ref="A402:A409" si="162">A401+1</f>
        <v>3</v>
      </c>
      <c r="B402" s="4">
        <v>0</v>
      </c>
      <c r="C402" s="158">
        <f>IF(C$2&lt;=analysis_period,IF(SUM($C750:C750)&gt;0,B402+1,0),0)</f>
        <v>0</v>
      </c>
      <c r="D402" s="158">
        <f>IF(D$2&lt;=analysis_period,IF(SUM($C750:D750)&gt;0,C402+1,0),0)</f>
        <v>0</v>
      </c>
      <c r="E402" s="158">
        <f>IF(E$2&lt;=analysis_period,IF(SUM($C750:E750)&gt;0,D402+1,0),0)</f>
        <v>0</v>
      </c>
      <c r="F402" s="158">
        <f>IF(F$2&lt;=analysis_period,IF(SUM($C750:F750)&gt;0,E402+1,0),0)</f>
        <v>0</v>
      </c>
      <c r="G402" s="158">
        <f>IF(G$2&lt;=analysis_period,IF(SUM($C750:G750)&gt;0,F402+1,0),0)</f>
        <v>0</v>
      </c>
      <c r="H402" s="158">
        <f>IF(H$2&lt;=analysis_period,IF(SUM($C750:H750)&gt;0,G402+1,0),0)</f>
        <v>0</v>
      </c>
      <c r="I402" s="158">
        <f>IF(I$2&lt;=analysis_period,IF(SUM($C750:I750)&gt;0,H402+1,0),0)</f>
        <v>0</v>
      </c>
      <c r="J402" s="158">
        <f>IF(J$2&lt;=analysis_period,IF(SUM($C750:J750)&gt;0,I402+1,0),0)</f>
        <v>0</v>
      </c>
      <c r="K402" s="158">
        <f>IF(K$2&lt;=analysis_period,IF(SUM($C750:K750)&gt;0,J402+1,0),0)</f>
        <v>0</v>
      </c>
      <c r="L402" s="158">
        <f>IF(L$2&lt;=analysis_period,IF(SUM($C750:L750)&gt;0,K402+1,0),0)</f>
        <v>0</v>
      </c>
      <c r="M402" s="158">
        <f>IF(M$2&lt;=analysis_period,IF(SUM($C750:M750)&gt;0,L402+1,0),0)</f>
        <v>0</v>
      </c>
      <c r="N402" s="158">
        <f>IF(N$2&lt;=analysis_period,IF(SUM($C750:N750)&gt;0,M402+1,0),0)</f>
        <v>0</v>
      </c>
      <c r="O402" s="158">
        <f>IF(O$2&lt;=analysis_period,IF(SUM($C750:O750)&gt;0,N402+1,0),0)</f>
        <v>0</v>
      </c>
      <c r="P402" s="158">
        <f>IF(P$2&lt;=analysis_period,IF(SUM($C750:P750)&gt;0,O402+1,0),0)</f>
        <v>0</v>
      </c>
      <c r="Q402" s="158">
        <f>IF(Q$2&lt;=analysis_period,IF(SUM($C750:Q750)&gt;0,P402+1,0),0)</f>
        <v>0</v>
      </c>
      <c r="R402" s="158">
        <f>IF(R$2&lt;=analysis_period,IF(SUM($C750:R750)&gt;0,Q402+1,0),0)</f>
        <v>0</v>
      </c>
      <c r="S402" s="158">
        <f>IF(S$2&lt;=analysis_period,IF(SUM($C750:S750)&gt;0,R402+1,0),0)</f>
        <v>0</v>
      </c>
      <c r="T402" s="158">
        <f>IF(T$2&lt;=analysis_period,IF(SUM($C750:T750)&gt;0,S402+1,0),0)</f>
        <v>0</v>
      </c>
      <c r="U402" s="158">
        <f>IF(U$2&lt;=analysis_period,IF(SUM($C750:U750)&gt;0,T402+1,0),0)</f>
        <v>0</v>
      </c>
      <c r="V402" s="158">
        <f>IF(V$2&lt;=analysis_period,IF(SUM($C750:V750)&gt;0,U402+1,0),0)</f>
        <v>0</v>
      </c>
      <c r="W402" s="158">
        <f>IF(W$2&lt;=analysis_period,IF(SUM($C750:W750)&gt;0,V402+1,0),0)</f>
        <v>0</v>
      </c>
      <c r="X402" s="158">
        <f>IF(X$2&lt;=analysis_period,IF(SUM($C750:X750)&gt;0,W402+1,0),0)</f>
        <v>0</v>
      </c>
      <c r="Y402" s="158">
        <f>IF(Y$2&lt;=analysis_period,IF(SUM($C750:Y750)&gt;0,X402+1,0),0)</f>
        <v>0</v>
      </c>
      <c r="Z402" s="158">
        <f>IF(Z$2&lt;=analysis_period,IF(SUM($C750:Z750)&gt;0,Y402+1,0),0)</f>
        <v>0</v>
      </c>
      <c r="AA402" s="158">
        <f>IF(AA$2&lt;=analysis_period,IF(SUM($C750:AA750)&gt;0,Z402+1,0),0)</f>
        <v>0</v>
      </c>
      <c r="AB402" s="158">
        <f>IF(AB$2&lt;=analysis_period,IF(SUM($C750:AB750)&gt;0,AA402+1,0),0)</f>
        <v>0</v>
      </c>
      <c r="AC402" s="158">
        <f>IF(AC$2&lt;=analysis_period,IF(SUM($C750:AC750)&gt;0,AB402+1,0),0)</f>
        <v>0</v>
      </c>
      <c r="AD402" s="158">
        <f>IF(AD$2&lt;=analysis_period,IF(SUM($C750:AD750)&gt;0,AC402+1,0),0)</f>
        <v>0</v>
      </c>
      <c r="AE402" s="158">
        <f>IF(AE$2&lt;=analysis_period,IF(SUM($C750:AE750)&gt;0,AD402+1,0),0)</f>
        <v>0</v>
      </c>
      <c r="AF402" s="158">
        <f>IF(AF$2&lt;=analysis_period,IF(SUM($C750:AF750)&gt;0,AE402+1,0),0)</f>
        <v>0</v>
      </c>
      <c r="AG402" s="158">
        <f>IF(AG$2&lt;=analysis_period,IF(SUM($C750:AG750)&gt;0,AF402+1,0),0)</f>
        <v>0</v>
      </c>
      <c r="AH402" s="158">
        <f>IF(AH$2&lt;=analysis_period,IF(SUM($C750:AH750)&gt;0,AG402+1,0),0)</f>
        <v>0</v>
      </c>
      <c r="AI402" s="158">
        <f>IF(AI$2&lt;=analysis_period,IF(SUM($C750:AI750)&gt;0,AH402+1,0),0)</f>
        <v>0</v>
      </c>
      <c r="AJ402" s="158">
        <f>IF(AJ$2&lt;=analysis_period,IF(SUM($C750:AJ750)&gt;0,AI402+1,0),0)</f>
        <v>0</v>
      </c>
      <c r="AK402" s="158">
        <f>IF(AK$2&lt;=analysis_period,IF(SUM($C750:AK750)&gt;0,AJ402+1,0),0)</f>
        <v>0</v>
      </c>
      <c r="AL402" s="158">
        <f>IF(AL$2&lt;=analysis_period,IF(SUM($C750:AL750)&gt;0,AK402+1,0),0)</f>
        <v>0</v>
      </c>
      <c r="AM402" s="158">
        <f>IF(AM$2&lt;=analysis_period,IF(SUM($C750:AM750)&gt;0,AL402+1,0),0)</f>
        <v>0</v>
      </c>
      <c r="AN402" s="158">
        <f>IF(AN$2&lt;=analysis_period,IF(SUM($C750:AN750)&gt;0,AM402+1,0),0)</f>
        <v>0</v>
      </c>
      <c r="AO402" s="158">
        <f>IF(AO$2&lt;=analysis_period,IF(SUM($C750:AO750)&gt;0,AN402+1,0),0)</f>
        <v>0</v>
      </c>
      <c r="AP402" s="158">
        <f>IF(AP$2&lt;=analysis_period,IF(SUM($C750:AP750)&gt;0,AO402+1,0),0)</f>
        <v>0</v>
      </c>
    </row>
    <row r="403" spans="1:42" x14ac:dyDescent="0.2">
      <c r="A403" s="4">
        <f t="shared" si="162"/>
        <v>4</v>
      </c>
      <c r="B403" s="4">
        <v>0</v>
      </c>
      <c r="C403" s="158">
        <f>IF(C$2&lt;=analysis_period,IF(SUM($C751:C751)&gt;0,B403+1,0),0)</f>
        <v>0</v>
      </c>
      <c r="D403" s="158">
        <f>IF(D$2&lt;=analysis_period,IF(SUM($C751:D751)&gt;0,C403+1,0),0)</f>
        <v>0</v>
      </c>
      <c r="E403" s="158">
        <f>IF(E$2&lt;=analysis_period,IF(SUM($C751:E751)&gt;0,D403+1,0),0)</f>
        <v>0</v>
      </c>
      <c r="F403" s="158">
        <f>IF(F$2&lt;=analysis_period,IF(SUM($C751:F751)&gt;0,E403+1,0),0)</f>
        <v>0</v>
      </c>
      <c r="G403" s="158">
        <f>IF(G$2&lt;=analysis_period,IF(SUM($C751:G751)&gt;0,F403+1,0),0)</f>
        <v>0</v>
      </c>
      <c r="H403" s="158">
        <f>IF(H$2&lt;=analysis_period,IF(SUM($C751:H751)&gt;0,G403+1,0),0)</f>
        <v>0</v>
      </c>
      <c r="I403" s="158">
        <f>IF(I$2&lt;=analysis_period,IF(SUM($C751:I751)&gt;0,H403+1,0),0)</f>
        <v>0</v>
      </c>
      <c r="J403" s="158">
        <f>IF(J$2&lt;=analysis_period,IF(SUM($C751:J751)&gt;0,I403+1,0),0)</f>
        <v>0</v>
      </c>
      <c r="K403" s="158">
        <f>IF(K$2&lt;=analysis_period,IF(SUM($C751:K751)&gt;0,J403+1,0),0)</f>
        <v>0</v>
      </c>
      <c r="L403" s="158">
        <f>IF(L$2&lt;=analysis_period,IF(SUM($C751:L751)&gt;0,K403+1,0),0)</f>
        <v>0</v>
      </c>
      <c r="M403" s="158">
        <f>IF(M$2&lt;=analysis_period,IF(SUM($C751:M751)&gt;0,L403+1,0),0)</f>
        <v>0</v>
      </c>
      <c r="N403" s="158">
        <f>IF(N$2&lt;=analysis_period,IF(SUM($C751:N751)&gt;0,M403+1,0),0)</f>
        <v>0</v>
      </c>
      <c r="O403" s="158">
        <f>IF(O$2&lt;=analysis_period,IF(SUM($C751:O751)&gt;0,N403+1,0),0)</f>
        <v>0</v>
      </c>
      <c r="P403" s="158">
        <f>IF(P$2&lt;=analysis_period,IF(SUM($C751:P751)&gt;0,O403+1,0),0)</f>
        <v>0</v>
      </c>
      <c r="Q403" s="158">
        <f>IF(Q$2&lt;=analysis_period,IF(SUM($C751:Q751)&gt;0,P403+1,0),0)</f>
        <v>0</v>
      </c>
      <c r="R403" s="158">
        <f>IF(R$2&lt;=analysis_period,IF(SUM($C751:R751)&gt;0,Q403+1,0),0)</f>
        <v>0</v>
      </c>
      <c r="S403" s="158">
        <f>IF(S$2&lt;=analysis_period,IF(SUM($C751:S751)&gt;0,R403+1,0),0)</f>
        <v>0</v>
      </c>
      <c r="T403" s="158">
        <f>IF(T$2&lt;=analysis_period,IF(SUM($C751:T751)&gt;0,S403+1,0),0)</f>
        <v>0</v>
      </c>
      <c r="U403" s="158">
        <f>IF(U$2&lt;=analysis_period,IF(SUM($C751:U751)&gt;0,T403+1,0),0)</f>
        <v>0</v>
      </c>
      <c r="V403" s="158">
        <f>IF(V$2&lt;=analysis_period,IF(SUM($C751:V751)&gt;0,U403+1,0),0)</f>
        <v>0</v>
      </c>
      <c r="W403" s="158">
        <f>IF(W$2&lt;=analysis_period,IF(SUM($C751:W751)&gt;0,V403+1,0),0)</f>
        <v>0</v>
      </c>
      <c r="X403" s="158">
        <f>IF(X$2&lt;=analysis_period,IF(SUM($C751:X751)&gt;0,W403+1,0),0)</f>
        <v>0</v>
      </c>
      <c r="Y403" s="158">
        <f>IF(Y$2&lt;=analysis_period,IF(SUM($C751:Y751)&gt;0,X403+1,0),0)</f>
        <v>0</v>
      </c>
      <c r="Z403" s="158">
        <f>IF(Z$2&lt;=analysis_period,IF(SUM($C751:Z751)&gt;0,Y403+1,0),0)</f>
        <v>0</v>
      </c>
      <c r="AA403" s="158">
        <f>IF(AA$2&lt;=analysis_period,IF(SUM($C751:AA751)&gt;0,Z403+1,0),0)</f>
        <v>0</v>
      </c>
      <c r="AB403" s="158">
        <f>IF(AB$2&lt;=analysis_period,IF(SUM($C751:AB751)&gt;0,AA403+1,0),0)</f>
        <v>0</v>
      </c>
      <c r="AC403" s="158">
        <f>IF(AC$2&lt;=analysis_period,IF(SUM($C751:AC751)&gt;0,AB403+1,0),0)</f>
        <v>0</v>
      </c>
      <c r="AD403" s="158">
        <f>IF(AD$2&lt;=analysis_period,IF(SUM($C751:AD751)&gt;0,AC403+1,0),0)</f>
        <v>0</v>
      </c>
      <c r="AE403" s="158">
        <f>IF(AE$2&lt;=analysis_period,IF(SUM($C751:AE751)&gt;0,AD403+1,0),0)</f>
        <v>0</v>
      </c>
      <c r="AF403" s="158">
        <f>IF(AF$2&lt;=analysis_period,IF(SUM($C751:AF751)&gt;0,AE403+1,0),0)</f>
        <v>0</v>
      </c>
      <c r="AG403" s="158">
        <f>IF(AG$2&lt;=analysis_period,IF(SUM($C751:AG751)&gt;0,AF403+1,0),0)</f>
        <v>0</v>
      </c>
      <c r="AH403" s="158">
        <f>IF(AH$2&lt;=analysis_period,IF(SUM($C751:AH751)&gt;0,AG403+1,0),0)</f>
        <v>0</v>
      </c>
      <c r="AI403" s="158">
        <f>IF(AI$2&lt;=analysis_period,IF(SUM($C751:AI751)&gt;0,AH403+1,0),0)</f>
        <v>0</v>
      </c>
      <c r="AJ403" s="158">
        <f>IF(AJ$2&lt;=analysis_period,IF(SUM($C751:AJ751)&gt;0,AI403+1,0),0)</f>
        <v>0</v>
      </c>
      <c r="AK403" s="158">
        <f>IF(AK$2&lt;=analysis_period,IF(SUM($C751:AK751)&gt;0,AJ403+1,0),0)</f>
        <v>0</v>
      </c>
      <c r="AL403" s="158">
        <f>IF(AL$2&lt;=analysis_period,IF(SUM($C751:AL751)&gt;0,AK403+1,0),0)</f>
        <v>0</v>
      </c>
      <c r="AM403" s="158">
        <f>IF(AM$2&lt;=analysis_period,IF(SUM($C751:AM751)&gt;0,AL403+1,0),0)</f>
        <v>0</v>
      </c>
      <c r="AN403" s="158">
        <f>IF(AN$2&lt;=analysis_period,IF(SUM($C751:AN751)&gt;0,AM403+1,0),0)</f>
        <v>0</v>
      </c>
      <c r="AO403" s="158">
        <f>IF(AO$2&lt;=analysis_period,IF(SUM($C751:AO751)&gt;0,AN403+1,0),0)</f>
        <v>0</v>
      </c>
      <c r="AP403" s="158">
        <f>IF(AP$2&lt;=analysis_period,IF(SUM($C751:AP751)&gt;0,AO403+1,0),0)</f>
        <v>0</v>
      </c>
    </row>
    <row r="404" spans="1:42" x14ac:dyDescent="0.2">
      <c r="A404" s="4">
        <f t="shared" si="162"/>
        <v>5</v>
      </c>
      <c r="B404" s="4">
        <v>0</v>
      </c>
      <c r="C404" s="158">
        <f>IF(C$2&lt;=analysis_period,IF(SUM($C752:C752)&gt;0,B404+1,0),0)</f>
        <v>0</v>
      </c>
      <c r="D404" s="158">
        <f>IF(D$2&lt;=analysis_period,IF(SUM($C752:D752)&gt;0,C404+1,0),0)</f>
        <v>0</v>
      </c>
      <c r="E404" s="158">
        <f>IF(E$2&lt;=analysis_period,IF(SUM($C752:E752)&gt;0,D404+1,0),0)</f>
        <v>0</v>
      </c>
      <c r="F404" s="158">
        <f>IF(F$2&lt;=analysis_period,IF(SUM($C752:F752)&gt;0,E404+1,0),0)</f>
        <v>0</v>
      </c>
      <c r="G404" s="158">
        <f>IF(G$2&lt;=analysis_period,IF(SUM($C752:G752)&gt;0,F404+1,0),0)</f>
        <v>0</v>
      </c>
      <c r="H404" s="158">
        <f>IF(H$2&lt;=analysis_period,IF(SUM($C752:H752)&gt;0,G404+1,0),0)</f>
        <v>0</v>
      </c>
      <c r="I404" s="158">
        <f>IF(I$2&lt;=analysis_period,IF(SUM($C752:I752)&gt;0,H404+1,0),0)</f>
        <v>0</v>
      </c>
      <c r="J404" s="158">
        <f>IF(J$2&lt;=analysis_period,IF(SUM($C752:J752)&gt;0,I404+1,0),0)</f>
        <v>0</v>
      </c>
      <c r="K404" s="158">
        <f>IF(K$2&lt;=analysis_period,IF(SUM($C752:K752)&gt;0,J404+1,0),0)</f>
        <v>0</v>
      </c>
      <c r="L404" s="158">
        <f>IF(L$2&lt;=analysis_period,IF(SUM($C752:L752)&gt;0,K404+1,0),0)</f>
        <v>0</v>
      </c>
      <c r="M404" s="158">
        <f>IF(M$2&lt;=analysis_period,IF(SUM($C752:M752)&gt;0,L404+1,0),0)</f>
        <v>0</v>
      </c>
      <c r="N404" s="158">
        <f>IF(N$2&lt;=analysis_period,IF(SUM($C752:N752)&gt;0,M404+1,0),0)</f>
        <v>0</v>
      </c>
      <c r="O404" s="158">
        <f>IF(O$2&lt;=analysis_period,IF(SUM($C752:O752)&gt;0,N404+1,0),0)</f>
        <v>0</v>
      </c>
      <c r="P404" s="158">
        <f>IF(P$2&lt;=analysis_period,IF(SUM($C752:P752)&gt;0,O404+1,0),0)</f>
        <v>0</v>
      </c>
      <c r="Q404" s="158">
        <f>IF(Q$2&lt;=analysis_period,IF(SUM($C752:Q752)&gt;0,P404+1,0),0)</f>
        <v>0</v>
      </c>
      <c r="R404" s="158">
        <f>IF(R$2&lt;=analysis_period,IF(SUM($C752:R752)&gt;0,Q404+1,0),0)</f>
        <v>0</v>
      </c>
      <c r="S404" s="158">
        <f>IF(S$2&lt;=analysis_period,IF(SUM($C752:S752)&gt;0,R404+1,0),0)</f>
        <v>0</v>
      </c>
      <c r="T404" s="158">
        <f>IF(T$2&lt;=analysis_period,IF(SUM($C752:T752)&gt;0,S404+1,0),0)</f>
        <v>0</v>
      </c>
      <c r="U404" s="158">
        <f>IF(U$2&lt;=analysis_period,IF(SUM($C752:U752)&gt;0,T404+1,0),0)</f>
        <v>0</v>
      </c>
      <c r="V404" s="158">
        <f>IF(V$2&lt;=analysis_period,IF(SUM($C752:V752)&gt;0,U404+1,0),0)</f>
        <v>0</v>
      </c>
      <c r="W404" s="158">
        <f>IF(W$2&lt;=analysis_period,IF(SUM($C752:W752)&gt;0,V404+1,0),0)</f>
        <v>0</v>
      </c>
      <c r="X404" s="158">
        <f>IF(X$2&lt;=analysis_period,IF(SUM($C752:X752)&gt;0,W404+1,0),0)</f>
        <v>0</v>
      </c>
      <c r="Y404" s="158">
        <f>IF(Y$2&lt;=analysis_period,IF(SUM($C752:Y752)&gt;0,X404+1,0),0)</f>
        <v>0</v>
      </c>
      <c r="Z404" s="158">
        <f>IF(Z$2&lt;=analysis_period,IF(SUM($C752:Z752)&gt;0,Y404+1,0),0)</f>
        <v>0</v>
      </c>
      <c r="AA404" s="158">
        <f>IF(AA$2&lt;=analysis_period,IF(SUM($C752:AA752)&gt;0,Z404+1,0),0)</f>
        <v>0</v>
      </c>
      <c r="AB404" s="158">
        <f>IF(AB$2&lt;=analysis_period,IF(SUM($C752:AB752)&gt;0,AA404+1,0),0)</f>
        <v>0</v>
      </c>
      <c r="AC404" s="158">
        <f>IF(AC$2&lt;=analysis_period,IF(SUM($C752:AC752)&gt;0,AB404+1,0),0)</f>
        <v>0</v>
      </c>
      <c r="AD404" s="158">
        <f>IF(AD$2&lt;=analysis_period,IF(SUM($C752:AD752)&gt;0,AC404+1,0),0)</f>
        <v>0</v>
      </c>
      <c r="AE404" s="158">
        <f>IF(AE$2&lt;=analysis_period,IF(SUM($C752:AE752)&gt;0,AD404+1,0),0)</f>
        <v>0</v>
      </c>
      <c r="AF404" s="158">
        <f>IF(AF$2&lt;=analysis_period,IF(SUM($C752:AF752)&gt;0,AE404+1,0),0)</f>
        <v>0</v>
      </c>
      <c r="AG404" s="158">
        <f>IF(AG$2&lt;=analysis_period,IF(SUM($C752:AG752)&gt;0,AF404+1,0),0)</f>
        <v>0</v>
      </c>
      <c r="AH404" s="158">
        <f>IF(AH$2&lt;=analysis_period,IF(SUM($C752:AH752)&gt;0,AG404+1,0),0)</f>
        <v>0</v>
      </c>
      <c r="AI404" s="158">
        <f>IF(AI$2&lt;=analysis_period,IF(SUM($C752:AI752)&gt;0,AH404+1,0),0)</f>
        <v>0</v>
      </c>
      <c r="AJ404" s="158">
        <f>IF(AJ$2&lt;=analysis_period,IF(SUM($C752:AJ752)&gt;0,AI404+1,0),0)</f>
        <v>0</v>
      </c>
      <c r="AK404" s="158">
        <f>IF(AK$2&lt;=analysis_period,IF(SUM($C752:AK752)&gt;0,AJ404+1,0),0)</f>
        <v>0</v>
      </c>
      <c r="AL404" s="158">
        <f>IF(AL$2&lt;=analysis_period,IF(SUM($C752:AL752)&gt;0,AK404+1,0),0)</f>
        <v>0</v>
      </c>
      <c r="AM404" s="158">
        <f>IF(AM$2&lt;=analysis_period,IF(SUM($C752:AM752)&gt;0,AL404+1,0),0)</f>
        <v>0</v>
      </c>
      <c r="AN404" s="158">
        <f>IF(AN$2&lt;=analysis_period,IF(SUM($C752:AN752)&gt;0,AM404+1,0),0)</f>
        <v>0</v>
      </c>
      <c r="AO404" s="158">
        <f>IF(AO$2&lt;=analysis_period,IF(SUM($C752:AO752)&gt;0,AN404+1,0),0)</f>
        <v>0</v>
      </c>
      <c r="AP404" s="158">
        <f>IF(AP$2&lt;=analysis_period,IF(SUM($C752:AP752)&gt;0,AO404+1,0),0)</f>
        <v>0</v>
      </c>
    </row>
    <row r="405" spans="1:42" x14ac:dyDescent="0.2">
      <c r="A405" s="4">
        <f t="shared" si="162"/>
        <v>6</v>
      </c>
      <c r="B405" s="4">
        <v>0</v>
      </c>
      <c r="C405" s="158">
        <f>IF(C$2&lt;=analysis_period,IF(SUM($C753:C753)&gt;0,B405+1,0),0)</f>
        <v>0</v>
      </c>
      <c r="D405" s="158">
        <f>IF(D$2&lt;=analysis_period,IF(SUM($C753:D753)&gt;0,C405+1,0),0)</f>
        <v>0</v>
      </c>
      <c r="E405" s="158">
        <f>IF(E$2&lt;=analysis_period,IF(SUM($C753:E753)&gt;0,D405+1,0),0)</f>
        <v>0</v>
      </c>
      <c r="F405" s="158">
        <f>IF(F$2&lt;=analysis_period,IF(SUM($C753:F753)&gt;0,E405+1,0),0)</f>
        <v>0</v>
      </c>
      <c r="G405" s="158">
        <f>IF(G$2&lt;=analysis_period,IF(SUM($C753:G753)&gt;0,F405+1,0),0)</f>
        <v>0</v>
      </c>
      <c r="H405" s="158">
        <f>IF(H$2&lt;=analysis_period,IF(SUM($C753:H753)&gt;0,G405+1,0),0)</f>
        <v>0</v>
      </c>
      <c r="I405" s="158">
        <f>IF(I$2&lt;=analysis_period,IF(SUM($C753:I753)&gt;0,H405+1,0),0)</f>
        <v>0</v>
      </c>
      <c r="J405" s="158">
        <f>IF(J$2&lt;=analysis_period,IF(SUM($C753:J753)&gt;0,I405+1,0),0)</f>
        <v>0</v>
      </c>
      <c r="K405" s="158">
        <f>IF(K$2&lt;=analysis_period,IF(SUM($C753:K753)&gt;0,J405+1,0),0)</f>
        <v>0</v>
      </c>
      <c r="L405" s="158">
        <f>IF(L$2&lt;=analysis_period,IF(SUM($C753:L753)&gt;0,K405+1,0),0)</f>
        <v>0</v>
      </c>
      <c r="M405" s="158">
        <f>IF(M$2&lt;=analysis_period,IF(SUM($C753:M753)&gt;0,L405+1,0),0)</f>
        <v>0</v>
      </c>
      <c r="N405" s="158">
        <f>IF(N$2&lt;=analysis_period,IF(SUM($C753:N753)&gt;0,M405+1,0),0)</f>
        <v>0</v>
      </c>
      <c r="O405" s="158">
        <f>IF(O$2&lt;=analysis_period,IF(SUM($C753:O753)&gt;0,N405+1,0),0)</f>
        <v>0</v>
      </c>
      <c r="P405" s="158">
        <f>IF(P$2&lt;=analysis_period,IF(SUM($C753:P753)&gt;0,O405+1,0),0)</f>
        <v>0</v>
      </c>
      <c r="Q405" s="158">
        <f>IF(Q$2&lt;=analysis_period,IF(SUM($C753:Q753)&gt;0,P405+1,0),0)</f>
        <v>0</v>
      </c>
      <c r="R405" s="158">
        <f>IF(R$2&lt;=analysis_period,IF(SUM($C753:R753)&gt;0,Q405+1,0),0)</f>
        <v>0</v>
      </c>
      <c r="S405" s="158">
        <f>IF(S$2&lt;=analysis_period,IF(SUM($C753:S753)&gt;0,R405+1,0),0)</f>
        <v>0</v>
      </c>
      <c r="T405" s="158">
        <f>IF(T$2&lt;=analysis_period,IF(SUM($C753:T753)&gt;0,S405+1,0),0)</f>
        <v>0</v>
      </c>
      <c r="U405" s="158">
        <f>IF(U$2&lt;=analysis_period,IF(SUM($C753:U753)&gt;0,T405+1,0),0)</f>
        <v>0</v>
      </c>
      <c r="V405" s="158">
        <f>IF(V$2&lt;=analysis_period,IF(SUM($C753:V753)&gt;0,U405+1,0),0)</f>
        <v>0</v>
      </c>
      <c r="W405" s="158">
        <f>IF(W$2&lt;=analysis_period,IF(SUM($C753:W753)&gt;0,V405+1,0),0)</f>
        <v>0</v>
      </c>
      <c r="X405" s="158">
        <f>IF(X$2&lt;=analysis_period,IF(SUM($C753:X753)&gt;0,W405+1,0),0)</f>
        <v>0</v>
      </c>
      <c r="Y405" s="158">
        <f>IF(Y$2&lt;=analysis_period,IF(SUM($C753:Y753)&gt;0,X405+1,0),0)</f>
        <v>0</v>
      </c>
      <c r="Z405" s="158">
        <f>IF(Z$2&lt;=analysis_period,IF(SUM($C753:Z753)&gt;0,Y405+1,0),0)</f>
        <v>0</v>
      </c>
      <c r="AA405" s="158">
        <f>IF(AA$2&lt;=analysis_period,IF(SUM($C753:AA753)&gt;0,Z405+1,0),0)</f>
        <v>0</v>
      </c>
      <c r="AB405" s="158">
        <f>IF(AB$2&lt;=analysis_period,IF(SUM($C753:AB753)&gt;0,AA405+1,0),0)</f>
        <v>0</v>
      </c>
      <c r="AC405" s="158">
        <f>IF(AC$2&lt;=analysis_period,IF(SUM($C753:AC753)&gt;0,AB405+1,0),0)</f>
        <v>0</v>
      </c>
      <c r="AD405" s="158">
        <f>IF(AD$2&lt;=analysis_period,IF(SUM($C753:AD753)&gt;0,AC405+1,0),0)</f>
        <v>0</v>
      </c>
      <c r="AE405" s="158">
        <f>IF(AE$2&lt;=analysis_period,IF(SUM($C753:AE753)&gt;0,AD405+1,0),0)</f>
        <v>0</v>
      </c>
      <c r="AF405" s="158">
        <f>IF(AF$2&lt;=analysis_period,IF(SUM($C753:AF753)&gt;0,AE405+1,0),0)</f>
        <v>0</v>
      </c>
      <c r="AG405" s="158">
        <f>IF(AG$2&lt;=analysis_period,IF(SUM($C753:AG753)&gt;0,AF405+1,0),0)</f>
        <v>0</v>
      </c>
      <c r="AH405" s="158">
        <f>IF(AH$2&lt;=analysis_period,IF(SUM($C753:AH753)&gt;0,AG405+1,0),0)</f>
        <v>0</v>
      </c>
      <c r="AI405" s="158">
        <f>IF(AI$2&lt;=analysis_period,IF(SUM($C753:AI753)&gt;0,AH405+1,0),0)</f>
        <v>0</v>
      </c>
      <c r="AJ405" s="158">
        <f>IF(AJ$2&lt;=analysis_period,IF(SUM($C753:AJ753)&gt;0,AI405+1,0),0)</f>
        <v>0</v>
      </c>
      <c r="AK405" s="158">
        <f>IF(AK$2&lt;=analysis_period,IF(SUM($C753:AK753)&gt;0,AJ405+1,0),0)</f>
        <v>0</v>
      </c>
      <c r="AL405" s="158">
        <f>IF(AL$2&lt;=analysis_period,IF(SUM($C753:AL753)&gt;0,AK405+1,0),0)</f>
        <v>0</v>
      </c>
      <c r="AM405" s="158">
        <f>IF(AM$2&lt;=analysis_period,IF(SUM($C753:AM753)&gt;0,AL405+1,0),0)</f>
        <v>0</v>
      </c>
      <c r="AN405" s="158">
        <f>IF(AN$2&lt;=analysis_period,IF(SUM($C753:AN753)&gt;0,AM405+1,0),0)</f>
        <v>0</v>
      </c>
      <c r="AO405" s="158">
        <f>IF(AO$2&lt;=analysis_period,IF(SUM($C753:AO753)&gt;0,AN405+1,0),0)</f>
        <v>0</v>
      </c>
      <c r="AP405" s="158">
        <f>IF(AP$2&lt;=analysis_period,IF(SUM($C753:AP753)&gt;0,AO405+1,0),0)</f>
        <v>0</v>
      </c>
    </row>
    <row r="406" spans="1:42" x14ac:dyDescent="0.2">
      <c r="A406" s="4">
        <f t="shared" si="162"/>
        <v>7</v>
      </c>
      <c r="B406" s="4">
        <v>0</v>
      </c>
      <c r="C406" s="158">
        <f>IF(C$2&lt;=analysis_period,IF(SUM($C754:C754)&gt;0,B406+1,0),0)</f>
        <v>0</v>
      </c>
      <c r="D406" s="158">
        <f>IF(D$2&lt;=analysis_period,IF(SUM($C754:D754)&gt;0,C406+1,0),0)</f>
        <v>0</v>
      </c>
      <c r="E406" s="158">
        <f>IF(E$2&lt;=analysis_period,IF(SUM($C754:E754)&gt;0,D406+1,0),0)</f>
        <v>0</v>
      </c>
      <c r="F406" s="158">
        <f>IF(F$2&lt;=analysis_period,IF(SUM($C754:F754)&gt;0,E406+1,0),0)</f>
        <v>0</v>
      </c>
      <c r="G406" s="158">
        <f>IF(G$2&lt;=analysis_period,IF(SUM($C754:G754)&gt;0,F406+1,0),0)</f>
        <v>0</v>
      </c>
      <c r="H406" s="158">
        <f>IF(H$2&lt;=analysis_period,IF(SUM($C754:H754)&gt;0,G406+1,0),0)</f>
        <v>0</v>
      </c>
      <c r="I406" s="158">
        <f>IF(I$2&lt;=analysis_period,IF(SUM($C754:I754)&gt;0,H406+1,0),0)</f>
        <v>0</v>
      </c>
      <c r="J406" s="158">
        <f>IF(J$2&lt;=analysis_period,IF(SUM($C754:J754)&gt;0,I406+1,0),0)</f>
        <v>0</v>
      </c>
      <c r="K406" s="158">
        <f>IF(K$2&lt;=analysis_period,IF(SUM($C754:K754)&gt;0,J406+1,0),0)</f>
        <v>0</v>
      </c>
      <c r="L406" s="158">
        <f>IF(L$2&lt;=analysis_period,IF(SUM($C754:L754)&gt;0,K406+1,0),0)</f>
        <v>0</v>
      </c>
      <c r="M406" s="158">
        <f>IF(M$2&lt;=analysis_period,IF(SUM($C754:M754)&gt;0,L406+1,0),0)</f>
        <v>0</v>
      </c>
      <c r="N406" s="158">
        <f>IF(N$2&lt;=analysis_period,IF(SUM($C754:N754)&gt;0,M406+1,0),0)</f>
        <v>0</v>
      </c>
      <c r="O406" s="158">
        <f>IF(O$2&lt;=analysis_period,IF(SUM($C754:O754)&gt;0,N406+1,0),0)</f>
        <v>0</v>
      </c>
      <c r="P406" s="158">
        <f>IF(P$2&lt;=analysis_period,IF(SUM($C754:P754)&gt;0,O406+1,0),0)</f>
        <v>0</v>
      </c>
      <c r="Q406" s="158">
        <f>IF(Q$2&lt;=analysis_period,IF(SUM($C754:Q754)&gt;0,P406+1,0),0)</f>
        <v>0</v>
      </c>
      <c r="R406" s="158">
        <f>IF(R$2&lt;=analysis_period,IF(SUM($C754:R754)&gt;0,Q406+1,0),0)</f>
        <v>0</v>
      </c>
      <c r="S406" s="158">
        <f>IF(S$2&lt;=analysis_period,IF(SUM($C754:S754)&gt;0,R406+1,0),0)</f>
        <v>0</v>
      </c>
      <c r="T406" s="158">
        <f>IF(T$2&lt;=analysis_period,IF(SUM($C754:T754)&gt;0,S406+1,0),0)</f>
        <v>0</v>
      </c>
      <c r="U406" s="158">
        <f>IF(U$2&lt;=analysis_period,IF(SUM($C754:U754)&gt;0,T406+1,0),0)</f>
        <v>0</v>
      </c>
      <c r="V406" s="158">
        <f>IF(V$2&lt;=analysis_period,IF(SUM($C754:V754)&gt;0,U406+1,0),0)</f>
        <v>0</v>
      </c>
      <c r="W406" s="158">
        <f>IF(W$2&lt;=analysis_period,IF(SUM($C754:W754)&gt;0,V406+1,0),0)</f>
        <v>0</v>
      </c>
      <c r="X406" s="158">
        <f>IF(X$2&lt;=analysis_period,IF(SUM($C754:X754)&gt;0,W406+1,0),0)</f>
        <v>0</v>
      </c>
      <c r="Y406" s="158">
        <f>IF(Y$2&lt;=analysis_period,IF(SUM($C754:Y754)&gt;0,X406+1,0),0)</f>
        <v>0</v>
      </c>
      <c r="Z406" s="158">
        <f>IF(Z$2&lt;=analysis_period,IF(SUM($C754:Z754)&gt;0,Y406+1,0),0)</f>
        <v>0</v>
      </c>
      <c r="AA406" s="158">
        <f>IF(AA$2&lt;=analysis_period,IF(SUM($C754:AA754)&gt;0,Z406+1,0),0)</f>
        <v>0</v>
      </c>
      <c r="AB406" s="158">
        <f>IF(AB$2&lt;=analysis_period,IF(SUM($C754:AB754)&gt;0,AA406+1,0),0)</f>
        <v>0</v>
      </c>
      <c r="AC406" s="158">
        <f>IF(AC$2&lt;=analysis_period,IF(SUM($C754:AC754)&gt;0,AB406+1,0),0)</f>
        <v>0</v>
      </c>
      <c r="AD406" s="158">
        <f>IF(AD$2&lt;=analysis_period,IF(SUM($C754:AD754)&gt;0,AC406+1,0),0)</f>
        <v>0</v>
      </c>
      <c r="AE406" s="158">
        <f>IF(AE$2&lt;=analysis_period,IF(SUM($C754:AE754)&gt;0,AD406+1,0),0)</f>
        <v>0</v>
      </c>
      <c r="AF406" s="158">
        <f>IF(AF$2&lt;=analysis_period,IF(SUM($C754:AF754)&gt;0,AE406+1,0),0)</f>
        <v>0</v>
      </c>
      <c r="AG406" s="158">
        <f>IF(AG$2&lt;=analysis_period,IF(SUM($C754:AG754)&gt;0,AF406+1,0),0)</f>
        <v>0</v>
      </c>
      <c r="AH406" s="158">
        <f>IF(AH$2&lt;=analysis_period,IF(SUM($C754:AH754)&gt;0,AG406+1,0),0)</f>
        <v>0</v>
      </c>
      <c r="AI406" s="158">
        <f>IF(AI$2&lt;=analysis_period,IF(SUM($C754:AI754)&gt;0,AH406+1,0),0)</f>
        <v>0</v>
      </c>
      <c r="AJ406" s="158">
        <f>IF(AJ$2&lt;=analysis_period,IF(SUM($C754:AJ754)&gt;0,AI406+1,0),0)</f>
        <v>0</v>
      </c>
      <c r="AK406" s="158">
        <f>IF(AK$2&lt;=analysis_period,IF(SUM($C754:AK754)&gt;0,AJ406+1,0),0)</f>
        <v>0</v>
      </c>
      <c r="AL406" s="158">
        <f>IF(AL$2&lt;=analysis_period,IF(SUM($C754:AL754)&gt;0,AK406+1,0),0)</f>
        <v>0</v>
      </c>
      <c r="AM406" s="158">
        <f>IF(AM$2&lt;=analysis_period,IF(SUM($C754:AM754)&gt;0,AL406+1,0),0)</f>
        <v>0</v>
      </c>
      <c r="AN406" s="158">
        <f>IF(AN$2&lt;=analysis_period,IF(SUM($C754:AN754)&gt;0,AM406+1,0),0)</f>
        <v>0</v>
      </c>
      <c r="AO406" s="158">
        <f>IF(AO$2&lt;=analysis_period,IF(SUM($C754:AO754)&gt;0,AN406+1,0),0)</f>
        <v>0</v>
      </c>
      <c r="AP406" s="158">
        <f>IF(AP$2&lt;=analysis_period,IF(SUM($C754:AP754)&gt;0,AO406+1,0),0)</f>
        <v>0</v>
      </c>
    </row>
    <row r="407" spans="1:42" x14ac:dyDescent="0.2">
      <c r="A407" s="4">
        <f t="shared" si="162"/>
        <v>8</v>
      </c>
      <c r="B407" s="4">
        <v>0</v>
      </c>
      <c r="C407" s="158">
        <f>IF(C$2&lt;=analysis_period,IF(SUM($C755:C755)&gt;0,B407+1,0),0)</f>
        <v>0</v>
      </c>
      <c r="D407" s="158">
        <f>IF(D$2&lt;=analysis_period,IF(SUM($C755:D755)&gt;0,C407+1,0),0)</f>
        <v>0</v>
      </c>
      <c r="E407" s="158">
        <f>IF(E$2&lt;=analysis_period,IF(SUM($C755:E755)&gt;0,D407+1,0),0)</f>
        <v>0</v>
      </c>
      <c r="F407" s="158">
        <f>IF(F$2&lt;=analysis_period,IF(SUM($C755:F755)&gt;0,E407+1,0),0)</f>
        <v>0</v>
      </c>
      <c r="G407" s="158">
        <f>IF(G$2&lt;=analysis_period,IF(SUM($C755:G755)&gt;0,F407+1,0),0)</f>
        <v>0</v>
      </c>
      <c r="H407" s="158">
        <f>IF(H$2&lt;=analysis_period,IF(SUM($C755:H755)&gt;0,G407+1,0),0)</f>
        <v>0</v>
      </c>
      <c r="I407" s="158">
        <f>IF(I$2&lt;=analysis_period,IF(SUM($C755:I755)&gt;0,H407+1,0),0)</f>
        <v>0</v>
      </c>
      <c r="J407" s="158">
        <f>IF(J$2&lt;=analysis_period,IF(SUM($C755:J755)&gt;0,I407+1,0),0)</f>
        <v>0</v>
      </c>
      <c r="K407" s="158">
        <f>IF(K$2&lt;=analysis_period,IF(SUM($C755:K755)&gt;0,J407+1,0),0)</f>
        <v>0</v>
      </c>
      <c r="L407" s="158">
        <f>IF(L$2&lt;=analysis_period,IF(SUM($C755:L755)&gt;0,K407+1,0),0)</f>
        <v>0</v>
      </c>
      <c r="M407" s="158">
        <f>IF(M$2&lt;=analysis_period,IF(SUM($C755:M755)&gt;0,L407+1,0),0)</f>
        <v>0</v>
      </c>
      <c r="N407" s="158">
        <f>IF(N$2&lt;=analysis_period,IF(SUM($C755:N755)&gt;0,M407+1,0),0)</f>
        <v>0</v>
      </c>
      <c r="O407" s="158">
        <f>IF(O$2&lt;=analysis_period,IF(SUM($C755:O755)&gt;0,N407+1,0),0)</f>
        <v>0</v>
      </c>
      <c r="P407" s="158">
        <f>IF(P$2&lt;=analysis_period,IF(SUM($C755:P755)&gt;0,O407+1,0),0)</f>
        <v>0</v>
      </c>
      <c r="Q407" s="158">
        <f>IF(Q$2&lt;=analysis_period,IF(SUM($C755:Q755)&gt;0,P407+1,0),0)</f>
        <v>0</v>
      </c>
      <c r="R407" s="158">
        <f>IF(R$2&lt;=analysis_period,IF(SUM($C755:R755)&gt;0,Q407+1,0),0)</f>
        <v>0</v>
      </c>
      <c r="S407" s="158">
        <f>IF(S$2&lt;=analysis_period,IF(SUM($C755:S755)&gt;0,R407+1,0),0)</f>
        <v>0</v>
      </c>
      <c r="T407" s="158">
        <f>IF(T$2&lt;=analysis_period,IF(SUM($C755:T755)&gt;0,S407+1,0),0)</f>
        <v>0</v>
      </c>
      <c r="U407" s="158">
        <f>IF(U$2&lt;=analysis_period,IF(SUM($C755:U755)&gt;0,T407+1,0),0)</f>
        <v>0</v>
      </c>
      <c r="V407" s="158">
        <f>IF(V$2&lt;=analysis_period,IF(SUM($C755:V755)&gt;0,U407+1,0),0)</f>
        <v>0</v>
      </c>
      <c r="W407" s="158">
        <f>IF(W$2&lt;=analysis_period,IF(SUM($C755:W755)&gt;0,V407+1,0),0)</f>
        <v>0</v>
      </c>
      <c r="X407" s="158">
        <f>IF(X$2&lt;=analysis_period,IF(SUM($C755:X755)&gt;0,W407+1,0),0)</f>
        <v>0</v>
      </c>
      <c r="Y407" s="158">
        <f>IF(Y$2&lt;=analysis_period,IF(SUM($C755:Y755)&gt;0,X407+1,0),0)</f>
        <v>0</v>
      </c>
      <c r="Z407" s="158">
        <f>IF(Z$2&lt;=analysis_period,IF(SUM($C755:Z755)&gt;0,Y407+1,0),0)</f>
        <v>0</v>
      </c>
      <c r="AA407" s="158">
        <f>IF(AA$2&lt;=analysis_period,IF(SUM($C755:AA755)&gt;0,Z407+1,0),0)</f>
        <v>0</v>
      </c>
      <c r="AB407" s="158">
        <f>IF(AB$2&lt;=analysis_period,IF(SUM($C755:AB755)&gt;0,AA407+1,0),0)</f>
        <v>0</v>
      </c>
      <c r="AC407" s="158">
        <f>IF(AC$2&lt;=analysis_period,IF(SUM($C755:AC755)&gt;0,AB407+1,0),0)</f>
        <v>0</v>
      </c>
      <c r="AD407" s="158">
        <f>IF(AD$2&lt;=analysis_period,IF(SUM($C755:AD755)&gt;0,AC407+1,0),0)</f>
        <v>0</v>
      </c>
      <c r="AE407" s="158">
        <f>IF(AE$2&lt;=analysis_period,IF(SUM($C755:AE755)&gt;0,AD407+1,0),0)</f>
        <v>0</v>
      </c>
      <c r="AF407" s="158">
        <f>IF(AF$2&lt;=analysis_period,IF(SUM($C755:AF755)&gt;0,AE407+1,0),0)</f>
        <v>0</v>
      </c>
      <c r="AG407" s="158">
        <f>IF(AG$2&lt;=analysis_period,IF(SUM($C755:AG755)&gt;0,AF407+1,0),0)</f>
        <v>0</v>
      </c>
      <c r="AH407" s="158">
        <f>IF(AH$2&lt;=analysis_period,IF(SUM($C755:AH755)&gt;0,AG407+1,0),0)</f>
        <v>0</v>
      </c>
      <c r="AI407" s="158">
        <f>IF(AI$2&lt;=analysis_period,IF(SUM($C755:AI755)&gt;0,AH407+1,0),0)</f>
        <v>0</v>
      </c>
      <c r="AJ407" s="158">
        <f>IF(AJ$2&lt;=analysis_period,IF(SUM($C755:AJ755)&gt;0,AI407+1,0),0)</f>
        <v>0</v>
      </c>
      <c r="AK407" s="158">
        <f>IF(AK$2&lt;=analysis_period,IF(SUM($C755:AK755)&gt;0,AJ407+1,0),0)</f>
        <v>0</v>
      </c>
      <c r="AL407" s="158">
        <f>IF(AL$2&lt;=analysis_period,IF(SUM($C755:AL755)&gt;0,AK407+1,0),0)</f>
        <v>0</v>
      </c>
      <c r="AM407" s="158">
        <f>IF(AM$2&lt;=analysis_period,IF(SUM($C755:AM755)&gt;0,AL407+1,0),0)</f>
        <v>0</v>
      </c>
      <c r="AN407" s="158">
        <f>IF(AN$2&lt;=analysis_period,IF(SUM($C755:AN755)&gt;0,AM407+1,0),0)</f>
        <v>0</v>
      </c>
      <c r="AO407" s="158">
        <f>IF(AO$2&lt;=analysis_period,IF(SUM($C755:AO755)&gt;0,AN407+1,0),0)</f>
        <v>0</v>
      </c>
      <c r="AP407" s="158">
        <f>IF(AP$2&lt;=analysis_period,IF(SUM($C755:AP755)&gt;0,AO407+1,0),0)</f>
        <v>0</v>
      </c>
    </row>
    <row r="408" spans="1:42" x14ac:dyDescent="0.2">
      <c r="A408" s="4">
        <f>A407+1</f>
        <v>9</v>
      </c>
      <c r="B408" s="4">
        <v>0</v>
      </c>
      <c r="C408" s="158">
        <f>IF(C$2&lt;=analysis_period,IF(SUM($C756:C756)&gt;0,B408+1,0),0)</f>
        <v>0</v>
      </c>
      <c r="D408" s="158">
        <f>IF(D$2&lt;=analysis_period,IF(SUM($C756:D756)&gt;0,C408+1,0),0)</f>
        <v>0</v>
      </c>
      <c r="E408" s="158">
        <f>IF(E$2&lt;=analysis_period,IF(SUM($C756:E756)&gt;0,D408+1,0),0)</f>
        <v>0</v>
      </c>
      <c r="F408" s="158">
        <f>IF(F$2&lt;=analysis_period,IF(SUM($C756:F756)&gt;0,E408+1,0),0)</f>
        <v>0</v>
      </c>
      <c r="G408" s="158">
        <f>IF(G$2&lt;=analysis_period,IF(SUM($C756:G756)&gt;0,F408+1,0),0)</f>
        <v>0</v>
      </c>
      <c r="H408" s="158">
        <f>IF(H$2&lt;=analysis_period,IF(SUM($C756:H756)&gt;0,G408+1,0),0)</f>
        <v>0</v>
      </c>
      <c r="I408" s="158">
        <f>IF(I$2&lt;=analysis_period,IF(SUM($C756:I756)&gt;0,H408+1,0),0)</f>
        <v>0</v>
      </c>
      <c r="J408" s="158">
        <f>IF(J$2&lt;=analysis_period,IF(SUM($C756:J756)&gt;0,I408+1,0),0)</f>
        <v>0</v>
      </c>
      <c r="K408" s="158">
        <f>IF(K$2&lt;=analysis_period,IF(SUM($C756:K756)&gt;0,J408+1,0),0)</f>
        <v>0</v>
      </c>
      <c r="L408" s="158">
        <f>IF(L$2&lt;=analysis_period,IF(SUM($C756:L756)&gt;0,K408+1,0),0)</f>
        <v>0</v>
      </c>
      <c r="M408" s="158">
        <f>IF(M$2&lt;=analysis_period,IF(SUM($C756:M756)&gt;0,L408+1,0),0)</f>
        <v>0</v>
      </c>
      <c r="N408" s="158">
        <f>IF(N$2&lt;=analysis_period,IF(SUM($C756:N756)&gt;0,M408+1,0),0)</f>
        <v>0</v>
      </c>
      <c r="O408" s="158">
        <f>IF(O$2&lt;=analysis_period,IF(SUM($C756:O756)&gt;0,N408+1,0),0)</f>
        <v>0</v>
      </c>
      <c r="P408" s="158">
        <f>IF(P$2&lt;=analysis_period,IF(SUM($C756:P756)&gt;0,O408+1,0),0)</f>
        <v>0</v>
      </c>
      <c r="Q408" s="158">
        <f>IF(Q$2&lt;=analysis_period,IF(SUM($C756:Q756)&gt;0,P408+1,0),0)</f>
        <v>0</v>
      </c>
      <c r="R408" s="158">
        <f>IF(R$2&lt;=analysis_period,IF(SUM($C756:R756)&gt;0,Q408+1,0),0)</f>
        <v>0</v>
      </c>
      <c r="S408" s="158">
        <f>IF(S$2&lt;=analysis_period,IF(SUM($C756:S756)&gt;0,R408+1,0),0)</f>
        <v>0</v>
      </c>
      <c r="T408" s="158">
        <f>IF(T$2&lt;=analysis_period,IF(SUM($C756:T756)&gt;0,S408+1,0),0)</f>
        <v>0</v>
      </c>
      <c r="U408" s="158">
        <f>IF(U$2&lt;=analysis_period,IF(SUM($C756:U756)&gt;0,T408+1,0),0)</f>
        <v>0</v>
      </c>
      <c r="V408" s="158">
        <f>IF(V$2&lt;=analysis_period,IF(SUM($C756:V756)&gt;0,U408+1,0),0)</f>
        <v>0</v>
      </c>
      <c r="W408" s="158">
        <f>IF(W$2&lt;=analysis_period,IF(SUM($C756:W756)&gt;0,V408+1,0),0)</f>
        <v>0</v>
      </c>
      <c r="X408" s="158">
        <f>IF(X$2&lt;=analysis_period,IF(SUM($C756:X756)&gt;0,W408+1,0),0)</f>
        <v>0</v>
      </c>
      <c r="Y408" s="158">
        <f>IF(Y$2&lt;=analysis_period,IF(SUM($C756:Y756)&gt;0,X408+1,0),0)</f>
        <v>0</v>
      </c>
      <c r="Z408" s="158">
        <f>IF(Z$2&lt;=analysis_period,IF(SUM($C756:Z756)&gt;0,Y408+1,0),0)</f>
        <v>0</v>
      </c>
      <c r="AA408" s="158">
        <f>IF(AA$2&lt;=analysis_period,IF(SUM($C756:AA756)&gt;0,Z408+1,0),0)</f>
        <v>0</v>
      </c>
      <c r="AB408" s="158">
        <f>IF(AB$2&lt;=analysis_period,IF(SUM($C756:AB756)&gt;0,AA408+1,0),0)</f>
        <v>0</v>
      </c>
      <c r="AC408" s="158">
        <f>IF(AC$2&lt;=analysis_period,IF(SUM($C756:AC756)&gt;0,AB408+1,0),0)</f>
        <v>0</v>
      </c>
      <c r="AD408" s="158">
        <f>IF(AD$2&lt;=analysis_period,IF(SUM($C756:AD756)&gt;0,AC408+1,0),0)</f>
        <v>0</v>
      </c>
      <c r="AE408" s="158">
        <f>IF(AE$2&lt;=analysis_period,IF(SUM($C756:AE756)&gt;0,AD408+1,0),0)</f>
        <v>0</v>
      </c>
      <c r="AF408" s="158">
        <f>IF(AF$2&lt;=analysis_period,IF(SUM($C756:AF756)&gt;0,AE408+1,0),0)</f>
        <v>0</v>
      </c>
      <c r="AG408" s="158">
        <f>IF(AG$2&lt;=analysis_period,IF(SUM($C756:AG756)&gt;0,AF408+1,0),0)</f>
        <v>0</v>
      </c>
      <c r="AH408" s="158">
        <f>IF(AH$2&lt;=analysis_period,IF(SUM($C756:AH756)&gt;0,AG408+1,0),0)</f>
        <v>0</v>
      </c>
      <c r="AI408" s="158">
        <f>IF(AI$2&lt;=analysis_period,IF(SUM($C756:AI756)&gt;0,AH408+1,0),0)</f>
        <v>0</v>
      </c>
      <c r="AJ408" s="158">
        <f>IF(AJ$2&lt;=analysis_period,IF(SUM($C756:AJ756)&gt;0,AI408+1,0),0)</f>
        <v>0</v>
      </c>
      <c r="AK408" s="158">
        <f>IF(AK$2&lt;=analysis_period,IF(SUM($C756:AK756)&gt;0,AJ408+1,0),0)</f>
        <v>0</v>
      </c>
      <c r="AL408" s="158">
        <f>IF(AL$2&lt;=analysis_period,IF(SUM($C756:AL756)&gt;0,AK408+1,0),0)</f>
        <v>0</v>
      </c>
      <c r="AM408" s="158">
        <f>IF(AM$2&lt;=analysis_period,IF(SUM($C756:AM756)&gt;0,AL408+1,0),0)</f>
        <v>0</v>
      </c>
      <c r="AN408" s="158">
        <f>IF(AN$2&lt;=analysis_period,IF(SUM($C756:AN756)&gt;0,AM408+1,0),0)</f>
        <v>0</v>
      </c>
      <c r="AO408" s="158">
        <f>IF(AO$2&lt;=analysis_period,IF(SUM($C756:AO756)&gt;0,AN408+1,0),0)</f>
        <v>0</v>
      </c>
      <c r="AP408" s="158">
        <f>IF(AP$2&lt;=analysis_period,IF(SUM($C756:AP756)&gt;0,AO408+1,0),0)</f>
        <v>0</v>
      </c>
    </row>
    <row r="409" spans="1:42" x14ac:dyDescent="0.2">
      <c r="A409" s="4">
        <f t="shared" si="162"/>
        <v>10</v>
      </c>
      <c r="B409" s="4">
        <v>0</v>
      </c>
      <c r="C409" s="158">
        <f>IF(C$2&lt;=analysis_period,IF(SUM($C757:C757)&gt;0,B409+1,0),0)</f>
        <v>0</v>
      </c>
      <c r="D409" s="158">
        <f>IF(D$2&lt;=analysis_period,IF(SUM($C757:D757)&gt;0,C409+1,0),0)</f>
        <v>0</v>
      </c>
      <c r="E409" s="158">
        <f>IF(E$2&lt;=analysis_period,IF(SUM($C757:E757)&gt;0,D409+1,0),0)</f>
        <v>0</v>
      </c>
      <c r="F409" s="158">
        <f>IF(F$2&lt;=analysis_period,IF(SUM($C757:F757)&gt;0,E409+1,0),0)</f>
        <v>0</v>
      </c>
      <c r="G409" s="158">
        <f>IF(G$2&lt;=analysis_period,IF(SUM($C757:G757)&gt;0,F409+1,0),0)</f>
        <v>0</v>
      </c>
      <c r="H409" s="158">
        <f>IF(H$2&lt;=analysis_period,IF(SUM($C757:H757)&gt;0,G409+1,0),0)</f>
        <v>0</v>
      </c>
      <c r="I409" s="158">
        <f>IF(I$2&lt;=analysis_period,IF(SUM($C757:I757)&gt;0,H409+1,0),0)</f>
        <v>0</v>
      </c>
      <c r="J409" s="158">
        <f>IF(J$2&lt;=analysis_period,IF(SUM($C757:J757)&gt;0,I409+1,0),0)</f>
        <v>0</v>
      </c>
      <c r="K409" s="158">
        <f>IF(K$2&lt;=analysis_period,IF(SUM($C757:K757)&gt;0,J409+1,0),0)</f>
        <v>0</v>
      </c>
      <c r="L409" s="158">
        <f>IF(L$2&lt;=analysis_period,IF(SUM($C757:L757)&gt;0,K409+1,0),0)</f>
        <v>0</v>
      </c>
      <c r="M409" s="158">
        <f>IF(M$2&lt;=analysis_period,IF(SUM($C757:M757)&gt;0,L409+1,0),0)</f>
        <v>0</v>
      </c>
      <c r="N409" s="158">
        <f>IF(N$2&lt;=analysis_period,IF(SUM($C757:N757)&gt;0,M409+1,0),0)</f>
        <v>0</v>
      </c>
      <c r="O409" s="158">
        <f>IF(O$2&lt;=analysis_period,IF(SUM($C757:O757)&gt;0,N409+1,0),0)</f>
        <v>0</v>
      </c>
      <c r="P409" s="158">
        <f>IF(P$2&lt;=analysis_period,IF(SUM($C757:P757)&gt;0,O409+1,0),0)</f>
        <v>0</v>
      </c>
      <c r="Q409" s="158">
        <f>IF(Q$2&lt;=analysis_period,IF(SUM($C757:Q757)&gt;0,P409+1,0),0)</f>
        <v>0</v>
      </c>
      <c r="R409" s="158">
        <f>IF(R$2&lt;=analysis_period,IF(SUM($C757:R757)&gt;0,Q409+1,0),0)</f>
        <v>0</v>
      </c>
      <c r="S409" s="158">
        <f>IF(S$2&lt;=analysis_period,IF(SUM($C757:S757)&gt;0,R409+1,0),0)</f>
        <v>0</v>
      </c>
      <c r="T409" s="158">
        <f>IF(T$2&lt;=analysis_period,IF(SUM($C757:T757)&gt;0,S409+1,0),0)</f>
        <v>0</v>
      </c>
      <c r="U409" s="158">
        <f>IF(U$2&lt;=analysis_period,IF(SUM($C757:U757)&gt;0,T409+1,0),0)</f>
        <v>0</v>
      </c>
      <c r="V409" s="158">
        <f>IF(V$2&lt;=analysis_period,IF(SUM($C757:V757)&gt;0,U409+1,0),0)</f>
        <v>0</v>
      </c>
      <c r="W409" s="158">
        <f>IF(W$2&lt;=analysis_period,IF(SUM($C757:W757)&gt;0,V409+1,0),0)</f>
        <v>0</v>
      </c>
      <c r="X409" s="158">
        <f>IF(X$2&lt;=analysis_period,IF(SUM($C757:X757)&gt;0,W409+1,0),0)</f>
        <v>0</v>
      </c>
      <c r="Y409" s="158">
        <f>IF(Y$2&lt;=analysis_period,IF(SUM($C757:Y757)&gt;0,X409+1,0),0)</f>
        <v>0</v>
      </c>
      <c r="Z409" s="158">
        <f>IF(Z$2&lt;=analysis_period,IF(SUM($C757:Z757)&gt;0,Y409+1,0),0)</f>
        <v>0</v>
      </c>
      <c r="AA409" s="158">
        <f>IF(AA$2&lt;=analysis_period,IF(SUM($C757:AA757)&gt;0,Z409+1,0),0)</f>
        <v>0</v>
      </c>
      <c r="AB409" s="158">
        <f>IF(AB$2&lt;=analysis_period,IF(SUM($C757:AB757)&gt;0,AA409+1,0),0)</f>
        <v>0</v>
      </c>
      <c r="AC409" s="158">
        <f>IF(AC$2&lt;=analysis_period,IF(SUM($C757:AC757)&gt;0,AB409+1,0),0)</f>
        <v>0</v>
      </c>
      <c r="AD409" s="158">
        <f>IF(AD$2&lt;=analysis_period,IF(SUM($C757:AD757)&gt;0,AC409+1,0),0)</f>
        <v>0</v>
      </c>
      <c r="AE409" s="158">
        <f>IF(AE$2&lt;=analysis_period,IF(SUM($C757:AE757)&gt;0,AD409+1,0),0)</f>
        <v>0</v>
      </c>
      <c r="AF409" s="158">
        <f>IF(AF$2&lt;=analysis_period,IF(SUM($C757:AF757)&gt;0,AE409+1,0),0)</f>
        <v>0</v>
      </c>
      <c r="AG409" s="158">
        <f>IF(AG$2&lt;=analysis_period,IF(SUM($C757:AG757)&gt;0,AF409+1,0),0)</f>
        <v>0</v>
      </c>
      <c r="AH409" s="158">
        <f>IF(AH$2&lt;=analysis_period,IF(SUM($C757:AH757)&gt;0,AG409+1,0),0)</f>
        <v>0</v>
      </c>
      <c r="AI409" s="158">
        <f>IF(AI$2&lt;=analysis_period,IF(SUM($C757:AI757)&gt;0,AH409+1,0),0)</f>
        <v>0</v>
      </c>
      <c r="AJ409" s="158">
        <f>IF(AJ$2&lt;=analysis_period,IF(SUM($C757:AJ757)&gt;0,AI409+1,0),0)</f>
        <v>0</v>
      </c>
      <c r="AK409" s="158">
        <f>IF(AK$2&lt;=analysis_period,IF(SUM($C757:AK757)&gt;0,AJ409+1,0),0)</f>
        <v>0</v>
      </c>
      <c r="AL409" s="158">
        <f>IF(AL$2&lt;=analysis_period,IF(SUM($C757:AL757)&gt;0,AK409+1,0),0)</f>
        <v>0</v>
      </c>
      <c r="AM409" s="158">
        <f>IF(AM$2&lt;=analysis_period,IF(SUM($C757:AM757)&gt;0,AL409+1,0),0)</f>
        <v>0</v>
      </c>
      <c r="AN409" s="158">
        <f>IF(AN$2&lt;=analysis_period,IF(SUM($C757:AN757)&gt;0,AM409+1,0),0)</f>
        <v>0</v>
      </c>
      <c r="AO409" s="158">
        <f>IF(AO$2&lt;=analysis_period,IF(SUM($C757:AO757)&gt;0,AN409+1,0),0)</f>
        <v>0</v>
      </c>
      <c r="AP409" s="158">
        <f>IF(AP$2&lt;=analysis_period,IF(SUM($C757:AP757)&gt;0,AO409+1,0),0)</f>
        <v>0</v>
      </c>
    </row>
    <row r="410" spans="1:42" x14ac:dyDescent="0.2">
      <c r="A410" s="22"/>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row>
    <row r="411" spans="1:42" x14ac:dyDescent="0.2">
      <c r="A411" s="22" t="s">
        <v>81</v>
      </c>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row>
    <row r="412" spans="1:42" x14ac:dyDescent="0.2">
      <c r="A412" s="4">
        <v>1</v>
      </c>
      <c r="B412" s="176">
        <f t="shared" ref="B412:B421" si="163">SUM(C412:AP412)</f>
        <v>0</v>
      </c>
      <c r="C412" s="178">
        <f t="shared" ref="C412:AP412" si="164">LOOKUP(C400,$B$344:$AP$344,$B$345:$AP$345)/100*$B748</f>
        <v>0</v>
      </c>
      <c r="D412" s="178">
        <f t="shared" si="164"/>
        <v>0</v>
      </c>
      <c r="E412" s="178">
        <f t="shared" si="164"/>
        <v>0</v>
      </c>
      <c r="F412" s="178">
        <f t="shared" si="164"/>
        <v>0</v>
      </c>
      <c r="G412" s="178">
        <f t="shared" si="164"/>
        <v>0</v>
      </c>
      <c r="H412" s="178">
        <f t="shared" si="164"/>
        <v>0</v>
      </c>
      <c r="I412" s="178">
        <f t="shared" si="164"/>
        <v>0</v>
      </c>
      <c r="J412" s="178">
        <f t="shared" si="164"/>
        <v>0</v>
      </c>
      <c r="K412" s="178">
        <f t="shared" si="164"/>
        <v>0</v>
      </c>
      <c r="L412" s="178">
        <f t="shared" si="164"/>
        <v>0</v>
      </c>
      <c r="M412" s="178">
        <f t="shared" si="164"/>
        <v>0</v>
      </c>
      <c r="N412" s="178">
        <f t="shared" si="164"/>
        <v>0</v>
      </c>
      <c r="O412" s="178">
        <f t="shared" si="164"/>
        <v>0</v>
      </c>
      <c r="P412" s="178">
        <f t="shared" si="164"/>
        <v>0</v>
      </c>
      <c r="Q412" s="178">
        <f t="shared" si="164"/>
        <v>0</v>
      </c>
      <c r="R412" s="178">
        <f t="shared" si="164"/>
        <v>0</v>
      </c>
      <c r="S412" s="178">
        <f t="shared" si="164"/>
        <v>0</v>
      </c>
      <c r="T412" s="178">
        <f t="shared" si="164"/>
        <v>0</v>
      </c>
      <c r="U412" s="178">
        <f t="shared" si="164"/>
        <v>0</v>
      </c>
      <c r="V412" s="178">
        <f t="shared" si="164"/>
        <v>0</v>
      </c>
      <c r="W412" s="178">
        <f t="shared" si="164"/>
        <v>0</v>
      </c>
      <c r="X412" s="178">
        <f t="shared" si="164"/>
        <v>0</v>
      </c>
      <c r="Y412" s="178">
        <f t="shared" si="164"/>
        <v>0</v>
      </c>
      <c r="Z412" s="178">
        <f t="shared" si="164"/>
        <v>0</v>
      </c>
      <c r="AA412" s="178">
        <f t="shared" si="164"/>
        <v>0</v>
      </c>
      <c r="AB412" s="178">
        <f t="shared" si="164"/>
        <v>0</v>
      </c>
      <c r="AC412" s="178">
        <f t="shared" si="164"/>
        <v>0</v>
      </c>
      <c r="AD412" s="178">
        <f t="shared" si="164"/>
        <v>0</v>
      </c>
      <c r="AE412" s="178">
        <f t="shared" si="164"/>
        <v>0</v>
      </c>
      <c r="AF412" s="178">
        <f t="shared" si="164"/>
        <v>0</v>
      </c>
      <c r="AG412" s="178">
        <f t="shared" si="164"/>
        <v>0</v>
      </c>
      <c r="AH412" s="178">
        <f t="shared" si="164"/>
        <v>0</v>
      </c>
      <c r="AI412" s="178">
        <f t="shared" si="164"/>
        <v>0</v>
      </c>
      <c r="AJ412" s="178">
        <f t="shared" si="164"/>
        <v>0</v>
      </c>
      <c r="AK412" s="178">
        <f t="shared" si="164"/>
        <v>0</v>
      </c>
      <c r="AL412" s="178">
        <f t="shared" si="164"/>
        <v>0</v>
      </c>
      <c r="AM412" s="178">
        <f t="shared" si="164"/>
        <v>0</v>
      </c>
      <c r="AN412" s="178">
        <f t="shared" si="164"/>
        <v>0</v>
      </c>
      <c r="AO412" s="178">
        <f t="shared" si="164"/>
        <v>0</v>
      </c>
      <c r="AP412" s="178">
        <f t="shared" si="164"/>
        <v>0</v>
      </c>
    </row>
    <row r="413" spans="1:42" x14ac:dyDescent="0.2">
      <c r="A413" s="4">
        <f>A412+1</f>
        <v>2</v>
      </c>
      <c r="B413" s="176">
        <f t="shared" si="163"/>
        <v>0</v>
      </c>
      <c r="C413" s="178">
        <f t="shared" ref="C413:AP413" si="165">LOOKUP(C401,$B$344:$AP$344,$B$345:$AP$345)/100*$B749</f>
        <v>0</v>
      </c>
      <c r="D413" s="178">
        <f t="shared" si="165"/>
        <v>0</v>
      </c>
      <c r="E413" s="178">
        <f t="shared" si="165"/>
        <v>0</v>
      </c>
      <c r="F413" s="178">
        <f t="shared" si="165"/>
        <v>0</v>
      </c>
      <c r="G413" s="178">
        <f t="shared" si="165"/>
        <v>0</v>
      </c>
      <c r="H413" s="178">
        <f t="shared" si="165"/>
        <v>0</v>
      </c>
      <c r="I413" s="178">
        <f t="shared" si="165"/>
        <v>0</v>
      </c>
      <c r="J413" s="178">
        <f t="shared" si="165"/>
        <v>0</v>
      </c>
      <c r="K413" s="178">
        <f t="shared" si="165"/>
        <v>0</v>
      </c>
      <c r="L413" s="178">
        <f t="shared" si="165"/>
        <v>0</v>
      </c>
      <c r="M413" s="178">
        <f t="shared" si="165"/>
        <v>0</v>
      </c>
      <c r="N413" s="178">
        <f t="shared" si="165"/>
        <v>0</v>
      </c>
      <c r="O413" s="178">
        <f t="shared" si="165"/>
        <v>0</v>
      </c>
      <c r="P413" s="178">
        <f t="shared" si="165"/>
        <v>0</v>
      </c>
      <c r="Q413" s="178">
        <f t="shared" si="165"/>
        <v>0</v>
      </c>
      <c r="R413" s="178">
        <f t="shared" si="165"/>
        <v>0</v>
      </c>
      <c r="S413" s="178">
        <f t="shared" si="165"/>
        <v>0</v>
      </c>
      <c r="T413" s="178">
        <f t="shared" si="165"/>
        <v>0</v>
      </c>
      <c r="U413" s="178">
        <f t="shared" si="165"/>
        <v>0</v>
      </c>
      <c r="V413" s="178">
        <f t="shared" si="165"/>
        <v>0</v>
      </c>
      <c r="W413" s="178">
        <f t="shared" si="165"/>
        <v>0</v>
      </c>
      <c r="X413" s="178">
        <f t="shared" si="165"/>
        <v>0</v>
      </c>
      <c r="Y413" s="178">
        <f t="shared" si="165"/>
        <v>0</v>
      </c>
      <c r="Z413" s="178">
        <f t="shared" si="165"/>
        <v>0</v>
      </c>
      <c r="AA413" s="178">
        <f t="shared" si="165"/>
        <v>0</v>
      </c>
      <c r="AB413" s="178">
        <f t="shared" si="165"/>
        <v>0</v>
      </c>
      <c r="AC413" s="178">
        <f t="shared" si="165"/>
        <v>0</v>
      </c>
      <c r="AD413" s="178">
        <f t="shared" si="165"/>
        <v>0</v>
      </c>
      <c r="AE413" s="178">
        <f t="shared" si="165"/>
        <v>0</v>
      </c>
      <c r="AF413" s="178">
        <f t="shared" si="165"/>
        <v>0</v>
      </c>
      <c r="AG413" s="178">
        <f t="shared" si="165"/>
        <v>0</v>
      </c>
      <c r="AH413" s="178">
        <f t="shared" si="165"/>
        <v>0</v>
      </c>
      <c r="AI413" s="178">
        <f t="shared" si="165"/>
        <v>0</v>
      </c>
      <c r="AJ413" s="178">
        <f t="shared" si="165"/>
        <v>0</v>
      </c>
      <c r="AK413" s="178">
        <f t="shared" si="165"/>
        <v>0</v>
      </c>
      <c r="AL413" s="178">
        <f t="shared" si="165"/>
        <v>0</v>
      </c>
      <c r="AM413" s="178">
        <f t="shared" si="165"/>
        <v>0</v>
      </c>
      <c r="AN413" s="178">
        <f t="shared" si="165"/>
        <v>0</v>
      </c>
      <c r="AO413" s="178">
        <f t="shared" si="165"/>
        <v>0</v>
      </c>
      <c r="AP413" s="178">
        <f t="shared" si="165"/>
        <v>0</v>
      </c>
    </row>
    <row r="414" spans="1:42" x14ac:dyDescent="0.2">
      <c r="A414" s="4">
        <f t="shared" ref="A414:A421" si="166">A413+1</f>
        <v>3</v>
      </c>
      <c r="B414" s="176">
        <f t="shared" si="163"/>
        <v>0</v>
      </c>
      <c r="C414" s="178">
        <f t="shared" ref="C414:AP414" si="167">LOOKUP(C402,$B$344:$AP$344,$B$345:$AP$345)/100*$B750</f>
        <v>0</v>
      </c>
      <c r="D414" s="178">
        <f t="shared" si="167"/>
        <v>0</v>
      </c>
      <c r="E414" s="178">
        <f t="shared" si="167"/>
        <v>0</v>
      </c>
      <c r="F414" s="178">
        <f t="shared" si="167"/>
        <v>0</v>
      </c>
      <c r="G414" s="178">
        <f t="shared" si="167"/>
        <v>0</v>
      </c>
      <c r="H414" s="178">
        <f t="shared" si="167"/>
        <v>0</v>
      </c>
      <c r="I414" s="178">
        <f t="shared" si="167"/>
        <v>0</v>
      </c>
      <c r="J414" s="178">
        <f t="shared" si="167"/>
        <v>0</v>
      </c>
      <c r="K414" s="178">
        <f t="shared" si="167"/>
        <v>0</v>
      </c>
      <c r="L414" s="178">
        <f t="shared" si="167"/>
        <v>0</v>
      </c>
      <c r="M414" s="178">
        <f t="shared" si="167"/>
        <v>0</v>
      </c>
      <c r="N414" s="178">
        <f t="shared" si="167"/>
        <v>0</v>
      </c>
      <c r="O414" s="178">
        <f t="shared" si="167"/>
        <v>0</v>
      </c>
      <c r="P414" s="178">
        <f t="shared" si="167"/>
        <v>0</v>
      </c>
      <c r="Q414" s="178">
        <f t="shared" si="167"/>
        <v>0</v>
      </c>
      <c r="R414" s="178">
        <f t="shared" si="167"/>
        <v>0</v>
      </c>
      <c r="S414" s="178">
        <f t="shared" si="167"/>
        <v>0</v>
      </c>
      <c r="T414" s="178">
        <f t="shared" si="167"/>
        <v>0</v>
      </c>
      <c r="U414" s="178">
        <f t="shared" si="167"/>
        <v>0</v>
      </c>
      <c r="V414" s="178">
        <f t="shared" si="167"/>
        <v>0</v>
      </c>
      <c r="W414" s="178">
        <f t="shared" si="167"/>
        <v>0</v>
      </c>
      <c r="X414" s="178">
        <f t="shared" si="167"/>
        <v>0</v>
      </c>
      <c r="Y414" s="178">
        <f t="shared" si="167"/>
        <v>0</v>
      </c>
      <c r="Z414" s="178">
        <f t="shared" si="167"/>
        <v>0</v>
      </c>
      <c r="AA414" s="178">
        <f t="shared" si="167"/>
        <v>0</v>
      </c>
      <c r="AB414" s="178">
        <f t="shared" si="167"/>
        <v>0</v>
      </c>
      <c r="AC414" s="178">
        <f t="shared" si="167"/>
        <v>0</v>
      </c>
      <c r="AD414" s="178">
        <f t="shared" si="167"/>
        <v>0</v>
      </c>
      <c r="AE414" s="178">
        <f t="shared" si="167"/>
        <v>0</v>
      </c>
      <c r="AF414" s="178">
        <f t="shared" si="167"/>
        <v>0</v>
      </c>
      <c r="AG414" s="178">
        <f t="shared" si="167"/>
        <v>0</v>
      </c>
      <c r="AH414" s="178">
        <f t="shared" si="167"/>
        <v>0</v>
      </c>
      <c r="AI414" s="178">
        <f t="shared" si="167"/>
        <v>0</v>
      </c>
      <c r="AJ414" s="178">
        <f t="shared" si="167"/>
        <v>0</v>
      </c>
      <c r="AK414" s="178">
        <f t="shared" si="167"/>
        <v>0</v>
      </c>
      <c r="AL414" s="178">
        <f t="shared" si="167"/>
        <v>0</v>
      </c>
      <c r="AM414" s="178">
        <f t="shared" si="167"/>
        <v>0</v>
      </c>
      <c r="AN414" s="178">
        <f t="shared" si="167"/>
        <v>0</v>
      </c>
      <c r="AO414" s="178">
        <f t="shared" si="167"/>
        <v>0</v>
      </c>
      <c r="AP414" s="178">
        <f t="shared" si="167"/>
        <v>0</v>
      </c>
    </row>
    <row r="415" spans="1:42" x14ac:dyDescent="0.2">
      <c r="A415" s="4">
        <f t="shared" si="166"/>
        <v>4</v>
      </c>
      <c r="B415" s="176">
        <f t="shared" si="163"/>
        <v>0</v>
      </c>
      <c r="C415" s="178">
        <f t="shared" ref="C415:AP415" si="168">LOOKUP(C403,$B$344:$AP$344,$B$345:$AP$345)/100*$B751</f>
        <v>0</v>
      </c>
      <c r="D415" s="178">
        <f t="shared" si="168"/>
        <v>0</v>
      </c>
      <c r="E415" s="178">
        <f t="shared" si="168"/>
        <v>0</v>
      </c>
      <c r="F415" s="178">
        <f t="shared" si="168"/>
        <v>0</v>
      </c>
      <c r="G415" s="178">
        <f t="shared" si="168"/>
        <v>0</v>
      </c>
      <c r="H415" s="178">
        <f t="shared" si="168"/>
        <v>0</v>
      </c>
      <c r="I415" s="178">
        <f t="shared" si="168"/>
        <v>0</v>
      </c>
      <c r="J415" s="178">
        <f t="shared" si="168"/>
        <v>0</v>
      </c>
      <c r="K415" s="178">
        <f t="shared" si="168"/>
        <v>0</v>
      </c>
      <c r="L415" s="178">
        <f t="shared" si="168"/>
        <v>0</v>
      </c>
      <c r="M415" s="178">
        <f t="shared" si="168"/>
        <v>0</v>
      </c>
      <c r="N415" s="178">
        <f t="shared" si="168"/>
        <v>0</v>
      </c>
      <c r="O415" s="178">
        <f t="shared" si="168"/>
        <v>0</v>
      </c>
      <c r="P415" s="178">
        <f t="shared" si="168"/>
        <v>0</v>
      </c>
      <c r="Q415" s="178">
        <f t="shared" si="168"/>
        <v>0</v>
      </c>
      <c r="R415" s="178">
        <f t="shared" si="168"/>
        <v>0</v>
      </c>
      <c r="S415" s="178">
        <f t="shared" si="168"/>
        <v>0</v>
      </c>
      <c r="T415" s="178">
        <f t="shared" si="168"/>
        <v>0</v>
      </c>
      <c r="U415" s="178">
        <f t="shared" si="168"/>
        <v>0</v>
      </c>
      <c r="V415" s="178">
        <f t="shared" si="168"/>
        <v>0</v>
      </c>
      <c r="W415" s="178">
        <f t="shared" si="168"/>
        <v>0</v>
      </c>
      <c r="X415" s="178">
        <f t="shared" si="168"/>
        <v>0</v>
      </c>
      <c r="Y415" s="178">
        <f t="shared" si="168"/>
        <v>0</v>
      </c>
      <c r="Z415" s="178">
        <f t="shared" si="168"/>
        <v>0</v>
      </c>
      <c r="AA415" s="178">
        <f t="shared" si="168"/>
        <v>0</v>
      </c>
      <c r="AB415" s="178">
        <f t="shared" si="168"/>
        <v>0</v>
      </c>
      <c r="AC415" s="178">
        <f t="shared" si="168"/>
        <v>0</v>
      </c>
      <c r="AD415" s="178">
        <f t="shared" si="168"/>
        <v>0</v>
      </c>
      <c r="AE415" s="178">
        <f t="shared" si="168"/>
        <v>0</v>
      </c>
      <c r="AF415" s="178">
        <f t="shared" si="168"/>
        <v>0</v>
      </c>
      <c r="AG415" s="178">
        <f t="shared" si="168"/>
        <v>0</v>
      </c>
      <c r="AH415" s="178">
        <f t="shared" si="168"/>
        <v>0</v>
      </c>
      <c r="AI415" s="178">
        <f t="shared" si="168"/>
        <v>0</v>
      </c>
      <c r="AJ415" s="178">
        <f t="shared" si="168"/>
        <v>0</v>
      </c>
      <c r="AK415" s="178">
        <f t="shared" si="168"/>
        <v>0</v>
      </c>
      <c r="AL415" s="178">
        <f t="shared" si="168"/>
        <v>0</v>
      </c>
      <c r="AM415" s="178">
        <f t="shared" si="168"/>
        <v>0</v>
      </c>
      <c r="AN415" s="178">
        <f t="shared" si="168"/>
        <v>0</v>
      </c>
      <c r="AO415" s="178">
        <f t="shared" si="168"/>
        <v>0</v>
      </c>
      <c r="AP415" s="178">
        <f t="shared" si="168"/>
        <v>0</v>
      </c>
    </row>
    <row r="416" spans="1:42" x14ac:dyDescent="0.2">
      <c r="A416" s="4">
        <f t="shared" si="166"/>
        <v>5</v>
      </c>
      <c r="B416" s="176">
        <f t="shared" si="163"/>
        <v>0</v>
      </c>
      <c r="C416" s="178">
        <f t="shared" ref="C416:AP416" si="169">LOOKUP(C404,$B$344:$AP$344,$B$345:$AP$345)/100*$B752</f>
        <v>0</v>
      </c>
      <c r="D416" s="178">
        <f t="shared" si="169"/>
        <v>0</v>
      </c>
      <c r="E416" s="178">
        <f t="shared" si="169"/>
        <v>0</v>
      </c>
      <c r="F416" s="178">
        <f t="shared" si="169"/>
        <v>0</v>
      </c>
      <c r="G416" s="178">
        <f t="shared" si="169"/>
        <v>0</v>
      </c>
      <c r="H416" s="178">
        <f t="shared" si="169"/>
        <v>0</v>
      </c>
      <c r="I416" s="178">
        <f t="shared" si="169"/>
        <v>0</v>
      </c>
      <c r="J416" s="178">
        <f t="shared" si="169"/>
        <v>0</v>
      </c>
      <c r="K416" s="178">
        <f t="shared" si="169"/>
        <v>0</v>
      </c>
      <c r="L416" s="178">
        <f t="shared" si="169"/>
        <v>0</v>
      </c>
      <c r="M416" s="178">
        <f t="shared" si="169"/>
        <v>0</v>
      </c>
      <c r="N416" s="178">
        <f t="shared" si="169"/>
        <v>0</v>
      </c>
      <c r="O416" s="178">
        <f t="shared" si="169"/>
        <v>0</v>
      </c>
      <c r="P416" s="178">
        <f t="shared" si="169"/>
        <v>0</v>
      </c>
      <c r="Q416" s="178">
        <f t="shared" si="169"/>
        <v>0</v>
      </c>
      <c r="R416" s="178">
        <f t="shared" si="169"/>
        <v>0</v>
      </c>
      <c r="S416" s="178">
        <f t="shared" si="169"/>
        <v>0</v>
      </c>
      <c r="T416" s="178">
        <f t="shared" si="169"/>
        <v>0</v>
      </c>
      <c r="U416" s="178">
        <f t="shared" si="169"/>
        <v>0</v>
      </c>
      <c r="V416" s="178">
        <f t="shared" si="169"/>
        <v>0</v>
      </c>
      <c r="W416" s="178">
        <f t="shared" si="169"/>
        <v>0</v>
      </c>
      <c r="X416" s="178">
        <f t="shared" si="169"/>
        <v>0</v>
      </c>
      <c r="Y416" s="178">
        <f t="shared" si="169"/>
        <v>0</v>
      </c>
      <c r="Z416" s="178">
        <f t="shared" si="169"/>
        <v>0</v>
      </c>
      <c r="AA416" s="178">
        <f t="shared" si="169"/>
        <v>0</v>
      </c>
      <c r="AB416" s="178">
        <f t="shared" si="169"/>
        <v>0</v>
      </c>
      <c r="AC416" s="178">
        <f t="shared" si="169"/>
        <v>0</v>
      </c>
      <c r="AD416" s="178">
        <f t="shared" si="169"/>
        <v>0</v>
      </c>
      <c r="AE416" s="178">
        <f t="shared" si="169"/>
        <v>0</v>
      </c>
      <c r="AF416" s="178">
        <f t="shared" si="169"/>
        <v>0</v>
      </c>
      <c r="AG416" s="178">
        <f t="shared" si="169"/>
        <v>0</v>
      </c>
      <c r="AH416" s="178">
        <f t="shared" si="169"/>
        <v>0</v>
      </c>
      <c r="AI416" s="178">
        <f t="shared" si="169"/>
        <v>0</v>
      </c>
      <c r="AJ416" s="178">
        <f t="shared" si="169"/>
        <v>0</v>
      </c>
      <c r="AK416" s="178">
        <f t="shared" si="169"/>
        <v>0</v>
      </c>
      <c r="AL416" s="178">
        <f t="shared" si="169"/>
        <v>0</v>
      </c>
      <c r="AM416" s="178">
        <f t="shared" si="169"/>
        <v>0</v>
      </c>
      <c r="AN416" s="178">
        <f t="shared" si="169"/>
        <v>0</v>
      </c>
      <c r="AO416" s="178">
        <f t="shared" si="169"/>
        <v>0</v>
      </c>
      <c r="AP416" s="178">
        <f t="shared" si="169"/>
        <v>0</v>
      </c>
    </row>
    <row r="417" spans="1:42" x14ac:dyDescent="0.2">
      <c r="A417" s="4">
        <f t="shared" si="166"/>
        <v>6</v>
      </c>
      <c r="B417" s="176">
        <f t="shared" si="163"/>
        <v>0</v>
      </c>
      <c r="C417" s="178">
        <f t="shared" ref="C417:AP417" si="170">LOOKUP(C405,$B$344:$AP$344,$B$345:$AP$345)/100*$B753</f>
        <v>0</v>
      </c>
      <c r="D417" s="178">
        <f t="shared" si="170"/>
        <v>0</v>
      </c>
      <c r="E417" s="178">
        <f t="shared" si="170"/>
        <v>0</v>
      </c>
      <c r="F417" s="178">
        <f t="shared" si="170"/>
        <v>0</v>
      </c>
      <c r="G417" s="178">
        <f t="shared" si="170"/>
        <v>0</v>
      </c>
      <c r="H417" s="178">
        <f t="shared" si="170"/>
        <v>0</v>
      </c>
      <c r="I417" s="178">
        <f t="shared" si="170"/>
        <v>0</v>
      </c>
      <c r="J417" s="178">
        <f t="shared" si="170"/>
        <v>0</v>
      </c>
      <c r="K417" s="178">
        <f t="shared" si="170"/>
        <v>0</v>
      </c>
      <c r="L417" s="178">
        <f t="shared" si="170"/>
        <v>0</v>
      </c>
      <c r="M417" s="178">
        <f t="shared" si="170"/>
        <v>0</v>
      </c>
      <c r="N417" s="178">
        <f t="shared" si="170"/>
        <v>0</v>
      </c>
      <c r="O417" s="178">
        <f t="shared" si="170"/>
        <v>0</v>
      </c>
      <c r="P417" s="178">
        <f t="shared" si="170"/>
        <v>0</v>
      </c>
      <c r="Q417" s="178">
        <f t="shared" si="170"/>
        <v>0</v>
      </c>
      <c r="R417" s="178">
        <f t="shared" si="170"/>
        <v>0</v>
      </c>
      <c r="S417" s="178">
        <f t="shared" si="170"/>
        <v>0</v>
      </c>
      <c r="T417" s="178">
        <f t="shared" si="170"/>
        <v>0</v>
      </c>
      <c r="U417" s="178">
        <f t="shared" si="170"/>
        <v>0</v>
      </c>
      <c r="V417" s="178">
        <f t="shared" si="170"/>
        <v>0</v>
      </c>
      <c r="W417" s="178">
        <f t="shared" si="170"/>
        <v>0</v>
      </c>
      <c r="X417" s="178">
        <f t="shared" si="170"/>
        <v>0</v>
      </c>
      <c r="Y417" s="178">
        <f t="shared" si="170"/>
        <v>0</v>
      </c>
      <c r="Z417" s="178">
        <f t="shared" si="170"/>
        <v>0</v>
      </c>
      <c r="AA417" s="178">
        <f t="shared" si="170"/>
        <v>0</v>
      </c>
      <c r="AB417" s="178">
        <f t="shared" si="170"/>
        <v>0</v>
      </c>
      <c r="AC417" s="178">
        <f t="shared" si="170"/>
        <v>0</v>
      </c>
      <c r="AD417" s="178">
        <f t="shared" si="170"/>
        <v>0</v>
      </c>
      <c r="AE417" s="178">
        <f t="shared" si="170"/>
        <v>0</v>
      </c>
      <c r="AF417" s="178">
        <f t="shared" si="170"/>
        <v>0</v>
      </c>
      <c r="AG417" s="178">
        <f t="shared" si="170"/>
        <v>0</v>
      </c>
      <c r="AH417" s="178">
        <f t="shared" si="170"/>
        <v>0</v>
      </c>
      <c r="AI417" s="178">
        <f t="shared" si="170"/>
        <v>0</v>
      </c>
      <c r="AJ417" s="178">
        <f t="shared" si="170"/>
        <v>0</v>
      </c>
      <c r="AK417" s="178">
        <f t="shared" si="170"/>
        <v>0</v>
      </c>
      <c r="AL417" s="178">
        <f t="shared" si="170"/>
        <v>0</v>
      </c>
      <c r="AM417" s="178">
        <f t="shared" si="170"/>
        <v>0</v>
      </c>
      <c r="AN417" s="178">
        <f t="shared" si="170"/>
        <v>0</v>
      </c>
      <c r="AO417" s="178">
        <f t="shared" si="170"/>
        <v>0</v>
      </c>
      <c r="AP417" s="178">
        <f t="shared" si="170"/>
        <v>0</v>
      </c>
    </row>
    <row r="418" spans="1:42" x14ac:dyDescent="0.2">
      <c r="A418" s="4">
        <f t="shared" si="166"/>
        <v>7</v>
      </c>
      <c r="B418" s="176">
        <f t="shared" si="163"/>
        <v>0</v>
      </c>
      <c r="C418" s="178">
        <f t="shared" ref="C418:AP418" si="171">LOOKUP(C406,$B$344:$AP$344,$B$345:$AP$345)/100*$B754</f>
        <v>0</v>
      </c>
      <c r="D418" s="178">
        <f t="shared" si="171"/>
        <v>0</v>
      </c>
      <c r="E418" s="178">
        <f t="shared" si="171"/>
        <v>0</v>
      </c>
      <c r="F418" s="178">
        <f t="shared" si="171"/>
        <v>0</v>
      </c>
      <c r="G418" s="178">
        <f t="shared" si="171"/>
        <v>0</v>
      </c>
      <c r="H418" s="178">
        <f t="shared" si="171"/>
        <v>0</v>
      </c>
      <c r="I418" s="178">
        <f t="shared" si="171"/>
        <v>0</v>
      </c>
      <c r="J418" s="178">
        <f t="shared" si="171"/>
        <v>0</v>
      </c>
      <c r="K418" s="178">
        <f t="shared" si="171"/>
        <v>0</v>
      </c>
      <c r="L418" s="178">
        <f t="shared" si="171"/>
        <v>0</v>
      </c>
      <c r="M418" s="178">
        <f t="shared" si="171"/>
        <v>0</v>
      </c>
      <c r="N418" s="178">
        <f t="shared" si="171"/>
        <v>0</v>
      </c>
      <c r="O418" s="178">
        <f t="shared" si="171"/>
        <v>0</v>
      </c>
      <c r="P418" s="178">
        <f t="shared" si="171"/>
        <v>0</v>
      </c>
      <c r="Q418" s="178">
        <f t="shared" si="171"/>
        <v>0</v>
      </c>
      <c r="R418" s="178">
        <f t="shared" si="171"/>
        <v>0</v>
      </c>
      <c r="S418" s="178">
        <f t="shared" si="171"/>
        <v>0</v>
      </c>
      <c r="T418" s="178">
        <f t="shared" si="171"/>
        <v>0</v>
      </c>
      <c r="U418" s="178">
        <f t="shared" si="171"/>
        <v>0</v>
      </c>
      <c r="V418" s="178">
        <f t="shared" si="171"/>
        <v>0</v>
      </c>
      <c r="W418" s="178">
        <f t="shared" si="171"/>
        <v>0</v>
      </c>
      <c r="X418" s="178">
        <f t="shared" si="171"/>
        <v>0</v>
      </c>
      <c r="Y418" s="178">
        <f t="shared" si="171"/>
        <v>0</v>
      </c>
      <c r="Z418" s="178">
        <f t="shared" si="171"/>
        <v>0</v>
      </c>
      <c r="AA418" s="178">
        <f t="shared" si="171"/>
        <v>0</v>
      </c>
      <c r="AB418" s="178">
        <f t="shared" si="171"/>
        <v>0</v>
      </c>
      <c r="AC418" s="178">
        <f t="shared" si="171"/>
        <v>0</v>
      </c>
      <c r="AD418" s="178">
        <f t="shared" si="171"/>
        <v>0</v>
      </c>
      <c r="AE418" s="178">
        <f t="shared" si="171"/>
        <v>0</v>
      </c>
      <c r="AF418" s="178">
        <f t="shared" si="171"/>
        <v>0</v>
      </c>
      <c r="AG418" s="178">
        <f t="shared" si="171"/>
        <v>0</v>
      </c>
      <c r="AH418" s="178">
        <f t="shared" si="171"/>
        <v>0</v>
      </c>
      <c r="AI418" s="178">
        <f t="shared" si="171"/>
        <v>0</v>
      </c>
      <c r="AJ418" s="178">
        <f t="shared" si="171"/>
        <v>0</v>
      </c>
      <c r="AK418" s="178">
        <f t="shared" si="171"/>
        <v>0</v>
      </c>
      <c r="AL418" s="178">
        <f t="shared" si="171"/>
        <v>0</v>
      </c>
      <c r="AM418" s="178">
        <f t="shared" si="171"/>
        <v>0</v>
      </c>
      <c r="AN418" s="178">
        <f t="shared" si="171"/>
        <v>0</v>
      </c>
      <c r="AO418" s="178">
        <f t="shared" si="171"/>
        <v>0</v>
      </c>
      <c r="AP418" s="178">
        <f t="shared" si="171"/>
        <v>0</v>
      </c>
    </row>
    <row r="419" spans="1:42" x14ac:dyDescent="0.2">
      <c r="A419" s="4">
        <f t="shared" si="166"/>
        <v>8</v>
      </c>
      <c r="B419" s="176">
        <f t="shared" si="163"/>
        <v>0</v>
      </c>
      <c r="C419" s="178">
        <f t="shared" ref="C419:AP419" si="172">LOOKUP(C407,$B$344:$AP$344,$B$345:$AP$345)/100*$B755</f>
        <v>0</v>
      </c>
      <c r="D419" s="178">
        <f t="shared" si="172"/>
        <v>0</v>
      </c>
      <c r="E419" s="178">
        <f t="shared" si="172"/>
        <v>0</v>
      </c>
      <c r="F419" s="178">
        <f t="shared" si="172"/>
        <v>0</v>
      </c>
      <c r="G419" s="178">
        <f t="shared" si="172"/>
        <v>0</v>
      </c>
      <c r="H419" s="178">
        <f t="shared" si="172"/>
        <v>0</v>
      </c>
      <c r="I419" s="178">
        <f t="shared" si="172"/>
        <v>0</v>
      </c>
      <c r="J419" s="178">
        <f t="shared" si="172"/>
        <v>0</v>
      </c>
      <c r="K419" s="178">
        <f t="shared" si="172"/>
        <v>0</v>
      </c>
      <c r="L419" s="178">
        <f t="shared" si="172"/>
        <v>0</v>
      </c>
      <c r="M419" s="178">
        <f t="shared" si="172"/>
        <v>0</v>
      </c>
      <c r="N419" s="178">
        <f t="shared" si="172"/>
        <v>0</v>
      </c>
      <c r="O419" s="178">
        <f t="shared" si="172"/>
        <v>0</v>
      </c>
      <c r="P419" s="178">
        <f t="shared" si="172"/>
        <v>0</v>
      </c>
      <c r="Q419" s="178">
        <f t="shared" si="172"/>
        <v>0</v>
      </c>
      <c r="R419" s="178">
        <f t="shared" si="172"/>
        <v>0</v>
      </c>
      <c r="S419" s="178">
        <f t="shared" si="172"/>
        <v>0</v>
      </c>
      <c r="T419" s="178">
        <f t="shared" si="172"/>
        <v>0</v>
      </c>
      <c r="U419" s="178">
        <f t="shared" si="172"/>
        <v>0</v>
      </c>
      <c r="V419" s="178">
        <f t="shared" si="172"/>
        <v>0</v>
      </c>
      <c r="W419" s="178">
        <f t="shared" si="172"/>
        <v>0</v>
      </c>
      <c r="X419" s="178">
        <f t="shared" si="172"/>
        <v>0</v>
      </c>
      <c r="Y419" s="178">
        <f t="shared" si="172"/>
        <v>0</v>
      </c>
      <c r="Z419" s="178">
        <f t="shared" si="172"/>
        <v>0</v>
      </c>
      <c r="AA419" s="178">
        <f t="shared" si="172"/>
        <v>0</v>
      </c>
      <c r="AB419" s="178">
        <f t="shared" si="172"/>
        <v>0</v>
      </c>
      <c r="AC419" s="178">
        <f t="shared" si="172"/>
        <v>0</v>
      </c>
      <c r="AD419" s="178">
        <f t="shared" si="172"/>
        <v>0</v>
      </c>
      <c r="AE419" s="178">
        <f t="shared" si="172"/>
        <v>0</v>
      </c>
      <c r="AF419" s="178">
        <f t="shared" si="172"/>
        <v>0</v>
      </c>
      <c r="AG419" s="178">
        <f t="shared" si="172"/>
        <v>0</v>
      </c>
      <c r="AH419" s="178">
        <f t="shared" si="172"/>
        <v>0</v>
      </c>
      <c r="AI419" s="178">
        <f t="shared" si="172"/>
        <v>0</v>
      </c>
      <c r="AJ419" s="178">
        <f t="shared" si="172"/>
        <v>0</v>
      </c>
      <c r="AK419" s="178">
        <f t="shared" si="172"/>
        <v>0</v>
      </c>
      <c r="AL419" s="178">
        <f t="shared" si="172"/>
        <v>0</v>
      </c>
      <c r="AM419" s="178">
        <f t="shared" si="172"/>
        <v>0</v>
      </c>
      <c r="AN419" s="178">
        <f t="shared" si="172"/>
        <v>0</v>
      </c>
      <c r="AO419" s="178">
        <f t="shared" si="172"/>
        <v>0</v>
      </c>
      <c r="AP419" s="178">
        <f t="shared" si="172"/>
        <v>0</v>
      </c>
    </row>
    <row r="420" spans="1:42" x14ac:dyDescent="0.2">
      <c r="A420" s="4">
        <f>A419+1</f>
        <v>9</v>
      </c>
      <c r="B420" s="176">
        <f t="shared" si="163"/>
        <v>0</v>
      </c>
      <c r="C420" s="178">
        <f t="shared" ref="C420:AP420" si="173">LOOKUP(C408,$B$344:$AP$344,$B$345:$AP$345)/100*$B756</f>
        <v>0</v>
      </c>
      <c r="D420" s="178">
        <f t="shared" si="173"/>
        <v>0</v>
      </c>
      <c r="E420" s="178">
        <f t="shared" si="173"/>
        <v>0</v>
      </c>
      <c r="F420" s="178">
        <f t="shared" si="173"/>
        <v>0</v>
      </c>
      <c r="G420" s="178">
        <f t="shared" si="173"/>
        <v>0</v>
      </c>
      <c r="H420" s="178">
        <f t="shared" si="173"/>
        <v>0</v>
      </c>
      <c r="I420" s="178">
        <f t="shared" si="173"/>
        <v>0</v>
      </c>
      <c r="J420" s="178">
        <f t="shared" si="173"/>
        <v>0</v>
      </c>
      <c r="K420" s="178">
        <f t="shared" si="173"/>
        <v>0</v>
      </c>
      <c r="L420" s="178">
        <f t="shared" si="173"/>
        <v>0</v>
      </c>
      <c r="M420" s="178">
        <f t="shared" si="173"/>
        <v>0</v>
      </c>
      <c r="N420" s="178">
        <f t="shared" si="173"/>
        <v>0</v>
      </c>
      <c r="O420" s="178">
        <f t="shared" si="173"/>
        <v>0</v>
      </c>
      <c r="P420" s="178">
        <f t="shared" si="173"/>
        <v>0</v>
      </c>
      <c r="Q420" s="178">
        <f t="shared" si="173"/>
        <v>0</v>
      </c>
      <c r="R420" s="178">
        <f t="shared" si="173"/>
        <v>0</v>
      </c>
      <c r="S420" s="178">
        <f t="shared" si="173"/>
        <v>0</v>
      </c>
      <c r="T420" s="178">
        <f t="shared" si="173"/>
        <v>0</v>
      </c>
      <c r="U420" s="178">
        <f t="shared" si="173"/>
        <v>0</v>
      </c>
      <c r="V420" s="178">
        <f t="shared" si="173"/>
        <v>0</v>
      </c>
      <c r="W420" s="178">
        <f t="shared" si="173"/>
        <v>0</v>
      </c>
      <c r="X420" s="178">
        <f t="shared" si="173"/>
        <v>0</v>
      </c>
      <c r="Y420" s="178">
        <f t="shared" si="173"/>
        <v>0</v>
      </c>
      <c r="Z420" s="178">
        <f t="shared" si="173"/>
        <v>0</v>
      </c>
      <c r="AA420" s="178">
        <f t="shared" si="173"/>
        <v>0</v>
      </c>
      <c r="AB420" s="178">
        <f t="shared" si="173"/>
        <v>0</v>
      </c>
      <c r="AC420" s="178">
        <f t="shared" si="173"/>
        <v>0</v>
      </c>
      <c r="AD420" s="178">
        <f t="shared" si="173"/>
        <v>0</v>
      </c>
      <c r="AE420" s="178">
        <f t="shared" si="173"/>
        <v>0</v>
      </c>
      <c r="AF420" s="178">
        <f t="shared" si="173"/>
        <v>0</v>
      </c>
      <c r="AG420" s="178">
        <f t="shared" si="173"/>
        <v>0</v>
      </c>
      <c r="AH420" s="178">
        <f t="shared" si="173"/>
        <v>0</v>
      </c>
      <c r="AI420" s="178">
        <f t="shared" si="173"/>
        <v>0</v>
      </c>
      <c r="AJ420" s="178">
        <f t="shared" si="173"/>
        <v>0</v>
      </c>
      <c r="AK420" s="178">
        <f t="shared" si="173"/>
        <v>0</v>
      </c>
      <c r="AL420" s="178">
        <f t="shared" si="173"/>
        <v>0</v>
      </c>
      <c r="AM420" s="178">
        <f t="shared" si="173"/>
        <v>0</v>
      </c>
      <c r="AN420" s="178">
        <f t="shared" si="173"/>
        <v>0</v>
      </c>
      <c r="AO420" s="178">
        <f t="shared" si="173"/>
        <v>0</v>
      </c>
      <c r="AP420" s="178">
        <f t="shared" si="173"/>
        <v>0</v>
      </c>
    </row>
    <row r="421" spans="1:42" x14ac:dyDescent="0.2">
      <c r="A421" s="4">
        <f t="shared" si="166"/>
        <v>10</v>
      </c>
      <c r="B421" s="176">
        <f t="shared" si="163"/>
        <v>0</v>
      </c>
      <c r="C421" s="178">
        <f t="shared" ref="C421:AP421" si="174">LOOKUP(C409,$B$344:$AP$344,$B$345:$AP$345)/100*$B757</f>
        <v>0</v>
      </c>
      <c r="D421" s="178">
        <f t="shared" si="174"/>
        <v>0</v>
      </c>
      <c r="E421" s="178">
        <f t="shared" si="174"/>
        <v>0</v>
      </c>
      <c r="F421" s="178">
        <f t="shared" si="174"/>
        <v>0</v>
      </c>
      <c r="G421" s="178">
        <f t="shared" si="174"/>
        <v>0</v>
      </c>
      <c r="H421" s="178">
        <f t="shared" si="174"/>
        <v>0</v>
      </c>
      <c r="I421" s="178">
        <f t="shared" si="174"/>
        <v>0</v>
      </c>
      <c r="J421" s="178">
        <f t="shared" si="174"/>
        <v>0</v>
      </c>
      <c r="K421" s="178">
        <f t="shared" si="174"/>
        <v>0</v>
      </c>
      <c r="L421" s="178">
        <f t="shared" si="174"/>
        <v>0</v>
      </c>
      <c r="M421" s="178">
        <f t="shared" si="174"/>
        <v>0</v>
      </c>
      <c r="N421" s="178">
        <f t="shared" si="174"/>
        <v>0</v>
      </c>
      <c r="O421" s="178">
        <f t="shared" si="174"/>
        <v>0</v>
      </c>
      <c r="P421" s="178">
        <f t="shared" si="174"/>
        <v>0</v>
      </c>
      <c r="Q421" s="178">
        <f t="shared" si="174"/>
        <v>0</v>
      </c>
      <c r="R421" s="178">
        <f t="shared" si="174"/>
        <v>0</v>
      </c>
      <c r="S421" s="178">
        <f t="shared" si="174"/>
        <v>0</v>
      </c>
      <c r="T421" s="178">
        <f t="shared" si="174"/>
        <v>0</v>
      </c>
      <c r="U421" s="178">
        <f t="shared" si="174"/>
        <v>0</v>
      </c>
      <c r="V421" s="178">
        <f t="shared" si="174"/>
        <v>0</v>
      </c>
      <c r="W421" s="178">
        <f t="shared" si="174"/>
        <v>0</v>
      </c>
      <c r="X421" s="178">
        <f t="shared" si="174"/>
        <v>0</v>
      </c>
      <c r="Y421" s="178">
        <f t="shared" si="174"/>
        <v>0</v>
      </c>
      <c r="Z421" s="178">
        <f t="shared" si="174"/>
        <v>0</v>
      </c>
      <c r="AA421" s="178">
        <f t="shared" si="174"/>
        <v>0</v>
      </c>
      <c r="AB421" s="178">
        <f t="shared" si="174"/>
        <v>0</v>
      </c>
      <c r="AC421" s="178">
        <f t="shared" si="174"/>
        <v>0</v>
      </c>
      <c r="AD421" s="178">
        <f t="shared" si="174"/>
        <v>0</v>
      </c>
      <c r="AE421" s="178">
        <f t="shared" si="174"/>
        <v>0</v>
      </c>
      <c r="AF421" s="178">
        <f t="shared" si="174"/>
        <v>0</v>
      </c>
      <c r="AG421" s="178">
        <f t="shared" si="174"/>
        <v>0</v>
      </c>
      <c r="AH421" s="178">
        <f t="shared" si="174"/>
        <v>0</v>
      </c>
      <c r="AI421" s="178">
        <f t="shared" si="174"/>
        <v>0</v>
      </c>
      <c r="AJ421" s="178">
        <f t="shared" si="174"/>
        <v>0</v>
      </c>
      <c r="AK421" s="178">
        <f t="shared" si="174"/>
        <v>0</v>
      </c>
      <c r="AL421" s="178">
        <f t="shared" si="174"/>
        <v>0</v>
      </c>
      <c r="AM421" s="178">
        <f t="shared" si="174"/>
        <v>0</v>
      </c>
      <c r="AN421" s="178">
        <f t="shared" si="174"/>
        <v>0</v>
      </c>
      <c r="AO421" s="178">
        <f t="shared" si="174"/>
        <v>0</v>
      </c>
      <c r="AP421" s="178">
        <f t="shared" si="174"/>
        <v>0</v>
      </c>
    </row>
    <row r="422" spans="1:42" ht="12" customHeight="1" x14ac:dyDescent="0.2">
      <c r="A422" s="27" t="s">
        <v>13</v>
      </c>
      <c r="B422" s="15"/>
      <c r="C422" s="158">
        <f>SUM(C412:C421)</f>
        <v>0</v>
      </c>
      <c r="D422" s="158">
        <f t="shared" ref="D422:AP422" si="175">SUM(D412:D421)</f>
        <v>0</v>
      </c>
      <c r="E422" s="158">
        <f t="shared" si="175"/>
        <v>0</v>
      </c>
      <c r="F422" s="158">
        <f t="shared" si="175"/>
        <v>0</v>
      </c>
      <c r="G422" s="158">
        <f t="shared" si="175"/>
        <v>0</v>
      </c>
      <c r="H422" s="158">
        <f t="shared" si="175"/>
        <v>0</v>
      </c>
      <c r="I422" s="158">
        <f t="shared" si="175"/>
        <v>0</v>
      </c>
      <c r="J422" s="158">
        <f t="shared" si="175"/>
        <v>0</v>
      </c>
      <c r="K422" s="158">
        <f t="shared" si="175"/>
        <v>0</v>
      </c>
      <c r="L422" s="158">
        <f t="shared" si="175"/>
        <v>0</v>
      </c>
      <c r="M422" s="158">
        <f t="shared" si="175"/>
        <v>0</v>
      </c>
      <c r="N422" s="158">
        <f t="shared" si="175"/>
        <v>0</v>
      </c>
      <c r="O422" s="158">
        <f t="shared" si="175"/>
        <v>0</v>
      </c>
      <c r="P422" s="158">
        <f t="shared" si="175"/>
        <v>0</v>
      </c>
      <c r="Q422" s="158">
        <f t="shared" si="175"/>
        <v>0</v>
      </c>
      <c r="R422" s="158">
        <f t="shared" si="175"/>
        <v>0</v>
      </c>
      <c r="S422" s="158">
        <f t="shared" si="175"/>
        <v>0</v>
      </c>
      <c r="T422" s="158">
        <f t="shared" si="175"/>
        <v>0</v>
      </c>
      <c r="U422" s="158">
        <f t="shared" si="175"/>
        <v>0</v>
      </c>
      <c r="V422" s="158">
        <f t="shared" si="175"/>
        <v>0</v>
      </c>
      <c r="W422" s="158">
        <f t="shared" si="175"/>
        <v>0</v>
      </c>
      <c r="X422" s="158">
        <f t="shared" si="175"/>
        <v>0</v>
      </c>
      <c r="Y422" s="158">
        <f t="shared" si="175"/>
        <v>0</v>
      </c>
      <c r="Z422" s="158">
        <f t="shared" si="175"/>
        <v>0</v>
      </c>
      <c r="AA422" s="158">
        <f t="shared" si="175"/>
        <v>0</v>
      </c>
      <c r="AB422" s="158">
        <f t="shared" si="175"/>
        <v>0</v>
      </c>
      <c r="AC422" s="158">
        <f t="shared" si="175"/>
        <v>0</v>
      </c>
      <c r="AD422" s="158">
        <f t="shared" si="175"/>
        <v>0</v>
      </c>
      <c r="AE422" s="158">
        <f t="shared" si="175"/>
        <v>0</v>
      </c>
      <c r="AF422" s="158">
        <f t="shared" si="175"/>
        <v>0</v>
      </c>
      <c r="AG422" s="158">
        <f t="shared" si="175"/>
        <v>0</v>
      </c>
      <c r="AH422" s="158">
        <f t="shared" si="175"/>
        <v>0</v>
      </c>
      <c r="AI422" s="158">
        <f t="shared" si="175"/>
        <v>0</v>
      </c>
      <c r="AJ422" s="158">
        <f t="shared" si="175"/>
        <v>0</v>
      </c>
      <c r="AK422" s="158">
        <f t="shared" si="175"/>
        <v>0</v>
      </c>
      <c r="AL422" s="158">
        <f t="shared" si="175"/>
        <v>0</v>
      </c>
      <c r="AM422" s="158">
        <f t="shared" si="175"/>
        <v>0</v>
      </c>
      <c r="AN422" s="158">
        <f t="shared" si="175"/>
        <v>0</v>
      </c>
      <c r="AO422" s="158">
        <f t="shared" si="175"/>
        <v>0</v>
      </c>
      <c r="AP422" s="158">
        <f t="shared" si="175"/>
        <v>0</v>
      </c>
    </row>
    <row r="423" spans="1:42" x14ac:dyDescent="0.2">
      <c r="A423" s="22"/>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row>
    <row r="424" spans="1:42" x14ac:dyDescent="0.2">
      <c r="A424" s="20" t="s">
        <v>99</v>
      </c>
    </row>
    <row r="425" spans="1:42" x14ac:dyDescent="0.2">
      <c r="A425" s="4" t="s">
        <v>24</v>
      </c>
      <c r="G425" s="336" t="s">
        <v>67</v>
      </c>
      <c r="H425" s="337"/>
      <c r="I425" s="337"/>
      <c r="J425" s="338"/>
      <c r="K425" s="339" t="s">
        <v>68</v>
      </c>
      <c r="L425" s="340"/>
    </row>
    <row r="426" spans="1:42" ht="51" x14ac:dyDescent="0.2">
      <c r="B426" s="14" t="s">
        <v>57</v>
      </c>
      <c r="C426" s="14" t="s">
        <v>53</v>
      </c>
      <c r="D426" s="14" t="s">
        <v>55</v>
      </c>
      <c r="E426" s="24" t="s">
        <v>56</v>
      </c>
      <c r="F426" s="14" t="s">
        <v>58</v>
      </c>
      <c r="G426" s="14" t="s">
        <v>62</v>
      </c>
      <c r="H426" s="14" t="s">
        <v>64</v>
      </c>
      <c r="I426" s="52" t="s">
        <v>63</v>
      </c>
      <c r="J426" s="14" t="s">
        <v>65</v>
      </c>
      <c r="K426" s="14" t="s">
        <v>63</v>
      </c>
      <c r="L426" s="140" t="s">
        <v>65</v>
      </c>
      <c r="M426" s="25" t="s">
        <v>69</v>
      </c>
      <c r="N426" s="25" t="s">
        <v>70</v>
      </c>
      <c r="O426" s="14" t="s">
        <v>59</v>
      </c>
      <c r="P426" s="139" t="s">
        <v>90</v>
      </c>
      <c r="Q426" s="14" t="s">
        <v>91</v>
      </c>
    </row>
    <row r="427" spans="1:42" x14ac:dyDescent="0.2">
      <c r="A427" s="22" t="str">
        <f t="shared" ref="A427:A432" si="176">A291</f>
        <v>5-yr MACRS</v>
      </c>
      <c r="B427" s="213">
        <f>IF(Inputs!$C$158=0,0,depr_alloc_macrs_5_percent*100/Inputs!$C$158)</f>
        <v>92.783505154639172</v>
      </c>
      <c r="C427" s="119">
        <f>-$B$105*depr_alloc_macrs_5_percent/100</f>
        <v>101465799.75</v>
      </c>
      <c r="D427" s="119">
        <f t="shared" ref="D427:E433" si="177">$B427/100*D$434</f>
        <v>0</v>
      </c>
      <c r="E427" s="119">
        <f t="shared" si="177"/>
        <v>0</v>
      </c>
      <c r="F427" s="121">
        <f>C427-D427-E427</f>
        <v>101465799.75</v>
      </c>
      <c r="G427" s="122">
        <f>IF(depr_itc_fed_macrs_5="Yes",F427,0)</f>
        <v>101465799.75</v>
      </c>
      <c r="H427" s="132">
        <f t="shared" ref="H427:H433" si="178">IF($G$434=0,0,G427/$G$434)*100</f>
        <v>100</v>
      </c>
      <c r="I427" s="125">
        <f t="shared" ref="I427:I433" si="179">$I$434*H427/100</f>
        <v>30439739.924999997</v>
      </c>
      <c r="J427" s="126">
        <f>I427*0.5</f>
        <v>15219869.962499999</v>
      </c>
      <c r="K427" s="121">
        <f t="shared" ref="K427:K433" si="180">H427/100*$K$434</f>
        <v>0</v>
      </c>
      <c r="L427" s="121">
        <f>K427*0.5</f>
        <v>0</v>
      </c>
      <c r="M427" s="119">
        <f t="shared" ref="M427:M433" si="181">IF(itc_sta_amount_deprbas_fed="Yes",L291,0)+IF(itc_sta_percent_deprbas_fed="Yes",J291,0)</f>
        <v>0</v>
      </c>
      <c r="N427" s="119">
        <f t="shared" ref="N427:N433" si="182">IF(itc_fed_amount_deprbas_fed="Yes",L427,0)+IF(itc_fed_percent_deprbas_fed="Yes",J427,0)</f>
        <v>15219869.962499999</v>
      </c>
      <c r="O427" s="127">
        <f t="shared" ref="O427:O431" si="183">F427-M427-N427</f>
        <v>86245929.787499994</v>
      </c>
      <c r="P427" s="119">
        <f>IF(depr_bonus_fed_macrs_5="Yes",O427*depr_bonus_fed/100,0)</f>
        <v>0</v>
      </c>
      <c r="Q427" s="121">
        <f>O427-P427</f>
        <v>86245929.787499994</v>
      </c>
    </row>
    <row r="428" spans="1:42" x14ac:dyDescent="0.2">
      <c r="A428" s="22" t="str">
        <f t="shared" si="176"/>
        <v>15-yr MACRS</v>
      </c>
      <c r="B428" s="213">
        <f>IF(Inputs!$C$158=0,0,depr_alloc_macrs_15_percent*100/Inputs!$C$158)</f>
        <v>1.5463917525773196</v>
      </c>
      <c r="C428" s="119">
        <f>-$B$105*depr_alloc_macrs_15_percent/100</f>
        <v>1691096.6625000001</v>
      </c>
      <c r="D428" s="119">
        <f t="shared" si="177"/>
        <v>0</v>
      </c>
      <c r="E428" s="119">
        <f t="shared" si="177"/>
        <v>0</v>
      </c>
      <c r="F428" s="121">
        <f t="shared" ref="F428:F431" si="184">C428-D428-E428</f>
        <v>1691096.6625000001</v>
      </c>
      <c r="G428" s="123">
        <f>IF(depr_itc_fed_macrs_15="Yes",F428,0)</f>
        <v>0</v>
      </c>
      <c r="H428" s="133">
        <f t="shared" si="178"/>
        <v>0</v>
      </c>
      <c r="I428" s="119">
        <f t="shared" si="179"/>
        <v>0</v>
      </c>
      <c r="J428" s="128">
        <f t="shared" ref="J428:J433" si="185">I428*0.5</f>
        <v>0</v>
      </c>
      <c r="K428" s="121">
        <f t="shared" si="180"/>
        <v>0</v>
      </c>
      <c r="L428" s="121">
        <f t="shared" ref="L428:L433" si="186">K428*0.5</f>
        <v>0</v>
      </c>
      <c r="M428" s="119">
        <f t="shared" si="181"/>
        <v>0</v>
      </c>
      <c r="N428" s="119">
        <f t="shared" si="182"/>
        <v>0</v>
      </c>
      <c r="O428" s="121">
        <f t="shared" si="183"/>
        <v>1691096.6625000001</v>
      </c>
      <c r="P428" s="119">
        <f>IF(depr_bonus_fed_macrs_15="Yes",O428*depr_bonus_fed/100,0)</f>
        <v>0</v>
      </c>
      <c r="Q428" s="121">
        <f t="shared" ref="Q428:Q431" si="187">O428-P428</f>
        <v>1691096.6625000001</v>
      </c>
    </row>
    <row r="429" spans="1:42" x14ac:dyDescent="0.2">
      <c r="A429" s="22" t="str">
        <f t="shared" si="176"/>
        <v>5-yr SL</v>
      </c>
      <c r="B429" s="213">
        <f>IF(Inputs!$C$158=0,0,depr_alloc_sl_5_percent*100/Inputs!$C$158)</f>
        <v>0</v>
      </c>
      <c r="C429" s="119">
        <f>-$B$105*depr_alloc_sl_5_percent/100</f>
        <v>0</v>
      </c>
      <c r="D429" s="119">
        <f t="shared" si="177"/>
        <v>0</v>
      </c>
      <c r="E429" s="119">
        <f t="shared" si="177"/>
        <v>0</v>
      </c>
      <c r="F429" s="121">
        <f t="shared" si="184"/>
        <v>0</v>
      </c>
      <c r="G429" s="123">
        <f>IF(depr_itc_fed_sl_5="Yes",F429,0)</f>
        <v>0</v>
      </c>
      <c r="H429" s="133">
        <f t="shared" si="178"/>
        <v>0</v>
      </c>
      <c r="I429" s="119">
        <f t="shared" si="179"/>
        <v>0</v>
      </c>
      <c r="J429" s="128">
        <f t="shared" si="185"/>
        <v>0</v>
      </c>
      <c r="K429" s="121">
        <f t="shared" si="180"/>
        <v>0</v>
      </c>
      <c r="L429" s="121">
        <f t="shared" si="186"/>
        <v>0</v>
      </c>
      <c r="M429" s="119">
        <f t="shared" si="181"/>
        <v>0</v>
      </c>
      <c r="N429" s="119">
        <f t="shared" si="182"/>
        <v>0</v>
      </c>
      <c r="O429" s="121">
        <f t="shared" si="183"/>
        <v>0</v>
      </c>
      <c r="P429" s="119">
        <f>IF(depr_bonus_fed_sl_5="Yes",O429*depr_bonus_fed/100,0)</f>
        <v>0</v>
      </c>
      <c r="Q429" s="121">
        <f t="shared" si="187"/>
        <v>0</v>
      </c>
    </row>
    <row r="430" spans="1:42" x14ac:dyDescent="0.2">
      <c r="A430" s="22" t="str">
        <f t="shared" si="176"/>
        <v>15-yr SL</v>
      </c>
      <c r="B430" s="213">
        <f>IF(Inputs!$C$158=0,0,depr_alloc_sl_15_percent*100/Inputs!$C$158)</f>
        <v>2.5773195876288661</v>
      </c>
      <c r="C430" s="119">
        <f>-$B$105*depr_alloc_sl_15_percent/100</f>
        <v>2818494.4375</v>
      </c>
      <c r="D430" s="119">
        <f t="shared" si="177"/>
        <v>0</v>
      </c>
      <c r="E430" s="119">
        <f t="shared" si="177"/>
        <v>0</v>
      </c>
      <c r="F430" s="121">
        <f t="shared" si="184"/>
        <v>2818494.4375</v>
      </c>
      <c r="G430" s="123">
        <f>IF(depr_itc_fed_sl_15="Yes",F430,0)</f>
        <v>0</v>
      </c>
      <c r="H430" s="133">
        <f t="shared" si="178"/>
        <v>0</v>
      </c>
      <c r="I430" s="119">
        <f t="shared" si="179"/>
        <v>0</v>
      </c>
      <c r="J430" s="128">
        <f t="shared" si="185"/>
        <v>0</v>
      </c>
      <c r="K430" s="121">
        <f t="shared" si="180"/>
        <v>0</v>
      </c>
      <c r="L430" s="121">
        <f t="shared" si="186"/>
        <v>0</v>
      </c>
      <c r="M430" s="119">
        <f t="shared" si="181"/>
        <v>0</v>
      </c>
      <c r="N430" s="119">
        <f t="shared" si="182"/>
        <v>0</v>
      </c>
      <c r="O430" s="121">
        <f t="shared" si="183"/>
        <v>2818494.4375</v>
      </c>
      <c r="P430" s="119">
        <f>IF(depr_bonus_fed_sl_15="Yes",O430*depr_bonus_fed/100,0)</f>
        <v>0</v>
      </c>
      <c r="Q430" s="121">
        <f t="shared" si="187"/>
        <v>2818494.4375</v>
      </c>
    </row>
    <row r="431" spans="1:42" x14ac:dyDescent="0.2">
      <c r="A431" s="22" t="str">
        <f t="shared" si="176"/>
        <v>20-yr SL</v>
      </c>
      <c r="B431" s="213">
        <f>IF(Inputs!$C$158=0,0,depr_alloc_sl_20_percent*100/Inputs!$C$158)</f>
        <v>3.0927835051546393</v>
      </c>
      <c r="C431" s="119">
        <f>-$B$105*depr_alloc_sl_20_percent/100</f>
        <v>3382193.3250000002</v>
      </c>
      <c r="D431" s="119">
        <f t="shared" si="177"/>
        <v>0</v>
      </c>
      <c r="E431" s="119">
        <f t="shared" si="177"/>
        <v>0</v>
      </c>
      <c r="F431" s="121">
        <f t="shared" si="184"/>
        <v>3382193.3250000002</v>
      </c>
      <c r="G431" s="123">
        <f>IF(depr_itc_fed_sl_20="Yes",F431,0)</f>
        <v>0</v>
      </c>
      <c r="H431" s="133">
        <f t="shared" si="178"/>
        <v>0</v>
      </c>
      <c r="I431" s="119">
        <f t="shared" si="179"/>
        <v>0</v>
      </c>
      <c r="J431" s="128">
        <f t="shared" si="185"/>
        <v>0</v>
      </c>
      <c r="K431" s="121">
        <f t="shared" si="180"/>
        <v>0</v>
      </c>
      <c r="L431" s="121">
        <f t="shared" si="186"/>
        <v>0</v>
      </c>
      <c r="M431" s="119">
        <f t="shared" si="181"/>
        <v>0</v>
      </c>
      <c r="N431" s="119">
        <f t="shared" si="182"/>
        <v>0</v>
      </c>
      <c r="O431" s="121">
        <f t="shared" si="183"/>
        <v>3382193.3250000002</v>
      </c>
      <c r="P431" s="119">
        <f>IF(depr_bonus_fed_sl_20="Yes",O431*depr_bonus_fed/100,0)</f>
        <v>0</v>
      </c>
      <c r="Q431" s="121">
        <f t="shared" si="187"/>
        <v>3382193.3250000002</v>
      </c>
    </row>
    <row r="432" spans="1:42" x14ac:dyDescent="0.2">
      <c r="A432" s="22" t="str">
        <f t="shared" si="176"/>
        <v>39-yr SL</v>
      </c>
      <c r="B432" s="213">
        <f>IF(Inputs!$C$158=0,0,depr_alloc_sl_39_percent*100/Inputs!$C$158)</f>
        <v>0</v>
      </c>
      <c r="C432" s="119">
        <f>-$B$105*depr_alloc_sl_39_percent/100</f>
        <v>0</v>
      </c>
      <c r="D432" s="119">
        <f t="shared" si="177"/>
        <v>0</v>
      </c>
      <c r="E432" s="119">
        <f t="shared" si="177"/>
        <v>0</v>
      </c>
      <c r="F432" s="121">
        <f>C432-D432-E432</f>
        <v>0</v>
      </c>
      <c r="G432" s="123">
        <f>IF(depr_itc_fed_sl_39="Yes",F432,0)</f>
        <v>0</v>
      </c>
      <c r="H432" s="133">
        <f t="shared" si="178"/>
        <v>0</v>
      </c>
      <c r="I432" s="119">
        <f t="shared" si="179"/>
        <v>0</v>
      </c>
      <c r="J432" s="128">
        <f t="shared" si="185"/>
        <v>0</v>
      </c>
      <c r="K432" s="121">
        <f t="shared" si="180"/>
        <v>0</v>
      </c>
      <c r="L432" s="121">
        <f t="shared" si="186"/>
        <v>0</v>
      </c>
      <c r="M432" s="123">
        <f t="shared" si="181"/>
        <v>0</v>
      </c>
      <c r="N432" s="119">
        <f t="shared" si="182"/>
        <v>0</v>
      </c>
      <c r="O432" s="121">
        <f>F432-M432-N432</f>
        <v>0</v>
      </c>
      <c r="P432" s="119">
        <f>IF(depr_bonus_fed_sl_39="Yes",O432*depr_bonus_fed/100,0)</f>
        <v>0</v>
      </c>
      <c r="Q432" s="121">
        <f>O432-P432</f>
        <v>0</v>
      </c>
    </row>
    <row r="433" spans="1:17" x14ac:dyDescent="0.2">
      <c r="A433" s="22" t="s">
        <v>322</v>
      </c>
      <c r="B433" s="214">
        <f>IF(Inputs!$C$158=0,0,depr_alloc_custom_percent*100/Inputs!$C$158)</f>
        <v>0</v>
      </c>
      <c r="C433" s="120">
        <f>-$B$105*depr_alloc_custom_percent/100</f>
        <v>0</v>
      </c>
      <c r="D433" s="119">
        <f t="shared" si="177"/>
        <v>0</v>
      </c>
      <c r="E433" s="119">
        <f t="shared" si="177"/>
        <v>0</v>
      </c>
      <c r="F433" s="124">
        <f>C433-D433-E433</f>
        <v>0</v>
      </c>
      <c r="G433" s="123">
        <f>IF(depr_itc_fed_custom="Yes",F433,0)</f>
        <v>0</v>
      </c>
      <c r="H433" s="133">
        <f t="shared" si="178"/>
        <v>0</v>
      </c>
      <c r="I433" s="119">
        <f t="shared" si="179"/>
        <v>0</v>
      </c>
      <c r="J433" s="128">
        <f t="shared" si="185"/>
        <v>0</v>
      </c>
      <c r="K433" s="121">
        <f t="shared" si="180"/>
        <v>0</v>
      </c>
      <c r="L433" s="121">
        <f t="shared" si="186"/>
        <v>0</v>
      </c>
      <c r="M433" s="134">
        <f t="shared" si="181"/>
        <v>0</v>
      </c>
      <c r="N433" s="279">
        <f t="shared" si="182"/>
        <v>0</v>
      </c>
      <c r="O433" s="124">
        <f>F433-M433-N433</f>
        <v>0</v>
      </c>
      <c r="P433" s="120">
        <f>IF(depr_bonus_fed_custom="Yes",O433*depr_bonus_fed/100,0)</f>
        <v>0</v>
      </c>
      <c r="Q433" s="124">
        <f>O433-P433</f>
        <v>0</v>
      </c>
    </row>
    <row r="434" spans="1:17" x14ac:dyDescent="0.2">
      <c r="B434" s="214">
        <f>SUM(B427:B433)</f>
        <v>100</v>
      </c>
      <c r="C434" s="120">
        <f>SUM(C427:C433)</f>
        <v>109357584.175</v>
      </c>
      <c r="D434" s="137">
        <f>B443+B449</f>
        <v>0</v>
      </c>
      <c r="E434" s="138">
        <f>B455</f>
        <v>0</v>
      </c>
      <c r="F434" s="134">
        <f>SUM(F427:F433)</f>
        <v>109357584.175</v>
      </c>
      <c r="G434" s="135">
        <f>SUM(G427:G433)</f>
        <v>101465799.75</v>
      </c>
      <c r="H434" s="136">
        <f>SUM(H427:H433)</f>
        <v>100</v>
      </c>
      <c r="I434" s="137">
        <f>SUM(C573:AP573)</f>
        <v>30439739.924999997</v>
      </c>
      <c r="J434" s="137">
        <f>SUM(J427:J433)</f>
        <v>15219869.962499999</v>
      </c>
      <c r="K434" s="135">
        <f>SUM(C570:AP570)</f>
        <v>0</v>
      </c>
      <c r="L434" s="138">
        <f t="shared" ref="L434:Q434" si="188">SUM(L427:L433)</f>
        <v>0</v>
      </c>
      <c r="M434" s="120">
        <f t="shared" si="188"/>
        <v>0</v>
      </c>
      <c r="N434" s="120">
        <f t="shared" si="188"/>
        <v>15219869.962499999</v>
      </c>
      <c r="O434" s="124">
        <f t="shared" si="188"/>
        <v>94137714.212499991</v>
      </c>
      <c r="P434" s="124">
        <f t="shared" si="188"/>
        <v>0</v>
      </c>
      <c r="Q434" s="124">
        <f t="shared" si="188"/>
        <v>94137714.212499991</v>
      </c>
    </row>
    <row r="436" spans="1:17" x14ac:dyDescent="0.2">
      <c r="A436" s="4" t="s">
        <v>66</v>
      </c>
    </row>
    <row r="437" spans="1:17" x14ac:dyDescent="0.2">
      <c r="A437" s="88" t="str">
        <f>A301</f>
        <v>Investment Based Incentive (IBI)</v>
      </c>
    </row>
    <row r="438" spans="1:17" x14ac:dyDescent="0.2">
      <c r="A438" s="22" t="str">
        <f>A302</f>
        <v>As fixed amount</v>
      </c>
    </row>
    <row r="439" spans="1:17" x14ac:dyDescent="0.2">
      <c r="A439" s="89" t="s">
        <v>4</v>
      </c>
      <c r="B439" s="158">
        <f>IF(ibi_fed_amount_deprbas_fed="Yes",ibi_fed_amount,0)</f>
        <v>0</v>
      </c>
    </row>
    <row r="440" spans="1:17" x14ac:dyDescent="0.2">
      <c r="A440" s="89" t="s">
        <v>5</v>
      </c>
      <c r="B440" s="158">
        <f>IF(ibi_sta_amount_deprbas_fed="Yes",ibi_sta_amount,0)</f>
        <v>0</v>
      </c>
    </row>
    <row r="441" spans="1:17" x14ac:dyDescent="0.2">
      <c r="A441" s="89" t="s">
        <v>186</v>
      </c>
      <c r="B441" s="158">
        <f>IF(ibi_uti_amount_deprbas_fed="Yes",ibi_uti_amount,0)</f>
        <v>0</v>
      </c>
    </row>
    <row r="442" spans="1:17" x14ac:dyDescent="0.2">
      <c r="A442" s="89" t="s">
        <v>187</v>
      </c>
      <c r="B442" s="159">
        <f>IF(ibi_oth_amount_deprbas_fed="Yes",ibi_oth_amount,0)</f>
        <v>0</v>
      </c>
    </row>
    <row r="443" spans="1:17" x14ac:dyDescent="0.2">
      <c r="A443" s="89" t="str">
        <f>A307</f>
        <v>Total</v>
      </c>
      <c r="B443" s="158">
        <f>SUM(B439:B442)</f>
        <v>0</v>
      </c>
    </row>
    <row r="444" spans="1:17" x14ac:dyDescent="0.2">
      <c r="A444" s="22" t="str">
        <f>A308</f>
        <v>As percentage</v>
      </c>
    </row>
    <row r="445" spans="1:17" x14ac:dyDescent="0.2">
      <c r="A445" s="89" t="s">
        <v>4</v>
      </c>
      <c r="B445" s="158">
        <f>IF(ibi_fed_percent_deprbas_fed="Yes",C597,0)</f>
        <v>0</v>
      </c>
    </row>
    <row r="446" spans="1:17" x14ac:dyDescent="0.2">
      <c r="A446" s="89" t="s">
        <v>5</v>
      </c>
      <c r="B446" s="158">
        <f>IF(ibi_sta_percent_deprbas_fed="Yes",C598,0)</f>
        <v>0</v>
      </c>
    </row>
    <row r="447" spans="1:17" x14ac:dyDescent="0.2">
      <c r="A447" s="89" t="s">
        <v>186</v>
      </c>
      <c r="B447" s="158">
        <f>IF(ibi_uti_percent_deprbas_fed="Yes",C599,0)</f>
        <v>0</v>
      </c>
    </row>
    <row r="448" spans="1:17" x14ac:dyDescent="0.2">
      <c r="A448" s="89" t="s">
        <v>187</v>
      </c>
      <c r="B448" s="159">
        <f>IF(ibi_oth_percent_deprbas_fed="Yes",C600,0)</f>
        <v>0</v>
      </c>
    </row>
    <row r="449" spans="1:42" x14ac:dyDescent="0.2">
      <c r="A449" s="89" t="str">
        <f>A313</f>
        <v>Total</v>
      </c>
      <c r="B449" s="158">
        <f>SUM(B445:B448)</f>
        <v>0</v>
      </c>
    </row>
    <row r="450" spans="1:42" x14ac:dyDescent="0.2">
      <c r="A450" s="88" t="str">
        <f>A314</f>
        <v>Capacity Based Incentive (CBI)</v>
      </c>
    </row>
    <row r="451" spans="1:42" x14ac:dyDescent="0.2">
      <c r="A451" s="22" t="s">
        <v>4</v>
      </c>
      <c r="B451" s="158">
        <f>IF(cbi_fed_deprbas_fed="Yes",C604,0)</f>
        <v>0</v>
      </c>
    </row>
    <row r="452" spans="1:42" x14ac:dyDescent="0.2">
      <c r="A452" s="22" t="s">
        <v>5</v>
      </c>
      <c r="B452" s="158">
        <f>IF(cbi_sta_deprbas_fed="Yes",C605,0)</f>
        <v>0</v>
      </c>
    </row>
    <row r="453" spans="1:42" x14ac:dyDescent="0.2">
      <c r="A453" s="22" t="s">
        <v>186</v>
      </c>
      <c r="B453" s="158">
        <f>IF(cbi_uti_deprbas_fed="Yes",C606,0)</f>
        <v>0</v>
      </c>
    </row>
    <row r="454" spans="1:42" x14ac:dyDescent="0.2">
      <c r="A454" s="22" t="s">
        <v>187</v>
      </c>
      <c r="B454" s="159">
        <f>IF(cbi_oth_deprbas_fed="Yes",C607,0)</f>
        <v>0</v>
      </c>
    </row>
    <row r="455" spans="1:42" x14ac:dyDescent="0.2">
      <c r="A455" s="22" t="str">
        <f>A319</f>
        <v>Total</v>
      </c>
      <c r="B455" s="159">
        <f>SUM(B451:B454)</f>
        <v>0</v>
      </c>
    </row>
    <row r="456" spans="1:42" x14ac:dyDescent="0.2">
      <c r="A456" s="88" t="str">
        <f>A320</f>
        <v>Total Basis Reduction</v>
      </c>
      <c r="B456" s="158">
        <f>B443+B449+B455</f>
        <v>0</v>
      </c>
    </row>
    <row r="458" spans="1:42" x14ac:dyDescent="0.2">
      <c r="A458" s="4" t="s">
        <v>85</v>
      </c>
    </row>
    <row r="459" spans="1:42" x14ac:dyDescent="0.2">
      <c r="A459" s="22" t="s">
        <v>60</v>
      </c>
    </row>
    <row r="460" spans="1:42" x14ac:dyDescent="0.2">
      <c r="A460" s="23" t="str">
        <f t="shared" ref="A460:A465" si="189">A427</f>
        <v>5-yr MACRS</v>
      </c>
      <c r="B460" s="166">
        <f t="array" ref="B460">SUM(IF(ISNUMBER(C460:AP460),C460:AP460))</f>
        <v>100</v>
      </c>
      <c r="C460" s="167">
        <f>LOOKUP(C$2,'Depreciation Schedules'!$A$3:$A$42,'Depreciation Schedules'!$B$3:$B$42)</f>
        <v>20</v>
      </c>
      <c r="D460" s="167">
        <f>LOOKUP(D$2,'Depreciation Schedules'!$A$3:$A$42,'Depreciation Schedules'!$B$3:$B$42)</f>
        <v>32</v>
      </c>
      <c r="E460" s="167">
        <f>LOOKUP(E$2,'Depreciation Schedules'!$A$3:$A$42,'Depreciation Schedules'!$B$3:$B$42)</f>
        <v>19.2</v>
      </c>
      <c r="F460" s="167">
        <f>LOOKUP(F$2,'Depreciation Schedules'!$A$3:$A$42,'Depreciation Schedules'!$B$3:$B$42)</f>
        <v>11.52</v>
      </c>
      <c r="G460" s="167">
        <f>LOOKUP(G$2,'Depreciation Schedules'!$A$3:$A$42,'Depreciation Schedules'!$B$3:$B$42)</f>
        <v>11.52</v>
      </c>
      <c r="H460" s="167">
        <f>LOOKUP(H$2,'Depreciation Schedules'!$A$3:$A$42,'Depreciation Schedules'!$B$3:$B$42)</f>
        <v>5.76</v>
      </c>
      <c r="I460" s="167">
        <f>LOOKUP(I$2,'Depreciation Schedules'!$A$3:$A$42,'Depreciation Schedules'!$B$3:$B$42)</f>
        <v>0</v>
      </c>
      <c r="J460" s="167">
        <f>LOOKUP(J$2,'Depreciation Schedules'!$A$3:$A$42,'Depreciation Schedules'!$B$3:$B$42)</f>
        <v>0</v>
      </c>
      <c r="K460" s="167">
        <f>LOOKUP(K$2,'Depreciation Schedules'!$A$3:$A$42,'Depreciation Schedules'!$B$3:$B$42)</f>
        <v>0</v>
      </c>
      <c r="L460" s="167">
        <f>LOOKUP(L$2,'Depreciation Schedules'!$A$3:$A$42,'Depreciation Schedules'!$B$3:$B$42)</f>
        <v>0</v>
      </c>
      <c r="M460" s="167">
        <f>LOOKUP(M$2,'Depreciation Schedules'!$A$3:$A$42,'Depreciation Schedules'!$B$3:$B$42)</f>
        <v>0</v>
      </c>
      <c r="N460" s="167">
        <f>LOOKUP(N$2,'Depreciation Schedules'!$A$3:$A$42,'Depreciation Schedules'!$B$3:$B$42)</f>
        <v>0</v>
      </c>
      <c r="O460" s="167">
        <f>LOOKUP(O$2,'Depreciation Schedules'!$A$3:$A$42,'Depreciation Schedules'!$B$3:$B$42)</f>
        <v>0</v>
      </c>
      <c r="P460" s="167">
        <f>LOOKUP(P$2,'Depreciation Schedules'!$A$3:$A$42,'Depreciation Schedules'!$B$3:$B$42)</f>
        <v>0</v>
      </c>
      <c r="Q460" s="167">
        <f>LOOKUP(Q$2,'Depreciation Schedules'!$A$3:$A$42,'Depreciation Schedules'!$B$3:$B$42)</f>
        <v>0</v>
      </c>
      <c r="R460" s="167">
        <f>LOOKUP(R$2,'Depreciation Schedules'!$A$3:$A$42,'Depreciation Schedules'!$B$3:$B$42)</f>
        <v>0</v>
      </c>
      <c r="S460" s="167">
        <f>LOOKUP(S$2,'Depreciation Schedules'!$A$3:$A$42,'Depreciation Schedules'!$B$3:$B$42)</f>
        <v>0</v>
      </c>
      <c r="T460" s="167">
        <f>LOOKUP(T$2,'Depreciation Schedules'!$A$3:$A$42,'Depreciation Schedules'!$B$3:$B$42)</f>
        <v>0</v>
      </c>
      <c r="U460" s="167">
        <f>LOOKUP(U$2,'Depreciation Schedules'!$A$3:$A$42,'Depreciation Schedules'!$B$3:$B$42)</f>
        <v>0</v>
      </c>
      <c r="V460" s="167">
        <f>LOOKUP(V$2,'Depreciation Schedules'!$A$3:$A$42,'Depreciation Schedules'!$B$3:$B$42)</f>
        <v>0</v>
      </c>
      <c r="W460" s="167">
        <f>LOOKUP(W$2,'Depreciation Schedules'!$A$3:$A$42,'Depreciation Schedules'!$B$3:$B$42)</f>
        <v>0</v>
      </c>
      <c r="X460" s="167">
        <f>LOOKUP(X$2,'Depreciation Schedules'!$A$3:$A$42,'Depreciation Schedules'!$B$3:$B$42)</f>
        <v>0</v>
      </c>
      <c r="Y460" s="167">
        <f>LOOKUP(Y$2,'Depreciation Schedules'!$A$3:$A$42,'Depreciation Schedules'!$B$3:$B$42)</f>
        <v>0</v>
      </c>
      <c r="Z460" s="167">
        <f>LOOKUP(Z$2,'Depreciation Schedules'!$A$3:$A$42,'Depreciation Schedules'!$B$3:$B$42)</f>
        <v>0</v>
      </c>
      <c r="AA460" s="167">
        <f>LOOKUP(AA$2,'Depreciation Schedules'!$A$3:$A$42,'Depreciation Schedules'!$B$3:$B$42)</f>
        <v>0</v>
      </c>
      <c r="AB460" s="167" t="e">
        <f>LOOKUP(AB$2,'Depreciation Schedules'!$A$3:$A$42,'Depreciation Schedules'!$B$3:$B$42)</f>
        <v>#N/A</v>
      </c>
      <c r="AC460" s="167" t="e">
        <f>LOOKUP(AC$2,'Depreciation Schedules'!$A$3:$A$42,'Depreciation Schedules'!$B$3:$B$42)</f>
        <v>#N/A</v>
      </c>
      <c r="AD460" s="167" t="e">
        <f>LOOKUP(AD$2,'Depreciation Schedules'!$A$3:$A$42,'Depreciation Schedules'!$B$3:$B$42)</f>
        <v>#N/A</v>
      </c>
      <c r="AE460" s="167" t="e">
        <f>LOOKUP(AE$2,'Depreciation Schedules'!$A$3:$A$42,'Depreciation Schedules'!$B$3:$B$42)</f>
        <v>#N/A</v>
      </c>
      <c r="AF460" s="167" t="e">
        <f>LOOKUP(AF$2,'Depreciation Schedules'!$A$3:$A$42,'Depreciation Schedules'!$B$3:$B$42)</f>
        <v>#N/A</v>
      </c>
      <c r="AG460" s="167" t="e">
        <f>LOOKUP(AG$2,'Depreciation Schedules'!$A$3:$A$42,'Depreciation Schedules'!$B$3:$B$42)</f>
        <v>#N/A</v>
      </c>
      <c r="AH460" s="167" t="e">
        <f>LOOKUP(AH$2,'Depreciation Schedules'!$A$3:$A$42,'Depreciation Schedules'!$B$3:$B$42)</f>
        <v>#N/A</v>
      </c>
      <c r="AI460" s="167" t="e">
        <f>LOOKUP(AI$2,'Depreciation Schedules'!$A$3:$A$42,'Depreciation Schedules'!$B$3:$B$42)</f>
        <v>#N/A</v>
      </c>
      <c r="AJ460" s="167" t="e">
        <f>LOOKUP(AJ$2,'Depreciation Schedules'!$A$3:$A$42,'Depreciation Schedules'!$B$3:$B$42)</f>
        <v>#N/A</v>
      </c>
      <c r="AK460" s="167" t="e">
        <f>LOOKUP(AK$2,'Depreciation Schedules'!$A$3:$A$42,'Depreciation Schedules'!$B$3:$B$42)</f>
        <v>#N/A</v>
      </c>
      <c r="AL460" s="167" t="e">
        <f>LOOKUP(AL$2,'Depreciation Schedules'!$A$3:$A$42,'Depreciation Schedules'!$B$3:$B$42)</f>
        <v>#N/A</v>
      </c>
      <c r="AM460" s="167" t="e">
        <f>LOOKUP(AM$2,'Depreciation Schedules'!$A$3:$A$42,'Depreciation Schedules'!$B$3:$B$42)</f>
        <v>#N/A</v>
      </c>
      <c r="AN460" s="167" t="e">
        <f>LOOKUP(AN$2,'Depreciation Schedules'!$A$3:$A$42,'Depreciation Schedules'!$B$3:$B$42)</f>
        <v>#N/A</v>
      </c>
      <c r="AO460" s="167" t="e">
        <f>LOOKUP(AO$2,'Depreciation Schedules'!$A$3:$A$42,'Depreciation Schedules'!$B$3:$B$42)</f>
        <v>#N/A</v>
      </c>
      <c r="AP460" s="167" t="e">
        <f>LOOKUP(AP$2,'Depreciation Schedules'!$A$3:$A$42,'Depreciation Schedules'!$B$3:$B$42)</f>
        <v>#N/A</v>
      </c>
    </row>
    <row r="461" spans="1:42" x14ac:dyDescent="0.2">
      <c r="A461" s="23" t="str">
        <f t="shared" si="189"/>
        <v>15-yr MACRS</v>
      </c>
      <c r="B461" s="166">
        <f t="array" ref="B461">SUM(IF(ISNUMBER(C461:AP461),C461:AP461))</f>
        <v>99.990000000000009</v>
      </c>
      <c r="C461" s="167">
        <f>LOOKUP(C$2,'Depreciation Schedules'!$A$3:$A$42,'Depreciation Schedules'!$C$3:$C$42)</f>
        <v>5</v>
      </c>
      <c r="D461" s="167">
        <f>LOOKUP(D$2,'Depreciation Schedules'!$A$3:$A$42,'Depreciation Schedules'!$C$3:$C$42)</f>
        <v>9.5</v>
      </c>
      <c r="E461" s="167">
        <f>LOOKUP(E$2,'Depreciation Schedules'!$A$3:$A$42,'Depreciation Schedules'!$C$3:$C$42)</f>
        <v>8.5500000000000007</v>
      </c>
      <c r="F461" s="167">
        <f>LOOKUP(F$2,'Depreciation Schedules'!$A$3:$A$42,'Depreciation Schedules'!$C$3:$C$42)</f>
        <v>7.7</v>
      </c>
      <c r="G461" s="167">
        <f>LOOKUP(G$2,'Depreciation Schedules'!$A$3:$A$42,'Depreciation Schedules'!$C$3:$C$42)</f>
        <v>6.93</v>
      </c>
      <c r="H461" s="167">
        <f>LOOKUP(H$2,'Depreciation Schedules'!$A$3:$A$42,'Depreciation Schedules'!$C$3:$C$42)</f>
        <v>6.23</v>
      </c>
      <c r="I461" s="167">
        <f>LOOKUP(I$2,'Depreciation Schedules'!$A$3:$A$42,'Depreciation Schedules'!$C$3:$C$42)</f>
        <v>5.9</v>
      </c>
      <c r="J461" s="167">
        <f>LOOKUP(J$2,'Depreciation Schedules'!$A$3:$A$42,'Depreciation Schedules'!$C$3:$C$42)</f>
        <v>5.9</v>
      </c>
      <c r="K461" s="167">
        <f>LOOKUP(K$2,'Depreciation Schedules'!$A$3:$A$42,'Depreciation Schedules'!$C$3:$C$42)</f>
        <v>5.91</v>
      </c>
      <c r="L461" s="167">
        <f>LOOKUP(L$2,'Depreciation Schedules'!$A$3:$A$42,'Depreciation Schedules'!$C$3:$C$42)</f>
        <v>5.9</v>
      </c>
      <c r="M461" s="167">
        <f>LOOKUP(M$2,'Depreciation Schedules'!$A$3:$A$42,'Depreciation Schedules'!$C$3:$C$42)</f>
        <v>5.91</v>
      </c>
      <c r="N461" s="167">
        <f>LOOKUP(N$2,'Depreciation Schedules'!$A$3:$A$42,'Depreciation Schedules'!$C$3:$C$42)</f>
        <v>5.9</v>
      </c>
      <c r="O461" s="167">
        <f>LOOKUP(O$2,'Depreciation Schedules'!$A$3:$A$42,'Depreciation Schedules'!$C$3:$C$42)</f>
        <v>5.91</v>
      </c>
      <c r="P461" s="167">
        <f>LOOKUP(P$2,'Depreciation Schedules'!$A$3:$A$42,'Depreciation Schedules'!$C$3:$C$42)</f>
        <v>5.9</v>
      </c>
      <c r="Q461" s="167">
        <f>LOOKUP(Q$2,'Depreciation Schedules'!$A$3:$A$42,'Depreciation Schedules'!$C$3:$C$42)</f>
        <v>5.9</v>
      </c>
      <c r="R461" s="167">
        <f>LOOKUP(R$2,'Depreciation Schedules'!$A$3:$A$42,'Depreciation Schedules'!$C$3:$C$42)</f>
        <v>2.95</v>
      </c>
      <c r="S461" s="167">
        <f>LOOKUP(S$2,'Depreciation Schedules'!$A$3:$A$42,'Depreciation Schedules'!$C$3:$C$42)</f>
        <v>0</v>
      </c>
      <c r="T461" s="167">
        <f>LOOKUP(T$2,'Depreciation Schedules'!$A$3:$A$42,'Depreciation Schedules'!$C$3:$C$42)</f>
        <v>0</v>
      </c>
      <c r="U461" s="167">
        <f>LOOKUP(U$2,'Depreciation Schedules'!$A$3:$A$42,'Depreciation Schedules'!$C$3:$C$42)</f>
        <v>0</v>
      </c>
      <c r="V461" s="167">
        <f>LOOKUP(V$2,'Depreciation Schedules'!$A$3:$A$42,'Depreciation Schedules'!$C$3:$C$42)</f>
        <v>0</v>
      </c>
      <c r="W461" s="167">
        <f>LOOKUP(W$2,'Depreciation Schedules'!$A$3:$A$42,'Depreciation Schedules'!$C$3:$C$42)</f>
        <v>0</v>
      </c>
      <c r="X461" s="167">
        <f>LOOKUP(X$2,'Depreciation Schedules'!$A$3:$A$42,'Depreciation Schedules'!$C$3:$C$42)</f>
        <v>0</v>
      </c>
      <c r="Y461" s="167">
        <f>LOOKUP(Y$2,'Depreciation Schedules'!$A$3:$A$42,'Depreciation Schedules'!$C$3:$C$42)</f>
        <v>0</v>
      </c>
      <c r="Z461" s="167">
        <f>LOOKUP(Z$2,'Depreciation Schedules'!$A$3:$A$42,'Depreciation Schedules'!$C$3:$C$42)</f>
        <v>0</v>
      </c>
      <c r="AA461" s="167">
        <f>LOOKUP(AA$2,'Depreciation Schedules'!$A$3:$A$42,'Depreciation Schedules'!$C$3:$C$42)</f>
        <v>0</v>
      </c>
      <c r="AB461" s="167" t="e">
        <f>LOOKUP(AB$2,'Depreciation Schedules'!$A$3:$A$42,'Depreciation Schedules'!$C$3:$C$42)</f>
        <v>#N/A</v>
      </c>
      <c r="AC461" s="167" t="e">
        <f>LOOKUP(AC$2,'Depreciation Schedules'!$A$3:$A$42,'Depreciation Schedules'!$C$3:$C$42)</f>
        <v>#N/A</v>
      </c>
      <c r="AD461" s="167" t="e">
        <f>LOOKUP(AD$2,'Depreciation Schedules'!$A$3:$A$42,'Depreciation Schedules'!$C$3:$C$42)</f>
        <v>#N/A</v>
      </c>
      <c r="AE461" s="167" t="e">
        <f>LOOKUP(AE$2,'Depreciation Schedules'!$A$3:$A$42,'Depreciation Schedules'!$C$3:$C$42)</f>
        <v>#N/A</v>
      </c>
      <c r="AF461" s="167" t="e">
        <f>LOOKUP(AF$2,'Depreciation Schedules'!$A$3:$A$42,'Depreciation Schedules'!$C$3:$C$42)</f>
        <v>#N/A</v>
      </c>
      <c r="AG461" s="167" t="e">
        <f>LOOKUP(AG$2,'Depreciation Schedules'!$A$3:$A$42,'Depreciation Schedules'!$C$3:$C$42)</f>
        <v>#N/A</v>
      </c>
      <c r="AH461" s="167" t="e">
        <f>LOOKUP(AH$2,'Depreciation Schedules'!$A$3:$A$42,'Depreciation Schedules'!$C$3:$C$42)</f>
        <v>#N/A</v>
      </c>
      <c r="AI461" s="167" t="e">
        <f>LOOKUP(AI$2,'Depreciation Schedules'!$A$3:$A$42,'Depreciation Schedules'!$C$3:$C$42)</f>
        <v>#N/A</v>
      </c>
      <c r="AJ461" s="167" t="e">
        <f>LOOKUP(AJ$2,'Depreciation Schedules'!$A$3:$A$42,'Depreciation Schedules'!$C$3:$C$42)</f>
        <v>#N/A</v>
      </c>
      <c r="AK461" s="167" t="e">
        <f>LOOKUP(AK$2,'Depreciation Schedules'!$A$3:$A$42,'Depreciation Schedules'!$C$3:$C$42)</f>
        <v>#N/A</v>
      </c>
      <c r="AL461" s="167" t="e">
        <f>LOOKUP(AL$2,'Depreciation Schedules'!$A$3:$A$42,'Depreciation Schedules'!$C$3:$C$42)</f>
        <v>#N/A</v>
      </c>
      <c r="AM461" s="167" t="e">
        <f>LOOKUP(AM$2,'Depreciation Schedules'!$A$3:$A$42,'Depreciation Schedules'!$C$3:$C$42)</f>
        <v>#N/A</v>
      </c>
      <c r="AN461" s="167" t="e">
        <f>LOOKUP(AN$2,'Depreciation Schedules'!$A$3:$A$42,'Depreciation Schedules'!$C$3:$C$42)</f>
        <v>#N/A</v>
      </c>
      <c r="AO461" s="167" t="e">
        <f>LOOKUP(AO$2,'Depreciation Schedules'!$A$3:$A$42,'Depreciation Schedules'!$C$3:$C$42)</f>
        <v>#N/A</v>
      </c>
      <c r="AP461" s="167" t="e">
        <f>LOOKUP(AP$2,'Depreciation Schedules'!$A$3:$A$42,'Depreciation Schedules'!$C$3:$C$42)</f>
        <v>#N/A</v>
      </c>
    </row>
    <row r="462" spans="1:42" x14ac:dyDescent="0.2">
      <c r="A462" s="23" t="str">
        <f t="shared" si="189"/>
        <v>5-yr SL</v>
      </c>
      <c r="B462" s="166">
        <f t="array" ref="B462">SUM(IF(ISNUMBER(C462:AP462),C462:AP462))</f>
        <v>100</v>
      </c>
      <c r="C462" s="167">
        <f>LOOKUP(C$2,'Depreciation Schedules'!$A$3:$A$42,'Depreciation Schedules'!$D$3:$D$42)</f>
        <v>10</v>
      </c>
      <c r="D462" s="167">
        <f>LOOKUP(D$2,'Depreciation Schedules'!$A$3:$A$42,'Depreciation Schedules'!$D$3:$D$42)</f>
        <v>20</v>
      </c>
      <c r="E462" s="167">
        <f>LOOKUP(E$2,'Depreciation Schedules'!$A$3:$A$42,'Depreciation Schedules'!$D$3:$D$42)</f>
        <v>20</v>
      </c>
      <c r="F462" s="167">
        <f>LOOKUP(F$2,'Depreciation Schedules'!$A$3:$A$42,'Depreciation Schedules'!$D$3:$D$42)</f>
        <v>20</v>
      </c>
      <c r="G462" s="167">
        <f>LOOKUP(G$2,'Depreciation Schedules'!$A$3:$A$42,'Depreciation Schedules'!$D$3:$D$42)</f>
        <v>20</v>
      </c>
      <c r="H462" s="167">
        <f>LOOKUP(H$2,'Depreciation Schedules'!$A$3:$A$42,'Depreciation Schedules'!$D$3:$D$42)</f>
        <v>10</v>
      </c>
      <c r="I462" s="167">
        <f>LOOKUP(I$2,'Depreciation Schedules'!$A$3:$A$42,'Depreciation Schedules'!$D$3:$D$42)</f>
        <v>0</v>
      </c>
      <c r="J462" s="167">
        <f>LOOKUP(J$2,'Depreciation Schedules'!$A$3:$A$42,'Depreciation Schedules'!$D$3:$D$42)</f>
        <v>0</v>
      </c>
      <c r="K462" s="167">
        <f>LOOKUP(K$2,'Depreciation Schedules'!$A$3:$A$42,'Depreciation Schedules'!$D$3:$D$42)</f>
        <v>0</v>
      </c>
      <c r="L462" s="167">
        <f>LOOKUP(L$2,'Depreciation Schedules'!$A$3:$A$42,'Depreciation Schedules'!$D$3:$D$42)</f>
        <v>0</v>
      </c>
      <c r="M462" s="167">
        <f>LOOKUP(M$2,'Depreciation Schedules'!$A$3:$A$42,'Depreciation Schedules'!$D$3:$D$42)</f>
        <v>0</v>
      </c>
      <c r="N462" s="167">
        <f>LOOKUP(N$2,'Depreciation Schedules'!$A$3:$A$42,'Depreciation Schedules'!$D$3:$D$42)</f>
        <v>0</v>
      </c>
      <c r="O462" s="167">
        <f>LOOKUP(O$2,'Depreciation Schedules'!$A$3:$A$42,'Depreciation Schedules'!$D$3:$D$42)</f>
        <v>0</v>
      </c>
      <c r="P462" s="167">
        <f>LOOKUP(P$2,'Depreciation Schedules'!$A$3:$A$42,'Depreciation Schedules'!$D$3:$D$42)</f>
        <v>0</v>
      </c>
      <c r="Q462" s="167">
        <f>LOOKUP(Q$2,'Depreciation Schedules'!$A$3:$A$42,'Depreciation Schedules'!$D$3:$D$42)</f>
        <v>0</v>
      </c>
      <c r="R462" s="167">
        <f>LOOKUP(R$2,'Depreciation Schedules'!$A$3:$A$42,'Depreciation Schedules'!$D$3:$D$42)</f>
        <v>0</v>
      </c>
      <c r="S462" s="167">
        <f>LOOKUP(S$2,'Depreciation Schedules'!$A$3:$A$42,'Depreciation Schedules'!$D$3:$D$42)</f>
        <v>0</v>
      </c>
      <c r="T462" s="167">
        <f>LOOKUP(T$2,'Depreciation Schedules'!$A$3:$A$42,'Depreciation Schedules'!$D$3:$D$42)</f>
        <v>0</v>
      </c>
      <c r="U462" s="167">
        <f>LOOKUP(U$2,'Depreciation Schedules'!$A$3:$A$42,'Depreciation Schedules'!$D$3:$D$42)</f>
        <v>0</v>
      </c>
      <c r="V462" s="167">
        <f>LOOKUP(V$2,'Depreciation Schedules'!$A$3:$A$42,'Depreciation Schedules'!$D$3:$D$42)</f>
        <v>0</v>
      </c>
      <c r="W462" s="167">
        <f>LOOKUP(W$2,'Depreciation Schedules'!$A$3:$A$42,'Depreciation Schedules'!$D$3:$D$42)</f>
        <v>0</v>
      </c>
      <c r="X462" s="167">
        <f>LOOKUP(X$2,'Depreciation Schedules'!$A$3:$A$42,'Depreciation Schedules'!$D$3:$D$42)</f>
        <v>0</v>
      </c>
      <c r="Y462" s="167">
        <f>LOOKUP(Y$2,'Depreciation Schedules'!$A$3:$A$42,'Depreciation Schedules'!$D$3:$D$42)</f>
        <v>0</v>
      </c>
      <c r="Z462" s="167">
        <f>LOOKUP(Z$2,'Depreciation Schedules'!$A$3:$A$42,'Depreciation Schedules'!$D$3:$D$42)</f>
        <v>0</v>
      </c>
      <c r="AA462" s="167">
        <f>LOOKUP(AA$2,'Depreciation Schedules'!$A$3:$A$42,'Depreciation Schedules'!$D$3:$D$42)</f>
        <v>0</v>
      </c>
      <c r="AB462" s="167" t="e">
        <f>LOOKUP(AB$2,'Depreciation Schedules'!$A$3:$A$42,'Depreciation Schedules'!$D$3:$D$42)</f>
        <v>#N/A</v>
      </c>
      <c r="AC462" s="167" t="e">
        <f>LOOKUP(AC$2,'Depreciation Schedules'!$A$3:$A$42,'Depreciation Schedules'!$D$3:$D$42)</f>
        <v>#N/A</v>
      </c>
      <c r="AD462" s="167" t="e">
        <f>LOOKUP(AD$2,'Depreciation Schedules'!$A$3:$A$42,'Depreciation Schedules'!$D$3:$D$42)</f>
        <v>#N/A</v>
      </c>
      <c r="AE462" s="167" t="e">
        <f>LOOKUP(AE$2,'Depreciation Schedules'!$A$3:$A$42,'Depreciation Schedules'!$D$3:$D$42)</f>
        <v>#N/A</v>
      </c>
      <c r="AF462" s="167" t="e">
        <f>LOOKUP(AF$2,'Depreciation Schedules'!$A$3:$A$42,'Depreciation Schedules'!$D$3:$D$42)</f>
        <v>#N/A</v>
      </c>
      <c r="AG462" s="167" t="e">
        <f>LOOKUP(AG$2,'Depreciation Schedules'!$A$3:$A$42,'Depreciation Schedules'!$D$3:$D$42)</f>
        <v>#N/A</v>
      </c>
      <c r="AH462" s="167" t="e">
        <f>LOOKUP(AH$2,'Depreciation Schedules'!$A$3:$A$42,'Depreciation Schedules'!$D$3:$D$42)</f>
        <v>#N/A</v>
      </c>
      <c r="AI462" s="167" t="e">
        <f>LOOKUP(AI$2,'Depreciation Schedules'!$A$3:$A$42,'Depreciation Schedules'!$D$3:$D$42)</f>
        <v>#N/A</v>
      </c>
      <c r="AJ462" s="167" t="e">
        <f>LOOKUP(AJ$2,'Depreciation Schedules'!$A$3:$A$42,'Depreciation Schedules'!$D$3:$D$42)</f>
        <v>#N/A</v>
      </c>
      <c r="AK462" s="167" t="e">
        <f>LOOKUP(AK$2,'Depreciation Schedules'!$A$3:$A$42,'Depreciation Schedules'!$D$3:$D$42)</f>
        <v>#N/A</v>
      </c>
      <c r="AL462" s="167" t="e">
        <f>LOOKUP(AL$2,'Depreciation Schedules'!$A$3:$A$42,'Depreciation Schedules'!$D$3:$D$42)</f>
        <v>#N/A</v>
      </c>
      <c r="AM462" s="167" t="e">
        <f>LOOKUP(AM$2,'Depreciation Schedules'!$A$3:$A$42,'Depreciation Schedules'!$D$3:$D$42)</f>
        <v>#N/A</v>
      </c>
      <c r="AN462" s="167" t="e">
        <f>LOOKUP(AN$2,'Depreciation Schedules'!$A$3:$A$42,'Depreciation Schedules'!$D$3:$D$42)</f>
        <v>#N/A</v>
      </c>
      <c r="AO462" s="167" t="e">
        <f>LOOKUP(AO$2,'Depreciation Schedules'!$A$3:$A$42,'Depreciation Schedules'!$D$3:$D$42)</f>
        <v>#N/A</v>
      </c>
      <c r="AP462" s="167" t="e">
        <f>LOOKUP(AP$2,'Depreciation Schedules'!$A$3:$A$42,'Depreciation Schedules'!$D$3:$D$42)</f>
        <v>#N/A</v>
      </c>
    </row>
    <row r="463" spans="1:42" x14ac:dyDescent="0.2">
      <c r="A463" s="23" t="str">
        <f t="shared" si="189"/>
        <v>15-yr SL</v>
      </c>
      <c r="B463" s="166">
        <f t="array" ref="B463">SUM(IF(ISNUMBER(C463:AP463),C463:AP463))</f>
        <v>100.02000000000001</v>
      </c>
      <c r="C463" s="167">
        <f>LOOKUP(C$2,'Depreciation Schedules'!$A$3:$A$42,'Depreciation Schedules'!$E$3:$E$42)</f>
        <v>3.33</v>
      </c>
      <c r="D463" s="167">
        <f>LOOKUP(D$2,'Depreciation Schedules'!$A$3:$A$42,'Depreciation Schedules'!$E$3:$E$42)</f>
        <v>6.67</v>
      </c>
      <c r="E463" s="167">
        <f>LOOKUP(E$2,'Depreciation Schedules'!$A$3:$A$42,'Depreciation Schedules'!$E$3:$E$42)</f>
        <v>6.67</v>
      </c>
      <c r="F463" s="167">
        <f>LOOKUP(F$2,'Depreciation Schedules'!$A$3:$A$42,'Depreciation Schedules'!$E$3:$E$42)</f>
        <v>6.67</v>
      </c>
      <c r="G463" s="167">
        <f>LOOKUP(G$2,'Depreciation Schedules'!$A$3:$A$42,'Depreciation Schedules'!$E$3:$E$42)</f>
        <v>6.67</v>
      </c>
      <c r="H463" s="167">
        <f>LOOKUP(H$2,'Depreciation Schedules'!$A$3:$A$42,'Depreciation Schedules'!$E$3:$E$42)</f>
        <v>6.67</v>
      </c>
      <c r="I463" s="167">
        <f>LOOKUP(I$2,'Depreciation Schedules'!$A$3:$A$42,'Depreciation Schedules'!$E$3:$E$42)</f>
        <v>6.67</v>
      </c>
      <c r="J463" s="167">
        <f>LOOKUP(J$2,'Depreciation Schedules'!$A$3:$A$42,'Depreciation Schedules'!$E$3:$E$42)</f>
        <v>6.67</v>
      </c>
      <c r="K463" s="167">
        <f>LOOKUP(K$2,'Depreciation Schedules'!$A$3:$A$42,'Depreciation Schedules'!$E$3:$E$42)</f>
        <v>6.67</v>
      </c>
      <c r="L463" s="167">
        <f>LOOKUP(L$2,'Depreciation Schedules'!$A$3:$A$42,'Depreciation Schedules'!$E$3:$E$42)</f>
        <v>6.67</v>
      </c>
      <c r="M463" s="167">
        <f>LOOKUP(M$2,'Depreciation Schedules'!$A$3:$A$42,'Depreciation Schedules'!$E$3:$E$42)</f>
        <v>6.67</v>
      </c>
      <c r="N463" s="167">
        <f>LOOKUP(N$2,'Depreciation Schedules'!$A$3:$A$42,'Depreciation Schedules'!$E$3:$E$42)</f>
        <v>6.66</v>
      </c>
      <c r="O463" s="167">
        <f>LOOKUP(O$2,'Depreciation Schedules'!$A$3:$A$42,'Depreciation Schedules'!$E$3:$E$42)</f>
        <v>6.67</v>
      </c>
      <c r="P463" s="167">
        <f>LOOKUP(P$2,'Depreciation Schedules'!$A$3:$A$42,'Depreciation Schedules'!$E$3:$E$42)</f>
        <v>6.66</v>
      </c>
      <c r="Q463" s="167">
        <f>LOOKUP(Q$2,'Depreciation Schedules'!$A$3:$A$42,'Depreciation Schedules'!$E$3:$E$42)</f>
        <v>6.67</v>
      </c>
      <c r="R463" s="167">
        <f>LOOKUP(R$2,'Depreciation Schedules'!$A$3:$A$42,'Depreciation Schedules'!$E$3:$E$42)</f>
        <v>3.33</v>
      </c>
      <c r="S463" s="167">
        <f>LOOKUP(S$2,'Depreciation Schedules'!$A$3:$A$42,'Depreciation Schedules'!$E$3:$E$42)</f>
        <v>0</v>
      </c>
      <c r="T463" s="167">
        <f>LOOKUP(T$2,'Depreciation Schedules'!$A$3:$A$42,'Depreciation Schedules'!$E$3:$E$42)</f>
        <v>0</v>
      </c>
      <c r="U463" s="167">
        <f>LOOKUP(U$2,'Depreciation Schedules'!$A$3:$A$42,'Depreciation Schedules'!$E$3:$E$42)</f>
        <v>0</v>
      </c>
      <c r="V463" s="167">
        <f>LOOKUP(V$2,'Depreciation Schedules'!$A$3:$A$42,'Depreciation Schedules'!$E$3:$E$42)</f>
        <v>0</v>
      </c>
      <c r="W463" s="167">
        <f>LOOKUP(W$2,'Depreciation Schedules'!$A$3:$A$42,'Depreciation Schedules'!$E$3:$E$42)</f>
        <v>0</v>
      </c>
      <c r="X463" s="167">
        <f>LOOKUP(X$2,'Depreciation Schedules'!$A$3:$A$42,'Depreciation Schedules'!$E$3:$E$42)</f>
        <v>0</v>
      </c>
      <c r="Y463" s="167">
        <f>LOOKUP(Y$2,'Depreciation Schedules'!$A$3:$A$42,'Depreciation Schedules'!$E$3:$E$42)</f>
        <v>0</v>
      </c>
      <c r="Z463" s="167">
        <f>LOOKUP(Z$2,'Depreciation Schedules'!$A$3:$A$42,'Depreciation Schedules'!$E$3:$E$42)</f>
        <v>0</v>
      </c>
      <c r="AA463" s="167">
        <f>LOOKUP(AA$2,'Depreciation Schedules'!$A$3:$A$42,'Depreciation Schedules'!$E$3:$E$42)</f>
        <v>0</v>
      </c>
      <c r="AB463" s="167" t="e">
        <f>LOOKUP(AB$2,'Depreciation Schedules'!$A$3:$A$42,'Depreciation Schedules'!$E$3:$E$42)</f>
        <v>#N/A</v>
      </c>
      <c r="AC463" s="167" t="e">
        <f>LOOKUP(AC$2,'Depreciation Schedules'!$A$3:$A$42,'Depreciation Schedules'!$E$3:$E$42)</f>
        <v>#N/A</v>
      </c>
      <c r="AD463" s="167" t="e">
        <f>LOOKUP(AD$2,'Depreciation Schedules'!$A$3:$A$42,'Depreciation Schedules'!$E$3:$E$42)</f>
        <v>#N/A</v>
      </c>
      <c r="AE463" s="167" t="e">
        <f>LOOKUP(AE$2,'Depreciation Schedules'!$A$3:$A$42,'Depreciation Schedules'!$E$3:$E$42)</f>
        <v>#N/A</v>
      </c>
      <c r="AF463" s="167" t="e">
        <f>LOOKUP(AF$2,'Depreciation Schedules'!$A$3:$A$42,'Depreciation Schedules'!$E$3:$E$42)</f>
        <v>#N/A</v>
      </c>
      <c r="AG463" s="167" t="e">
        <f>LOOKUP(AG$2,'Depreciation Schedules'!$A$3:$A$42,'Depreciation Schedules'!$E$3:$E$42)</f>
        <v>#N/A</v>
      </c>
      <c r="AH463" s="167" t="e">
        <f>LOOKUP(AH$2,'Depreciation Schedules'!$A$3:$A$42,'Depreciation Schedules'!$E$3:$E$42)</f>
        <v>#N/A</v>
      </c>
      <c r="AI463" s="167" t="e">
        <f>LOOKUP(AI$2,'Depreciation Schedules'!$A$3:$A$42,'Depreciation Schedules'!$E$3:$E$42)</f>
        <v>#N/A</v>
      </c>
      <c r="AJ463" s="167" t="e">
        <f>LOOKUP(AJ$2,'Depreciation Schedules'!$A$3:$A$42,'Depreciation Schedules'!$E$3:$E$42)</f>
        <v>#N/A</v>
      </c>
      <c r="AK463" s="167" t="e">
        <f>LOOKUP(AK$2,'Depreciation Schedules'!$A$3:$A$42,'Depreciation Schedules'!$E$3:$E$42)</f>
        <v>#N/A</v>
      </c>
      <c r="AL463" s="167" t="e">
        <f>LOOKUP(AL$2,'Depreciation Schedules'!$A$3:$A$42,'Depreciation Schedules'!$E$3:$E$42)</f>
        <v>#N/A</v>
      </c>
      <c r="AM463" s="167" t="e">
        <f>LOOKUP(AM$2,'Depreciation Schedules'!$A$3:$A$42,'Depreciation Schedules'!$E$3:$E$42)</f>
        <v>#N/A</v>
      </c>
      <c r="AN463" s="167" t="e">
        <f>LOOKUP(AN$2,'Depreciation Schedules'!$A$3:$A$42,'Depreciation Schedules'!$E$3:$E$42)</f>
        <v>#N/A</v>
      </c>
      <c r="AO463" s="167" t="e">
        <f>LOOKUP(AO$2,'Depreciation Schedules'!$A$3:$A$42,'Depreciation Schedules'!$E$3:$E$42)</f>
        <v>#N/A</v>
      </c>
      <c r="AP463" s="167" t="e">
        <f>LOOKUP(AP$2,'Depreciation Schedules'!$A$3:$A$42,'Depreciation Schedules'!$E$3:$E$42)</f>
        <v>#N/A</v>
      </c>
    </row>
    <row r="464" spans="1:42" x14ac:dyDescent="0.2">
      <c r="A464" s="23" t="str">
        <f t="shared" si="189"/>
        <v>20-yr SL</v>
      </c>
      <c r="B464" s="166">
        <f t="array" ref="B464">SUM(IF(ISNUMBER(C464:AP464),C464:AP464))</f>
        <v>100</v>
      </c>
      <c r="C464" s="167">
        <f>LOOKUP(C$2,'Depreciation Schedules'!$A$3:$A$42,'Depreciation Schedules'!$F$3:$F$42)</f>
        <v>2.5</v>
      </c>
      <c r="D464" s="167">
        <f>LOOKUP(D$2,'Depreciation Schedules'!$A$3:$A$42,'Depreciation Schedules'!$F$3:$F$42)</f>
        <v>5</v>
      </c>
      <c r="E464" s="167">
        <f>LOOKUP(E$2,'Depreciation Schedules'!$A$3:$A$42,'Depreciation Schedules'!$F$3:$F$42)</f>
        <v>5</v>
      </c>
      <c r="F464" s="167">
        <f>LOOKUP(F$2,'Depreciation Schedules'!$A$3:$A$42,'Depreciation Schedules'!$F$3:$F$42)</f>
        <v>5</v>
      </c>
      <c r="G464" s="167">
        <f>LOOKUP(G$2,'Depreciation Schedules'!$A$3:$A$42,'Depreciation Schedules'!$F$3:$F$42)</f>
        <v>5</v>
      </c>
      <c r="H464" s="167">
        <f>LOOKUP(H$2,'Depreciation Schedules'!$A$3:$A$42,'Depreciation Schedules'!$F$3:$F$42)</f>
        <v>5</v>
      </c>
      <c r="I464" s="167">
        <f>LOOKUP(I$2,'Depreciation Schedules'!$A$3:$A$42,'Depreciation Schedules'!$F$3:$F$42)</f>
        <v>5</v>
      </c>
      <c r="J464" s="167">
        <f>LOOKUP(J$2,'Depreciation Schedules'!$A$3:$A$42,'Depreciation Schedules'!$F$3:$F$42)</f>
        <v>5</v>
      </c>
      <c r="K464" s="167">
        <f>LOOKUP(K$2,'Depreciation Schedules'!$A$3:$A$42,'Depreciation Schedules'!$F$3:$F$42)</f>
        <v>5</v>
      </c>
      <c r="L464" s="167">
        <f>LOOKUP(L$2,'Depreciation Schedules'!$A$3:$A$42,'Depreciation Schedules'!$F$3:$F$42)</f>
        <v>5</v>
      </c>
      <c r="M464" s="167">
        <f>LOOKUP(M$2,'Depreciation Schedules'!$A$3:$A$42,'Depreciation Schedules'!$F$3:$F$42)</f>
        <v>5</v>
      </c>
      <c r="N464" s="167">
        <f>LOOKUP(N$2,'Depreciation Schedules'!$A$3:$A$42,'Depreciation Schedules'!$F$3:$F$42)</f>
        <v>5</v>
      </c>
      <c r="O464" s="167">
        <f>LOOKUP(O$2,'Depreciation Schedules'!$A$3:$A$42,'Depreciation Schedules'!$F$3:$F$42)</f>
        <v>5</v>
      </c>
      <c r="P464" s="167">
        <f>LOOKUP(P$2,'Depreciation Schedules'!$A$3:$A$42,'Depreciation Schedules'!$F$3:$F$42)</f>
        <v>5</v>
      </c>
      <c r="Q464" s="167">
        <f>LOOKUP(Q$2,'Depreciation Schedules'!$A$3:$A$42,'Depreciation Schedules'!$F$3:$F$42)</f>
        <v>5</v>
      </c>
      <c r="R464" s="167">
        <f>LOOKUP(R$2,'Depreciation Schedules'!$A$3:$A$42,'Depreciation Schedules'!$F$3:$F$42)</f>
        <v>5</v>
      </c>
      <c r="S464" s="167">
        <f>LOOKUP(S$2,'Depreciation Schedules'!$A$3:$A$42,'Depreciation Schedules'!$F$3:$F$42)</f>
        <v>5</v>
      </c>
      <c r="T464" s="167">
        <f>LOOKUP(T$2,'Depreciation Schedules'!$A$3:$A$42,'Depreciation Schedules'!$F$3:$F$42)</f>
        <v>5</v>
      </c>
      <c r="U464" s="167">
        <f>LOOKUP(U$2,'Depreciation Schedules'!$A$3:$A$42,'Depreciation Schedules'!$F$3:$F$42)</f>
        <v>5</v>
      </c>
      <c r="V464" s="167">
        <f>LOOKUP(V$2,'Depreciation Schedules'!$A$3:$A$42,'Depreciation Schedules'!$F$3:$F$42)</f>
        <v>5</v>
      </c>
      <c r="W464" s="167">
        <f>LOOKUP(W$2,'Depreciation Schedules'!$A$3:$A$42,'Depreciation Schedules'!$F$3:$F$42)</f>
        <v>2.5</v>
      </c>
      <c r="X464" s="167">
        <f>LOOKUP(X$2,'Depreciation Schedules'!$A$3:$A$42,'Depreciation Schedules'!$F$3:$F$42)</f>
        <v>0</v>
      </c>
      <c r="Y464" s="167">
        <f>LOOKUP(Y$2,'Depreciation Schedules'!$A$3:$A$42,'Depreciation Schedules'!$F$3:$F$42)</f>
        <v>0</v>
      </c>
      <c r="Z464" s="167">
        <f>LOOKUP(Z$2,'Depreciation Schedules'!$A$3:$A$42,'Depreciation Schedules'!$F$3:$F$42)</f>
        <v>0</v>
      </c>
      <c r="AA464" s="167">
        <f>LOOKUP(AA$2,'Depreciation Schedules'!$A$3:$A$42,'Depreciation Schedules'!$F$3:$F$42)</f>
        <v>0</v>
      </c>
      <c r="AB464" s="167" t="e">
        <f>LOOKUP(AB$2,'Depreciation Schedules'!$A$3:$A$42,'Depreciation Schedules'!$F$3:$F$42)</f>
        <v>#N/A</v>
      </c>
      <c r="AC464" s="167" t="e">
        <f>LOOKUP(AC$2,'Depreciation Schedules'!$A$3:$A$42,'Depreciation Schedules'!$F$3:$F$42)</f>
        <v>#N/A</v>
      </c>
      <c r="AD464" s="167" t="e">
        <f>LOOKUP(AD$2,'Depreciation Schedules'!$A$3:$A$42,'Depreciation Schedules'!$F$3:$F$42)</f>
        <v>#N/A</v>
      </c>
      <c r="AE464" s="167" t="e">
        <f>LOOKUP(AE$2,'Depreciation Schedules'!$A$3:$A$42,'Depreciation Schedules'!$F$3:$F$42)</f>
        <v>#N/A</v>
      </c>
      <c r="AF464" s="167" t="e">
        <f>LOOKUP(AF$2,'Depreciation Schedules'!$A$3:$A$42,'Depreciation Schedules'!$F$3:$F$42)</f>
        <v>#N/A</v>
      </c>
      <c r="AG464" s="167" t="e">
        <f>LOOKUP(AG$2,'Depreciation Schedules'!$A$3:$A$42,'Depreciation Schedules'!$F$3:$F$42)</f>
        <v>#N/A</v>
      </c>
      <c r="AH464" s="167" t="e">
        <f>LOOKUP(AH$2,'Depreciation Schedules'!$A$3:$A$42,'Depreciation Schedules'!$F$3:$F$42)</f>
        <v>#N/A</v>
      </c>
      <c r="AI464" s="167" t="e">
        <f>LOOKUP(AI$2,'Depreciation Schedules'!$A$3:$A$42,'Depreciation Schedules'!$F$3:$F$42)</f>
        <v>#N/A</v>
      </c>
      <c r="AJ464" s="167" t="e">
        <f>LOOKUP(AJ$2,'Depreciation Schedules'!$A$3:$A$42,'Depreciation Schedules'!$F$3:$F$42)</f>
        <v>#N/A</v>
      </c>
      <c r="AK464" s="167" t="e">
        <f>LOOKUP(AK$2,'Depreciation Schedules'!$A$3:$A$42,'Depreciation Schedules'!$F$3:$F$42)</f>
        <v>#N/A</v>
      </c>
      <c r="AL464" s="167" t="e">
        <f>LOOKUP(AL$2,'Depreciation Schedules'!$A$3:$A$42,'Depreciation Schedules'!$F$3:$F$42)</f>
        <v>#N/A</v>
      </c>
      <c r="AM464" s="167" t="e">
        <f>LOOKUP(AM$2,'Depreciation Schedules'!$A$3:$A$42,'Depreciation Schedules'!$F$3:$F$42)</f>
        <v>#N/A</v>
      </c>
      <c r="AN464" s="167" t="e">
        <f>LOOKUP(AN$2,'Depreciation Schedules'!$A$3:$A$42,'Depreciation Schedules'!$F$3:$F$42)</f>
        <v>#N/A</v>
      </c>
      <c r="AO464" s="167" t="e">
        <f>LOOKUP(AO$2,'Depreciation Schedules'!$A$3:$A$42,'Depreciation Schedules'!$F$3:$F$42)</f>
        <v>#N/A</v>
      </c>
      <c r="AP464" s="167" t="e">
        <f>LOOKUP(AP$2,'Depreciation Schedules'!$A$3:$A$42,'Depreciation Schedules'!$F$3:$F$42)</f>
        <v>#N/A</v>
      </c>
    </row>
    <row r="465" spans="1:42" x14ac:dyDescent="0.2">
      <c r="A465" s="23" t="str">
        <f t="shared" si="189"/>
        <v>39-yr SL</v>
      </c>
      <c r="B465" s="170">
        <f t="array" ref="B465">SUM(IF(ISNUMBER(C465:AP465),C465:AP465))</f>
        <v>62.820512820512739</v>
      </c>
      <c r="C465" s="167">
        <f>LOOKUP(C$2,'Depreciation Schedules'!$A$3:$A$42,'Depreciation Schedules'!$G$3:$G$42)</f>
        <v>1.2820512820512799</v>
      </c>
      <c r="D465" s="167">
        <f>LOOKUP(D$2,'Depreciation Schedules'!$A$3:$A$42,'Depreciation Schedules'!$G$3:$G$42)</f>
        <v>2.5641025641025599</v>
      </c>
      <c r="E465" s="167">
        <f>LOOKUP(E$2,'Depreciation Schedules'!$A$3:$A$42,'Depreciation Schedules'!$G$3:$G$42)</f>
        <v>2.5641025641025599</v>
      </c>
      <c r="F465" s="167">
        <f>LOOKUP(F$2,'Depreciation Schedules'!$A$3:$A$42,'Depreciation Schedules'!$G$3:$G$42)</f>
        <v>2.5641025641025599</v>
      </c>
      <c r="G465" s="167">
        <f>LOOKUP(G$2,'Depreciation Schedules'!$A$3:$A$42,'Depreciation Schedules'!$G$3:$G$42)</f>
        <v>2.5641025641025599</v>
      </c>
      <c r="H465" s="167">
        <f>LOOKUP(H$2,'Depreciation Schedules'!$A$3:$A$42,'Depreciation Schedules'!$G$3:$G$42)</f>
        <v>2.5641025641025599</v>
      </c>
      <c r="I465" s="167">
        <f>LOOKUP(I$2,'Depreciation Schedules'!$A$3:$A$42,'Depreciation Schedules'!$G$3:$G$42)</f>
        <v>2.5641025641025599</v>
      </c>
      <c r="J465" s="167">
        <f>LOOKUP(J$2,'Depreciation Schedules'!$A$3:$A$42,'Depreciation Schedules'!$G$3:$G$42)</f>
        <v>2.5641025641025599</v>
      </c>
      <c r="K465" s="167">
        <f>LOOKUP(K$2,'Depreciation Schedules'!$A$3:$A$42,'Depreciation Schedules'!$G$3:$G$42)</f>
        <v>2.5641025641025599</v>
      </c>
      <c r="L465" s="167">
        <f>LOOKUP(L$2,'Depreciation Schedules'!$A$3:$A$42,'Depreciation Schedules'!$G$3:$G$42)</f>
        <v>2.5641025641025599</v>
      </c>
      <c r="M465" s="167">
        <f>LOOKUP(M$2,'Depreciation Schedules'!$A$3:$A$42,'Depreciation Schedules'!$G$3:$G$42)</f>
        <v>2.5641025641025599</v>
      </c>
      <c r="N465" s="167">
        <f>LOOKUP(N$2,'Depreciation Schedules'!$A$3:$A$42,'Depreciation Schedules'!$G$3:$G$42)</f>
        <v>2.5641025641025599</v>
      </c>
      <c r="O465" s="167">
        <f>LOOKUP(O$2,'Depreciation Schedules'!$A$3:$A$42,'Depreciation Schedules'!$G$3:$G$42)</f>
        <v>2.5641025641025599</v>
      </c>
      <c r="P465" s="167">
        <f>LOOKUP(P$2,'Depreciation Schedules'!$A$3:$A$42,'Depreciation Schedules'!$G$3:$G$42)</f>
        <v>2.5641025641025599</v>
      </c>
      <c r="Q465" s="167">
        <f>LOOKUP(Q$2,'Depreciation Schedules'!$A$3:$A$42,'Depreciation Schedules'!$G$3:$G$42)</f>
        <v>2.5641025641025599</v>
      </c>
      <c r="R465" s="167">
        <f>LOOKUP(R$2,'Depreciation Schedules'!$A$3:$A$42,'Depreciation Schedules'!$G$3:$G$42)</f>
        <v>2.5641025641025599</v>
      </c>
      <c r="S465" s="167">
        <f>LOOKUP(S$2,'Depreciation Schedules'!$A$3:$A$42,'Depreciation Schedules'!$G$3:$G$42)</f>
        <v>2.5641025641025599</v>
      </c>
      <c r="T465" s="167">
        <f>LOOKUP(T$2,'Depreciation Schedules'!$A$3:$A$42,'Depreciation Schedules'!$G$3:$G$42)</f>
        <v>2.5641025641025599</v>
      </c>
      <c r="U465" s="167">
        <f>LOOKUP(U$2,'Depreciation Schedules'!$A$3:$A$42,'Depreciation Schedules'!$G$3:$G$42)</f>
        <v>2.5641025641025599</v>
      </c>
      <c r="V465" s="167">
        <f>LOOKUP(V$2,'Depreciation Schedules'!$A$3:$A$42,'Depreciation Schedules'!$G$3:$G$42)</f>
        <v>2.5641025641025599</v>
      </c>
      <c r="W465" s="167">
        <f>LOOKUP(W$2,'Depreciation Schedules'!$A$3:$A$42,'Depreciation Schedules'!$G$3:$G$42)</f>
        <v>2.5641025641025599</v>
      </c>
      <c r="X465" s="167">
        <f>LOOKUP(X$2,'Depreciation Schedules'!$A$3:$A$42,'Depreciation Schedules'!$G$3:$G$42)</f>
        <v>2.5641025641025599</v>
      </c>
      <c r="Y465" s="167">
        <f>LOOKUP(Y$2,'Depreciation Schedules'!$A$3:$A$42,'Depreciation Schedules'!$G$3:$G$42)</f>
        <v>2.5641025641025599</v>
      </c>
      <c r="Z465" s="167">
        <f>LOOKUP(Z$2,'Depreciation Schedules'!$A$3:$A$42,'Depreciation Schedules'!$G$3:$G$42)</f>
        <v>2.5641025641025599</v>
      </c>
      <c r="AA465" s="167">
        <f>LOOKUP(AA$2,'Depreciation Schedules'!$A$3:$A$42,'Depreciation Schedules'!$G$3:$G$42)</f>
        <v>2.5641025641025599</v>
      </c>
      <c r="AB465" s="167" t="e">
        <f>LOOKUP(AB$2,'Depreciation Schedules'!$A$3:$A$42,'Depreciation Schedules'!$G$3:$G$42)</f>
        <v>#N/A</v>
      </c>
      <c r="AC465" s="167" t="e">
        <f>LOOKUP(AC$2,'Depreciation Schedules'!$A$3:$A$42,'Depreciation Schedules'!$G$3:$G$42)</f>
        <v>#N/A</v>
      </c>
      <c r="AD465" s="167" t="e">
        <f>LOOKUP(AD$2,'Depreciation Schedules'!$A$3:$A$42,'Depreciation Schedules'!$G$3:$G$42)</f>
        <v>#N/A</v>
      </c>
      <c r="AE465" s="167" t="e">
        <f>LOOKUP(AE$2,'Depreciation Schedules'!$A$3:$A$42,'Depreciation Schedules'!$G$3:$G$42)</f>
        <v>#N/A</v>
      </c>
      <c r="AF465" s="167" t="e">
        <f>LOOKUP(AF$2,'Depreciation Schedules'!$A$3:$A$42,'Depreciation Schedules'!$G$3:$G$42)</f>
        <v>#N/A</v>
      </c>
      <c r="AG465" s="167" t="e">
        <f>LOOKUP(AG$2,'Depreciation Schedules'!$A$3:$A$42,'Depreciation Schedules'!$G$3:$G$42)</f>
        <v>#N/A</v>
      </c>
      <c r="AH465" s="167" t="e">
        <f>LOOKUP(AH$2,'Depreciation Schedules'!$A$3:$A$42,'Depreciation Schedules'!$G$3:$G$42)</f>
        <v>#N/A</v>
      </c>
      <c r="AI465" s="167" t="e">
        <f>LOOKUP(AI$2,'Depreciation Schedules'!$A$3:$A$42,'Depreciation Schedules'!$G$3:$G$42)</f>
        <v>#N/A</v>
      </c>
      <c r="AJ465" s="167" t="e">
        <f>LOOKUP(AJ$2,'Depreciation Schedules'!$A$3:$A$42,'Depreciation Schedules'!$G$3:$G$42)</f>
        <v>#N/A</v>
      </c>
      <c r="AK465" s="167" t="e">
        <f>LOOKUP(AK$2,'Depreciation Schedules'!$A$3:$A$42,'Depreciation Schedules'!$G$3:$G$42)</f>
        <v>#N/A</v>
      </c>
      <c r="AL465" s="167" t="e">
        <f>LOOKUP(AL$2,'Depreciation Schedules'!$A$3:$A$42,'Depreciation Schedules'!$G$3:$G$42)</f>
        <v>#N/A</v>
      </c>
      <c r="AM465" s="167" t="e">
        <f>LOOKUP(AM$2,'Depreciation Schedules'!$A$3:$A$42,'Depreciation Schedules'!$G$3:$G$42)</f>
        <v>#N/A</v>
      </c>
      <c r="AN465" s="167" t="e">
        <f>LOOKUP(AN$2,'Depreciation Schedules'!$A$3:$A$42,'Depreciation Schedules'!$G$3:$G$42)</f>
        <v>#N/A</v>
      </c>
      <c r="AO465" s="167" t="e">
        <f>LOOKUP(AO$2,'Depreciation Schedules'!$A$3:$A$42,'Depreciation Schedules'!$G$3:$G$42)</f>
        <v>#N/A</v>
      </c>
      <c r="AP465" s="167" t="e">
        <f>LOOKUP(AP$2,'Depreciation Schedules'!$A$3:$A$42,'Depreciation Schedules'!$G$3:$G$42)</f>
        <v>#N/A</v>
      </c>
    </row>
    <row r="466" spans="1:42" x14ac:dyDescent="0.2">
      <c r="A466" s="23" t="s">
        <v>322</v>
      </c>
      <c r="B466" s="170">
        <f t="array" ref="B466">SUM(IF(ISNUMBER(C466:AP466),C466:AP466))</f>
        <v>0</v>
      </c>
      <c r="C466" s="167">
        <f t="array" ref="C466:AP466">Inputs!D220:AQ220</f>
        <v>0</v>
      </c>
      <c r="D466" s="167">
        <v>0</v>
      </c>
      <c r="E466" s="167">
        <v>0</v>
      </c>
      <c r="F466" s="167">
        <v>0</v>
      </c>
      <c r="G466" s="167">
        <v>0</v>
      </c>
      <c r="H466" s="167">
        <v>0</v>
      </c>
      <c r="I466" s="167">
        <v>0</v>
      </c>
      <c r="J466" s="167">
        <v>0</v>
      </c>
      <c r="K466" s="167">
        <v>0</v>
      </c>
      <c r="L466" s="167">
        <v>0</v>
      </c>
      <c r="M466" s="167">
        <v>0</v>
      </c>
      <c r="N466" s="167">
        <v>0</v>
      </c>
      <c r="O466" s="167">
        <v>0</v>
      </c>
      <c r="P466" s="167">
        <v>0</v>
      </c>
      <c r="Q466" s="167">
        <v>0</v>
      </c>
      <c r="R466" s="167">
        <v>0</v>
      </c>
      <c r="S466" s="167">
        <v>0</v>
      </c>
      <c r="T466" s="167">
        <v>0</v>
      </c>
      <c r="U466" s="167">
        <v>0</v>
      </c>
      <c r="V466" s="167">
        <v>0</v>
      </c>
      <c r="W466" s="167">
        <v>0</v>
      </c>
      <c r="X466" s="167">
        <v>0</v>
      </c>
      <c r="Y466" s="167">
        <v>0</v>
      </c>
      <c r="Z466" s="167">
        <v>0</v>
      </c>
      <c r="AA466" s="167">
        <v>0</v>
      </c>
      <c r="AB466" s="167">
        <v>0</v>
      </c>
      <c r="AC466" s="167">
        <v>0</v>
      </c>
      <c r="AD466" s="167">
        <v>0</v>
      </c>
      <c r="AE466" s="167">
        <v>0</v>
      </c>
      <c r="AF466" s="167">
        <v>0</v>
      </c>
      <c r="AG466" s="167">
        <v>0</v>
      </c>
      <c r="AH466" s="167">
        <v>0</v>
      </c>
      <c r="AI466" s="167">
        <v>0</v>
      </c>
      <c r="AJ466" s="167">
        <v>0</v>
      </c>
      <c r="AK466" s="167">
        <v>0</v>
      </c>
      <c r="AL466" s="167">
        <v>0</v>
      </c>
      <c r="AM466" s="167">
        <v>0</v>
      </c>
      <c r="AN466" s="167">
        <v>0</v>
      </c>
      <c r="AO466" s="167">
        <v>0</v>
      </c>
      <c r="AP466" s="167">
        <v>0</v>
      </c>
    </row>
    <row r="467" spans="1:42" x14ac:dyDescent="0.2">
      <c r="A467" s="22" t="s">
        <v>3</v>
      </c>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row>
    <row r="468" spans="1:42" x14ac:dyDescent="0.2">
      <c r="A468" s="23" t="str">
        <f t="shared" ref="A468:A473" si="190">A460</f>
        <v>5-yr MACRS</v>
      </c>
      <c r="B468" s="179">
        <f t="array" ref="B468">SUM(IF(ISNUMBER(C468:AP468),C468:AP468))</f>
        <v>86245929.787499994</v>
      </c>
      <c r="C468" s="119">
        <f>C460/100*$Q$427</f>
        <v>17249185.9575</v>
      </c>
      <c r="D468" s="119">
        <f t="shared" ref="D468:AP468" si="191">D460/100*$Q$427</f>
        <v>27598697.531999998</v>
      </c>
      <c r="E468" s="119">
        <f t="shared" si="191"/>
        <v>16559218.519199999</v>
      </c>
      <c r="F468" s="119">
        <f t="shared" si="191"/>
        <v>9935531.1115199998</v>
      </c>
      <c r="G468" s="119">
        <f t="shared" si="191"/>
        <v>9935531.1115199998</v>
      </c>
      <c r="H468" s="119">
        <f t="shared" si="191"/>
        <v>4967765.5557599999</v>
      </c>
      <c r="I468" s="119">
        <f t="shared" si="191"/>
        <v>0</v>
      </c>
      <c r="J468" s="119">
        <f t="shared" si="191"/>
        <v>0</v>
      </c>
      <c r="K468" s="119">
        <f t="shared" si="191"/>
        <v>0</v>
      </c>
      <c r="L468" s="119">
        <f t="shared" si="191"/>
        <v>0</v>
      </c>
      <c r="M468" s="119">
        <f t="shared" si="191"/>
        <v>0</v>
      </c>
      <c r="N468" s="119">
        <f t="shared" si="191"/>
        <v>0</v>
      </c>
      <c r="O468" s="119">
        <f t="shared" si="191"/>
        <v>0</v>
      </c>
      <c r="P468" s="119">
        <f t="shared" si="191"/>
        <v>0</v>
      </c>
      <c r="Q468" s="119">
        <f t="shared" si="191"/>
        <v>0</v>
      </c>
      <c r="R468" s="119">
        <f t="shared" si="191"/>
        <v>0</v>
      </c>
      <c r="S468" s="119">
        <f t="shared" si="191"/>
        <v>0</v>
      </c>
      <c r="T468" s="119">
        <f t="shared" si="191"/>
        <v>0</v>
      </c>
      <c r="U468" s="119">
        <f t="shared" si="191"/>
        <v>0</v>
      </c>
      <c r="V468" s="119">
        <f t="shared" si="191"/>
        <v>0</v>
      </c>
      <c r="W468" s="119">
        <f t="shared" si="191"/>
        <v>0</v>
      </c>
      <c r="X468" s="119">
        <f t="shared" si="191"/>
        <v>0</v>
      </c>
      <c r="Y468" s="119">
        <f t="shared" si="191"/>
        <v>0</v>
      </c>
      <c r="Z468" s="119">
        <f t="shared" si="191"/>
        <v>0</v>
      </c>
      <c r="AA468" s="119">
        <f t="shared" si="191"/>
        <v>0</v>
      </c>
      <c r="AB468" s="119" t="e">
        <f t="shared" si="191"/>
        <v>#N/A</v>
      </c>
      <c r="AC468" s="119" t="e">
        <f t="shared" si="191"/>
        <v>#N/A</v>
      </c>
      <c r="AD468" s="119" t="e">
        <f t="shared" si="191"/>
        <v>#N/A</v>
      </c>
      <c r="AE468" s="119" t="e">
        <f t="shared" si="191"/>
        <v>#N/A</v>
      </c>
      <c r="AF468" s="119" t="e">
        <f t="shared" si="191"/>
        <v>#N/A</v>
      </c>
      <c r="AG468" s="119" t="e">
        <f t="shared" si="191"/>
        <v>#N/A</v>
      </c>
      <c r="AH468" s="119" t="e">
        <f t="shared" si="191"/>
        <v>#N/A</v>
      </c>
      <c r="AI468" s="119" t="e">
        <f t="shared" si="191"/>
        <v>#N/A</v>
      </c>
      <c r="AJ468" s="119" t="e">
        <f t="shared" si="191"/>
        <v>#N/A</v>
      </c>
      <c r="AK468" s="119" t="e">
        <f t="shared" si="191"/>
        <v>#N/A</v>
      </c>
      <c r="AL468" s="119" t="e">
        <f t="shared" si="191"/>
        <v>#N/A</v>
      </c>
      <c r="AM468" s="119" t="e">
        <f t="shared" si="191"/>
        <v>#N/A</v>
      </c>
      <c r="AN468" s="119" t="e">
        <f t="shared" si="191"/>
        <v>#N/A</v>
      </c>
      <c r="AO468" s="119" t="e">
        <f t="shared" si="191"/>
        <v>#N/A</v>
      </c>
      <c r="AP468" s="119" t="e">
        <f t="shared" si="191"/>
        <v>#N/A</v>
      </c>
    </row>
    <row r="469" spans="1:42" x14ac:dyDescent="0.2">
      <c r="A469" s="23" t="str">
        <f t="shared" si="190"/>
        <v>15-yr MACRS</v>
      </c>
      <c r="B469" s="179">
        <f t="array" ref="B469">SUM(IF(ISNUMBER(C469:AP469),C469:AP469))</f>
        <v>1690927.5528337501</v>
      </c>
      <c r="C469" s="119">
        <f>C461/100*$Q$428</f>
        <v>84554.833125000005</v>
      </c>
      <c r="D469" s="119">
        <f t="shared" ref="D469:AP469" si="192">D461/100*$Q$428</f>
        <v>160654.18293750001</v>
      </c>
      <c r="E469" s="119">
        <f t="shared" si="192"/>
        <v>144588.76464375001</v>
      </c>
      <c r="F469" s="119">
        <f t="shared" si="192"/>
        <v>130214.44301250001</v>
      </c>
      <c r="G469" s="119">
        <f t="shared" si="192"/>
        <v>117192.99871125001</v>
      </c>
      <c r="H469" s="119">
        <f t="shared" si="192"/>
        <v>105355.32207375001</v>
      </c>
      <c r="I469" s="119">
        <f t="shared" si="192"/>
        <v>99774.703087500005</v>
      </c>
      <c r="J469" s="119">
        <f t="shared" si="192"/>
        <v>99774.703087500005</v>
      </c>
      <c r="K469" s="119">
        <f t="shared" si="192"/>
        <v>99943.812753750011</v>
      </c>
      <c r="L469" s="119">
        <f t="shared" si="192"/>
        <v>99774.703087500005</v>
      </c>
      <c r="M469" s="119">
        <f t="shared" si="192"/>
        <v>99943.812753750011</v>
      </c>
      <c r="N469" s="119">
        <f t="shared" si="192"/>
        <v>99774.703087500005</v>
      </c>
      <c r="O469" s="119">
        <f t="shared" si="192"/>
        <v>99943.812753750011</v>
      </c>
      <c r="P469" s="119">
        <f t="shared" si="192"/>
        <v>99774.703087500005</v>
      </c>
      <c r="Q469" s="119">
        <f t="shared" si="192"/>
        <v>99774.703087500005</v>
      </c>
      <c r="R469" s="119">
        <f t="shared" si="192"/>
        <v>49887.351543750003</v>
      </c>
      <c r="S469" s="119">
        <f t="shared" si="192"/>
        <v>0</v>
      </c>
      <c r="T469" s="119">
        <f t="shared" si="192"/>
        <v>0</v>
      </c>
      <c r="U469" s="119">
        <f t="shared" si="192"/>
        <v>0</v>
      </c>
      <c r="V469" s="119">
        <f t="shared" si="192"/>
        <v>0</v>
      </c>
      <c r="W469" s="119">
        <f t="shared" si="192"/>
        <v>0</v>
      </c>
      <c r="X469" s="119">
        <f t="shared" si="192"/>
        <v>0</v>
      </c>
      <c r="Y469" s="119">
        <f t="shared" si="192"/>
        <v>0</v>
      </c>
      <c r="Z469" s="119">
        <f t="shared" si="192"/>
        <v>0</v>
      </c>
      <c r="AA469" s="119">
        <f t="shared" si="192"/>
        <v>0</v>
      </c>
      <c r="AB469" s="119" t="e">
        <f t="shared" si="192"/>
        <v>#N/A</v>
      </c>
      <c r="AC469" s="119" t="e">
        <f t="shared" si="192"/>
        <v>#N/A</v>
      </c>
      <c r="AD469" s="119" t="e">
        <f t="shared" si="192"/>
        <v>#N/A</v>
      </c>
      <c r="AE469" s="119" t="e">
        <f t="shared" si="192"/>
        <v>#N/A</v>
      </c>
      <c r="AF469" s="119" t="e">
        <f t="shared" si="192"/>
        <v>#N/A</v>
      </c>
      <c r="AG469" s="119" t="e">
        <f t="shared" si="192"/>
        <v>#N/A</v>
      </c>
      <c r="AH469" s="119" t="e">
        <f t="shared" si="192"/>
        <v>#N/A</v>
      </c>
      <c r="AI469" s="119" t="e">
        <f t="shared" si="192"/>
        <v>#N/A</v>
      </c>
      <c r="AJ469" s="119" t="e">
        <f t="shared" si="192"/>
        <v>#N/A</v>
      </c>
      <c r="AK469" s="119" t="e">
        <f t="shared" si="192"/>
        <v>#N/A</v>
      </c>
      <c r="AL469" s="119" t="e">
        <f t="shared" si="192"/>
        <v>#N/A</v>
      </c>
      <c r="AM469" s="119" t="e">
        <f t="shared" si="192"/>
        <v>#N/A</v>
      </c>
      <c r="AN469" s="119" t="e">
        <f t="shared" si="192"/>
        <v>#N/A</v>
      </c>
      <c r="AO469" s="119" t="e">
        <f t="shared" si="192"/>
        <v>#N/A</v>
      </c>
      <c r="AP469" s="119" t="e">
        <f t="shared" si="192"/>
        <v>#N/A</v>
      </c>
    </row>
    <row r="470" spans="1:42" x14ac:dyDescent="0.2">
      <c r="A470" s="23" t="str">
        <f t="shared" si="190"/>
        <v>5-yr SL</v>
      </c>
      <c r="B470" s="179">
        <f t="array" ref="B470">SUM(IF(ISNUMBER(C470:AP470),C470:AP470))</f>
        <v>0</v>
      </c>
      <c r="C470" s="119">
        <f>C462/100*$Q$429</f>
        <v>0</v>
      </c>
      <c r="D470" s="119">
        <f t="shared" ref="D470:AP470" si="193">D462/100*$Q$429</f>
        <v>0</v>
      </c>
      <c r="E470" s="119">
        <f t="shared" si="193"/>
        <v>0</v>
      </c>
      <c r="F470" s="119">
        <f t="shared" si="193"/>
        <v>0</v>
      </c>
      <c r="G470" s="119">
        <f t="shared" si="193"/>
        <v>0</v>
      </c>
      <c r="H470" s="119">
        <f t="shared" si="193"/>
        <v>0</v>
      </c>
      <c r="I470" s="119">
        <f t="shared" si="193"/>
        <v>0</v>
      </c>
      <c r="J470" s="119">
        <f t="shared" si="193"/>
        <v>0</v>
      </c>
      <c r="K470" s="119">
        <f t="shared" si="193"/>
        <v>0</v>
      </c>
      <c r="L470" s="119">
        <f t="shared" si="193"/>
        <v>0</v>
      </c>
      <c r="M470" s="119">
        <f t="shared" si="193"/>
        <v>0</v>
      </c>
      <c r="N470" s="119">
        <f t="shared" si="193"/>
        <v>0</v>
      </c>
      <c r="O470" s="119">
        <f t="shared" si="193"/>
        <v>0</v>
      </c>
      <c r="P470" s="119">
        <f t="shared" si="193"/>
        <v>0</v>
      </c>
      <c r="Q470" s="119">
        <f t="shared" si="193"/>
        <v>0</v>
      </c>
      <c r="R470" s="119">
        <f t="shared" si="193"/>
        <v>0</v>
      </c>
      <c r="S470" s="119">
        <f t="shared" si="193"/>
        <v>0</v>
      </c>
      <c r="T470" s="119">
        <f t="shared" si="193"/>
        <v>0</v>
      </c>
      <c r="U470" s="119">
        <f t="shared" si="193"/>
        <v>0</v>
      </c>
      <c r="V470" s="119">
        <f t="shared" si="193"/>
        <v>0</v>
      </c>
      <c r="W470" s="119">
        <f t="shared" si="193"/>
        <v>0</v>
      </c>
      <c r="X470" s="119">
        <f t="shared" si="193"/>
        <v>0</v>
      </c>
      <c r="Y470" s="119">
        <f t="shared" si="193"/>
        <v>0</v>
      </c>
      <c r="Z470" s="119">
        <f t="shared" si="193"/>
        <v>0</v>
      </c>
      <c r="AA470" s="119">
        <f t="shared" si="193"/>
        <v>0</v>
      </c>
      <c r="AB470" s="119" t="e">
        <f t="shared" si="193"/>
        <v>#N/A</v>
      </c>
      <c r="AC470" s="119" t="e">
        <f t="shared" si="193"/>
        <v>#N/A</v>
      </c>
      <c r="AD470" s="119" t="e">
        <f t="shared" si="193"/>
        <v>#N/A</v>
      </c>
      <c r="AE470" s="119" t="e">
        <f t="shared" si="193"/>
        <v>#N/A</v>
      </c>
      <c r="AF470" s="119" t="e">
        <f t="shared" si="193"/>
        <v>#N/A</v>
      </c>
      <c r="AG470" s="119" t="e">
        <f t="shared" si="193"/>
        <v>#N/A</v>
      </c>
      <c r="AH470" s="119" t="e">
        <f t="shared" si="193"/>
        <v>#N/A</v>
      </c>
      <c r="AI470" s="119" t="e">
        <f t="shared" si="193"/>
        <v>#N/A</v>
      </c>
      <c r="AJ470" s="119" t="e">
        <f t="shared" si="193"/>
        <v>#N/A</v>
      </c>
      <c r="AK470" s="119" t="e">
        <f t="shared" si="193"/>
        <v>#N/A</v>
      </c>
      <c r="AL470" s="119" t="e">
        <f t="shared" si="193"/>
        <v>#N/A</v>
      </c>
      <c r="AM470" s="119" t="e">
        <f t="shared" si="193"/>
        <v>#N/A</v>
      </c>
      <c r="AN470" s="119" t="e">
        <f t="shared" si="193"/>
        <v>#N/A</v>
      </c>
      <c r="AO470" s="119" t="e">
        <f t="shared" si="193"/>
        <v>#N/A</v>
      </c>
      <c r="AP470" s="119" t="e">
        <f t="shared" si="193"/>
        <v>#N/A</v>
      </c>
    </row>
    <row r="471" spans="1:42" x14ac:dyDescent="0.2">
      <c r="A471" s="23" t="str">
        <f t="shared" si="190"/>
        <v>15-yr SL</v>
      </c>
      <c r="B471" s="179">
        <f t="array" ref="B471">SUM(IF(ISNUMBER(C471:AP471),C471:AP471))</f>
        <v>2819058.1363875004</v>
      </c>
      <c r="C471" s="119">
        <f>C463/100*$Q$430</f>
        <v>93855.864768750005</v>
      </c>
      <c r="D471" s="119">
        <f t="shared" ref="D471:AP471" si="194">D463/100*$Q$430</f>
        <v>187993.57898125</v>
      </c>
      <c r="E471" s="119">
        <f t="shared" si="194"/>
        <v>187993.57898125</v>
      </c>
      <c r="F471" s="119">
        <f t="shared" si="194"/>
        <v>187993.57898125</v>
      </c>
      <c r="G471" s="119">
        <f t="shared" si="194"/>
        <v>187993.57898125</v>
      </c>
      <c r="H471" s="119">
        <f t="shared" si="194"/>
        <v>187993.57898125</v>
      </c>
      <c r="I471" s="119">
        <f t="shared" si="194"/>
        <v>187993.57898125</v>
      </c>
      <c r="J471" s="119">
        <f t="shared" si="194"/>
        <v>187993.57898125</v>
      </c>
      <c r="K471" s="119">
        <f t="shared" si="194"/>
        <v>187993.57898125</v>
      </c>
      <c r="L471" s="119">
        <f t="shared" si="194"/>
        <v>187993.57898125</v>
      </c>
      <c r="M471" s="119">
        <f t="shared" si="194"/>
        <v>187993.57898125</v>
      </c>
      <c r="N471" s="119">
        <f t="shared" si="194"/>
        <v>187711.72953750001</v>
      </c>
      <c r="O471" s="119">
        <f t="shared" si="194"/>
        <v>187993.57898125</v>
      </c>
      <c r="P471" s="119">
        <f t="shared" si="194"/>
        <v>187711.72953750001</v>
      </c>
      <c r="Q471" s="119">
        <f t="shared" si="194"/>
        <v>187993.57898125</v>
      </c>
      <c r="R471" s="119">
        <f t="shared" si="194"/>
        <v>93855.864768750005</v>
      </c>
      <c r="S471" s="119">
        <f t="shared" si="194"/>
        <v>0</v>
      </c>
      <c r="T471" s="119">
        <f t="shared" si="194"/>
        <v>0</v>
      </c>
      <c r="U471" s="119">
        <f t="shared" si="194"/>
        <v>0</v>
      </c>
      <c r="V471" s="119">
        <f t="shared" si="194"/>
        <v>0</v>
      </c>
      <c r="W471" s="119">
        <f t="shared" si="194"/>
        <v>0</v>
      </c>
      <c r="X471" s="119">
        <f t="shared" si="194"/>
        <v>0</v>
      </c>
      <c r="Y471" s="119">
        <f t="shared" si="194"/>
        <v>0</v>
      </c>
      <c r="Z471" s="119">
        <f t="shared" si="194"/>
        <v>0</v>
      </c>
      <c r="AA471" s="119">
        <f t="shared" si="194"/>
        <v>0</v>
      </c>
      <c r="AB471" s="119" t="e">
        <f t="shared" si="194"/>
        <v>#N/A</v>
      </c>
      <c r="AC471" s="119" t="e">
        <f t="shared" si="194"/>
        <v>#N/A</v>
      </c>
      <c r="AD471" s="119" t="e">
        <f t="shared" si="194"/>
        <v>#N/A</v>
      </c>
      <c r="AE471" s="119" t="e">
        <f t="shared" si="194"/>
        <v>#N/A</v>
      </c>
      <c r="AF471" s="119" t="e">
        <f t="shared" si="194"/>
        <v>#N/A</v>
      </c>
      <c r="AG471" s="119" t="e">
        <f t="shared" si="194"/>
        <v>#N/A</v>
      </c>
      <c r="AH471" s="119" t="e">
        <f t="shared" si="194"/>
        <v>#N/A</v>
      </c>
      <c r="AI471" s="119" t="e">
        <f t="shared" si="194"/>
        <v>#N/A</v>
      </c>
      <c r="AJ471" s="119" t="e">
        <f t="shared" si="194"/>
        <v>#N/A</v>
      </c>
      <c r="AK471" s="119" t="e">
        <f t="shared" si="194"/>
        <v>#N/A</v>
      </c>
      <c r="AL471" s="119" t="e">
        <f t="shared" si="194"/>
        <v>#N/A</v>
      </c>
      <c r="AM471" s="119" t="e">
        <f t="shared" si="194"/>
        <v>#N/A</v>
      </c>
      <c r="AN471" s="119" t="e">
        <f t="shared" si="194"/>
        <v>#N/A</v>
      </c>
      <c r="AO471" s="119" t="e">
        <f t="shared" si="194"/>
        <v>#N/A</v>
      </c>
      <c r="AP471" s="119" t="e">
        <f t="shared" si="194"/>
        <v>#N/A</v>
      </c>
    </row>
    <row r="472" spans="1:42" x14ac:dyDescent="0.2">
      <c r="A472" s="23" t="str">
        <f t="shared" si="190"/>
        <v>20-yr SL</v>
      </c>
      <c r="B472" s="179">
        <f t="array" ref="B472">SUM(IF(ISNUMBER(C472:AP472),C472:AP472))</f>
        <v>3382193.3249999983</v>
      </c>
      <c r="C472" s="119">
        <f>C464/100*$Q$431</f>
        <v>84554.833125000005</v>
      </c>
      <c r="D472" s="119">
        <f t="shared" ref="D472:AP472" si="195">D464/100*$Q$431</f>
        <v>169109.66625000001</v>
      </c>
      <c r="E472" s="119">
        <f t="shared" si="195"/>
        <v>169109.66625000001</v>
      </c>
      <c r="F472" s="119">
        <f t="shared" si="195"/>
        <v>169109.66625000001</v>
      </c>
      <c r="G472" s="119">
        <f t="shared" si="195"/>
        <v>169109.66625000001</v>
      </c>
      <c r="H472" s="119">
        <f t="shared" si="195"/>
        <v>169109.66625000001</v>
      </c>
      <c r="I472" s="119">
        <f t="shared" si="195"/>
        <v>169109.66625000001</v>
      </c>
      <c r="J472" s="119">
        <f t="shared" si="195"/>
        <v>169109.66625000001</v>
      </c>
      <c r="K472" s="119">
        <f t="shared" si="195"/>
        <v>169109.66625000001</v>
      </c>
      <c r="L472" s="119">
        <f t="shared" si="195"/>
        <v>169109.66625000001</v>
      </c>
      <c r="M472" s="119">
        <f t="shared" si="195"/>
        <v>169109.66625000001</v>
      </c>
      <c r="N472" s="119">
        <f t="shared" si="195"/>
        <v>169109.66625000001</v>
      </c>
      <c r="O472" s="119">
        <f t="shared" si="195"/>
        <v>169109.66625000001</v>
      </c>
      <c r="P472" s="119">
        <f t="shared" si="195"/>
        <v>169109.66625000001</v>
      </c>
      <c r="Q472" s="119">
        <f t="shared" si="195"/>
        <v>169109.66625000001</v>
      </c>
      <c r="R472" s="119">
        <f t="shared" si="195"/>
        <v>169109.66625000001</v>
      </c>
      <c r="S472" s="119">
        <f t="shared" si="195"/>
        <v>169109.66625000001</v>
      </c>
      <c r="T472" s="119">
        <f t="shared" si="195"/>
        <v>169109.66625000001</v>
      </c>
      <c r="U472" s="119">
        <f t="shared" si="195"/>
        <v>169109.66625000001</v>
      </c>
      <c r="V472" s="119">
        <f t="shared" si="195"/>
        <v>169109.66625000001</v>
      </c>
      <c r="W472" s="119">
        <f t="shared" si="195"/>
        <v>84554.833125000005</v>
      </c>
      <c r="X472" s="119">
        <f t="shared" si="195"/>
        <v>0</v>
      </c>
      <c r="Y472" s="119">
        <f t="shared" si="195"/>
        <v>0</v>
      </c>
      <c r="Z472" s="119">
        <f t="shared" si="195"/>
        <v>0</v>
      </c>
      <c r="AA472" s="119">
        <f t="shared" si="195"/>
        <v>0</v>
      </c>
      <c r="AB472" s="119" t="e">
        <f t="shared" si="195"/>
        <v>#N/A</v>
      </c>
      <c r="AC472" s="119" t="e">
        <f t="shared" si="195"/>
        <v>#N/A</v>
      </c>
      <c r="AD472" s="119" t="e">
        <f t="shared" si="195"/>
        <v>#N/A</v>
      </c>
      <c r="AE472" s="119" t="e">
        <f t="shared" si="195"/>
        <v>#N/A</v>
      </c>
      <c r="AF472" s="119" t="e">
        <f t="shared" si="195"/>
        <v>#N/A</v>
      </c>
      <c r="AG472" s="119" t="e">
        <f t="shared" si="195"/>
        <v>#N/A</v>
      </c>
      <c r="AH472" s="119" t="e">
        <f t="shared" si="195"/>
        <v>#N/A</v>
      </c>
      <c r="AI472" s="119" t="e">
        <f t="shared" si="195"/>
        <v>#N/A</v>
      </c>
      <c r="AJ472" s="119" t="e">
        <f t="shared" si="195"/>
        <v>#N/A</v>
      </c>
      <c r="AK472" s="119" t="e">
        <f t="shared" si="195"/>
        <v>#N/A</v>
      </c>
      <c r="AL472" s="119" t="e">
        <f t="shared" si="195"/>
        <v>#N/A</v>
      </c>
      <c r="AM472" s="119" t="e">
        <f t="shared" si="195"/>
        <v>#N/A</v>
      </c>
      <c r="AN472" s="119" t="e">
        <f t="shared" si="195"/>
        <v>#N/A</v>
      </c>
      <c r="AO472" s="119" t="e">
        <f t="shared" si="195"/>
        <v>#N/A</v>
      </c>
      <c r="AP472" s="119" t="e">
        <f t="shared" si="195"/>
        <v>#N/A</v>
      </c>
    </row>
    <row r="473" spans="1:42" x14ac:dyDescent="0.2">
      <c r="A473" s="23" t="str">
        <f t="shared" si="190"/>
        <v>39-yr SL</v>
      </c>
      <c r="B473" s="179">
        <f>SUM(IF(ISNUMBER(C473:AP473),C473:AP473))</f>
        <v>0</v>
      </c>
      <c r="C473" s="119">
        <f>C465/100*$Q$432</f>
        <v>0</v>
      </c>
      <c r="D473" s="119">
        <f t="shared" ref="D473:AP473" si="196">D465/100*$Q$432</f>
        <v>0</v>
      </c>
      <c r="E473" s="119">
        <f t="shared" si="196"/>
        <v>0</v>
      </c>
      <c r="F473" s="119">
        <f t="shared" si="196"/>
        <v>0</v>
      </c>
      <c r="G473" s="119">
        <f t="shared" si="196"/>
        <v>0</v>
      </c>
      <c r="H473" s="119">
        <f t="shared" si="196"/>
        <v>0</v>
      </c>
      <c r="I473" s="119">
        <f t="shared" si="196"/>
        <v>0</v>
      </c>
      <c r="J473" s="119">
        <f t="shared" si="196"/>
        <v>0</v>
      </c>
      <c r="K473" s="119">
        <f t="shared" si="196"/>
        <v>0</v>
      </c>
      <c r="L473" s="119">
        <f t="shared" si="196"/>
        <v>0</v>
      </c>
      <c r="M473" s="119">
        <f t="shared" si="196"/>
        <v>0</v>
      </c>
      <c r="N473" s="119">
        <f t="shared" si="196"/>
        <v>0</v>
      </c>
      <c r="O473" s="119">
        <f t="shared" si="196"/>
        <v>0</v>
      </c>
      <c r="P473" s="119">
        <f t="shared" si="196"/>
        <v>0</v>
      </c>
      <c r="Q473" s="119">
        <f t="shared" si="196"/>
        <v>0</v>
      </c>
      <c r="R473" s="119">
        <f t="shared" si="196"/>
        <v>0</v>
      </c>
      <c r="S473" s="119">
        <f t="shared" si="196"/>
        <v>0</v>
      </c>
      <c r="T473" s="119">
        <f t="shared" si="196"/>
        <v>0</v>
      </c>
      <c r="U473" s="119">
        <f t="shared" si="196"/>
        <v>0</v>
      </c>
      <c r="V473" s="119">
        <f t="shared" si="196"/>
        <v>0</v>
      </c>
      <c r="W473" s="119">
        <f t="shared" si="196"/>
        <v>0</v>
      </c>
      <c r="X473" s="119">
        <f t="shared" si="196"/>
        <v>0</v>
      </c>
      <c r="Y473" s="119">
        <f t="shared" si="196"/>
        <v>0</v>
      </c>
      <c r="Z473" s="119">
        <f t="shared" si="196"/>
        <v>0</v>
      </c>
      <c r="AA473" s="119">
        <f t="shared" si="196"/>
        <v>0</v>
      </c>
      <c r="AB473" s="119" t="e">
        <f t="shared" si="196"/>
        <v>#N/A</v>
      </c>
      <c r="AC473" s="119" t="e">
        <f t="shared" si="196"/>
        <v>#N/A</v>
      </c>
      <c r="AD473" s="119" t="e">
        <f t="shared" si="196"/>
        <v>#N/A</v>
      </c>
      <c r="AE473" s="119" t="e">
        <f t="shared" si="196"/>
        <v>#N/A</v>
      </c>
      <c r="AF473" s="119" t="e">
        <f t="shared" si="196"/>
        <v>#N/A</v>
      </c>
      <c r="AG473" s="119" t="e">
        <f t="shared" si="196"/>
        <v>#N/A</v>
      </c>
      <c r="AH473" s="119" t="e">
        <f t="shared" si="196"/>
        <v>#N/A</v>
      </c>
      <c r="AI473" s="119" t="e">
        <f t="shared" si="196"/>
        <v>#N/A</v>
      </c>
      <c r="AJ473" s="119" t="e">
        <f t="shared" si="196"/>
        <v>#N/A</v>
      </c>
      <c r="AK473" s="119" t="e">
        <f t="shared" si="196"/>
        <v>#N/A</v>
      </c>
      <c r="AL473" s="119" t="e">
        <f t="shared" si="196"/>
        <v>#N/A</v>
      </c>
      <c r="AM473" s="119" t="e">
        <f t="shared" si="196"/>
        <v>#N/A</v>
      </c>
      <c r="AN473" s="119" t="e">
        <f t="shared" si="196"/>
        <v>#N/A</v>
      </c>
      <c r="AO473" s="119" t="e">
        <f t="shared" si="196"/>
        <v>#N/A</v>
      </c>
      <c r="AP473" s="119" t="e">
        <f t="shared" si="196"/>
        <v>#N/A</v>
      </c>
    </row>
    <row r="474" spans="1:42" x14ac:dyDescent="0.2">
      <c r="A474" s="23" t="s">
        <v>322</v>
      </c>
      <c r="B474" s="179">
        <f>SUM(IF(ISNUMBER(C474:AP474),C474:AP474))</f>
        <v>0</v>
      </c>
      <c r="C474" s="119">
        <f t="shared" ref="C474:AP474" si="197">IF(C2&lt;=analysis_period,C466/100*$Q$433,0)</f>
        <v>0</v>
      </c>
      <c r="D474" s="119">
        <f t="shared" si="197"/>
        <v>0</v>
      </c>
      <c r="E474" s="119">
        <f t="shared" si="197"/>
        <v>0</v>
      </c>
      <c r="F474" s="119">
        <f t="shared" si="197"/>
        <v>0</v>
      </c>
      <c r="G474" s="119">
        <f t="shared" si="197"/>
        <v>0</v>
      </c>
      <c r="H474" s="119">
        <f t="shared" si="197"/>
        <v>0</v>
      </c>
      <c r="I474" s="119">
        <f t="shared" si="197"/>
        <v>0</v>
      </c>
      <c r="J474" s="119">
        <f t="shared" si="197"/>
        <v>0</v>
      </c>
      <c r="K474" s="119">
        <f t="shared" si="197"/>
        <v>0</v>
      </c>
      <c r="L474" s="119">
        <f t="shared" si="197"/>
        <v>0</v>
      </c>
      <c r="M474" s="119">
        <f t="shared" si="197"/>
        <v>0</v>
      </c>
      <c r="N474" s="119">
        <f t="shared" si="197"/>
        <v>0</v>
      </c>
      <c r="O474" s="119">
        <f t="shared" si="197"/>
        <v>0</v>
      </c>
      <c r="P474" s="119">
        <f t="shared" si="197"/>
        <v>0</v>
      </c>
      <c r="Q474" s="119">
        <f t="shared" si="197"/>
        <v>0</v>
      </c>
      <c r="R474" s="119">
        <f t="shared" si="197"/>
        <v>0</v>
      </c>
      <c r="S474" s="119">
        <f t="shared" si="197"/>
        <v>0</v>
      </c>
      <c r="T474" s="119">
        <f t="shared" si="197"/>
        <v>0</v>
      </c>
      <c r="U474" s="119">
        <f t="shared" si="197"/>
        <v>0</v>
      </c>
      <c r="V474" s="119">
        <f t="shared" si="197"/>
        <v>0</v>
      </c>
      <c r="W474" s="119">
        <f t="shared" si="197"/>
        <v>0</v>
      </c>
      <c r="X474" s="119">
        <f t="shared" si="197"/>
        <v>0</v>
      </c>
      <c r="Y474" s="119">
        <f t="shared" si="197"/>
        <v>0</v>
      </c>
      <c r="Z474" s="119">
        <f t="shared" si="197"/>
        <v>0</v>
      </c>
      <c r="AA474" s="119">
        <f t="shared" si="197"/>
        <v>0</v>
      </c>
      <c r="AB474" s="119">
        <f t="shared" si="197"/>
        <v>0</v>
      </c>
      <c r="AC474" s="119">
        <f t="shared" si="197"/>
        <v>0</v>
      </c>
      <c r="AD474" s="119">
        <f t="shared" si="197"/>
        <v>0</v>
      </c>
      <c r="AE474" s="119">
        <f t="shared" si="197"/>
        <v>0</v>
      </c>
      <c r="AF474" s="119">
        <f t="shared" si="197"/>
        <v>0</v>
      </c>
      <c r="AG474" s="119">
        <f t="shared" si="197"/>
        <v>0</v>
      </c>
      <c r="AH474" s="119">
        <f t="shared" si="197"/>
        <v>0</v>
      </c>
      <c r="AI474" s="119">
        <f t="shared" si="197"/>
        <v>0</v>
      </c>
      <c r="AJ474" s="119">
        <f t="shared" si="197"/>
        <v>0</v>
      </c>
      <c r="AK474" s="119">
        <f t="shared" si="197"/>
        <v>0</v>
      </c>
      <c r="AL474" s="119">
        <f t="shared" si="197"/>
        <v>0</v>
      </c>
      <c r="AM474" s="119">
        <f t="shared" si="197"/>
        <v>0</v>
      </c>
      <c r="AN474" s="119">
        <f t="shared" si="197"/>
        <v>0</v>
      </c>
      <c r="AO474" s="119">
        <f t="shared" si="197"/>
        <v>0</v>
      </c>
      <c r="AP474" s="119">
        <f t="shared" si="197"/>
        <v>0</v>
      </c>
    </row>
    <row r="475" spans="1:42" x14ac:dyDescent="0.2">
      <c r="A475" s="23" t="s">
        <v>90</v>
      </c>
      <c r="B475" s="179">
        <f t="array" ref="B475">SUM(IF(ISNUMBER(C475:AP475),C475:AP475))</f>
        <v>0</v>
      </c>
      <c r="C475" s="120">
        <f>P434</f>
        <v>0</v>
      </c>
      <c r="D475" s="120">
        <v>0</v>
      </c>
      <c r="E475" s="120">
        <v>0</v>
      </c>
      <c r="F475" s="120">
        <v>0</v>
      </c>
      <c r="G475" s="120">
        <v>0</v>
      </c>
      <c r="H475" s="120">
        <v>0</v>
      </c>
      <c r="I475" s="120">
        <v>0</v>
      </c>
      <c r="J475" s="120">
        <v>0</v>
      </c>
      <c r="K475" s="120">
        <v>0</v>
      </c>
      <c r="L475" s="120">
        <v>0</v>
      </c>
      <c r="M475" s="120">
        <v>0</v>
      </c>
      <c r="N475" s="120">
        <v>0</v>
      </c>
      <c r="O475" s="120">
        <v>0</v>
      </c>
      <c r="P475" s="120">
        <v>0</v>
      </c>
      <c r="Q475" s="120">
        <v>0</v>
      </c>
      <c r="R475" s="120">
        <v>0</v>
      </c>
      <c r="S475" s="120">
        <v>0</v>
      </c>
      <c r="T475" s="120">
        <v>0</v>
      </c>
      <c r="U475" s="120">
        <v>0</v>
      </c>
      <c r="V475" s="120">
        <v>0</v>
      </c>
      <c r="W475" s="120">
        <v>0</v>
      </c>
      <c r="X475" s="120">
        <v>0</v>
      </c>
      <c r="Y475" s="120">
        <v>0</v>
      </c>
      <c r="Z475" s="120">
        <v>0</v>
      </c>
      <c r="AA475" s="120">
        <v>0</v>
      </c>
      <c r="AB475" s="120">
        <v>0</v>
      </c>
      <c r="AC475" s="120">
        <v>0</v>
      </c>
      <c r="AD475" s="120">
        <v>0</v>
      </c>
      <c r="AE475" s="120">
        <v>0</v>
      </c>
      <c r="AF475" s="120">
        <v>0</v>
      </c>
      <c r="AG475" s="120">
        <v>0</v>
      </c>
      <c r="AH475" s="120">
        <v>0</v>
      </c>
      <c r="AI475" s="120">
        <v>0</v>
      </c>
      <c r="AJ475" s="120">
        <v>0</v>
      </c>
      <c r="AK475" s="120">
        <v>0</v>
      </c>
      <c r="AL475" s="120">
        <v>0</v>
      </c>
      <c r="AM475" s="120">
        <v>0</v>
      </c>
      <c r="AN475" s="120">
        <v>0</v>
      </c>
      <c r="AO475" s="120">
        <v>0</v>
      </c>
      <c r="AP475" s="120">
        <v>0</v>
      </c>
    </row>
    <row r="476" spans="1:42" x14ac:dyDescent="0.2">
      <c r="A476" s="22"/>
      <c r="B476" s="180">
        <f t="array" ref="B476">SUM(IF(ISNUMBER(C476:AP476),C476:AP476))</f>
        <v>94138108.801721245</v>
      </c>
      <c r="C476" s="119">
        <f>SUM(C468:C475)</f>
        <v>17512151.488518748</v>
      </c>
      <c r="D476" s="119">
        <f t="shared" ref="D476:AP476" si="198">SUM(D468:D475)</f>
        <v>28116454.960168749</v>
      </c>
      <c r="E476" s="119">
        <f t="shared" si="198"/>
        <v>17060910.529075</v>
      </c>
      <c r="F476" s="119">
        <f t="shared" si="198"/>
        <v>10422848.79976375</v>
      </c>
      <c r="G476" s="119">
        <f t="shared" si="198"/>
        <v>10409827.355462501</v>
      </c>
      <c r="H476" s="119">
        <f t="shared" si="198"/>
        <v>5430224.1230649995</v>
      </c>
      <c r="I476" s="119">
        <f t="shared" si="198"/>
        <v>456877.94831875002</v>
      </c>
      <c r="J476" s="119">
        <f t="shared" si="198"/>
        <v>456877.94831875002</v>
      </c>
      <c r="K476" s="119">
        <f t="shared" si="198"/>
        <v>457047.05798500002</v>
      </c>
      <c r="L476" s="119">
        <f t="shared" si="198"/>
        <v>456877.94831875002</v>
      </c>
      <c r="M476" s="119">
        <f t="shared" si="198"/>
        <v>457047.05798500002</v>
      </c>
      <c r="N476" s="119">
        <f t="shared" si="198"/>
        <v>456596.09887500003</v>
      </c>
      <c r="O476" s="119">
        <f t="shared" si="198"/>
        <v>457047.05798500002</v>
      </c>
      <c r="P476" s="119">
        <f t="shared" si="198"/>
        <v>456596.09887500003</v>
      </c>
      <c r="Q476" s="119">
        <f t="shared" si="198"/>
        <v>456877.94831875002</v>
      </c>
      <c r="R476" s="119">
        <f t="shared" si="198"/>
        <v>312852.88256250002</v>
      </c>
      <c r="S476" s="119">
        <f t="shared" si="198"/>
        <v>169109.66625000001</v>
      </c>
      <c r="T476" s="119">
        <f t="shared" si="198"/>
        <v>169109.66625000001</v>
      </c>
      <c r="U476" s="119">
        <f t="shared" si="198"/>
        <v>169109.66625000001</v>
      </c>
      <c r="V476" s="119">
        <f t="shared" si="198"/>
        <v>169109.66625000001</v>
      </c>
      <c r="W476" s="119">
        <f t="shared" si="198"/>
        <v>84554.833125000005</v>
      </c>
      <c r="X476" s="119">
        <f t="shared" si="198"/>
        <v>0</v>
      </c>
      <c r="Y476" s="119">
        <f t="shared" si="198"/>
        <v>0</v>
      </c>
      <c r="Z476" s="119">
        <f t="shared" si="198"/>
        <v>0</v>
      </c>
      <c r="AA476" s="119">
        <f t="shared" si="198"/>
        <v>0</v>
      </c>
      <c r="AB476" s="119" t="e">
        <f t="shared" si="198"/>
        <v>#N/A</v>
      </c>
      <c r="AC476" s="119" t="e">
        <f t="shared" si="198"/>
        <v>#N/A</v>
      </c>
      <c r="AD476" s="119" t="e">
        <f t="shared" si="198"/>
        <v>#N/A</v>
      </c>
      <c r="AE476" s="119" t="e">
        <f t="shared" si="198"/>
        <v>#N/A</v>
      </c>
      <c r="AF476" s="119" t="e">
        <f t="shared" si="198"/>
        <v>#N/A</v>
      </c>
      <c r="AG476" s="119" t="e">
        <f t="shared" si="198"/>
        <v>#N/A</v>
      </c>
      <c r="AH476" s="119" t="e">
        <f t="shared" si="198"/>
        <v>#N/A</v>
      </c>
      <c r="AI476" s="119" t="e">
        <f t="shared" si="198"/>
        <v>#N/A</v>
      </c>
      <c r="AJ476" s="119" t="e">
        <f t="shared" si="198"/>
        <v>#N/A</v>
      </c>
      <c r="AK476" s="119" t="e">
        <f t="shared" si="198"/>
        <v>#N/A</v>
      </c>
      <c r="AL476" s="119" t="e">
        <f t="shared" si="198"/>
        <v>#N/A</v>
      </c>
      <c r="AM476" s="119" t="e">
        <f t="shared" si="198"/>
        <v>#N/A</v>
      </c>
      <c r="AN476" s="119" t="e">
        <f t="shared" si="198"/>
        <v>#N/A</v>
      </c>
      <c r="AO476" s="119" t="e">
        <f t="shared" si="198"/>
        <v>#N/A</v>
      </c>
      <c r="AP476" s="119" t="e">
        <f t="shared" si="198"/>
        <v>#N/A</v>
      </c>
    </row>
    <row r="477" spans="1:42" x14ac:dyDescent="0.2">
      <c r="A477" s="22"/>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row>
    <row r="478" spans="1:42" x14ac:dyDescent="0.2">
      <c r="A478" s="18" t="s">
        <v>76</v>
      </c>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row>
    <row r="479" spans="1:42" x14ac:dyDescent="0.2">
      <c r="A479" s="22" t="s">
        <v>78</v>
      </c>
      <c r="B479" s="27" t="str">
        <f>equip_reserve_depr_fed</f>
        <v>5-yr MACRS</v>
      </c>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row>
    <row r="480" spans="1:42" x14ac:dyDescent="0.2">
      <c r="A480" s="22" t="s">
        <v>79</v>
      </c>
      <c r="B480" s="175">
        <f t="shared" ref="B480:AP480" si="199">B2</f>
        <v>0</v>
      </c>
      <c r="C480" s="175">
        <f t="shared" si="199"/>
        <v>1</v>
      </c>
      <c r="D480" s="175">
        <f t="shared" si="199"/>
        <v>2</v>
      </c>
      <c r="E480" s="175">
        <f t="shared" si="199"/>
        <v>3</v>
      </c>
      <c r="F480" s="175">
        <f t="shared" si="199"/>
        <v>4</v>
      </c>
      <c r="G480" s="175">
        <f t="shared" si="199"/>
        <v>5</v>
      </c>
      <c r="H480" s="175">
        <f t="shared" si="199"/>
        <v>6</v>
      </c>
      <c r="I480" s="175">
        <f t="shared" si="199"/>
        <v>7</v>
      </c>
      <c r="J480" s="175">
        <f t="shared" si="199"/>
        <v>8</v>
      </c>
      <c r="K480" s="175">
        <f t="shared" si="199"/>
        <v>9</v>
      </c>
      <c r="L480" s="175">
        <f t="shared" si="199"/>
        <v>10</v>
      </c>
      <c r="M480" s="175">
        <f t="shared" si="199"/>
        <v>11</v>
      </c>
      <c r="N480" s="175">
        <f t="shared" si="199"/>
        <v>12</v>
      </c>
      <c r="O480" s="175">
        <f t="shared" si="199"/>
        <v>13</v>
      </c>
      <c r="P480" s="175">
        <f t="shared" si="199"/>
        <v>14</v>
      </c>
      <c r="Q480" s="175">
        <f t="shared" si="199"/>
        <v>15</v>
      </c>
      <c r="R480" s="175">
        <f t="shared" si="199"/>
        <v>16</v>
      </c>
      <c r="S480" s="175">
        <f t="shared" si="199"/>
        <v>17</v>
      </c>
      <c r="T480" s="175">
        <f t="shared" si="199"/>
        <v>18</v>
      </c>
      <c r="U480" s="175">
        <f t="shared" si="199"/>
        <v>19</v>
      </c>
      <c r="V480" s="175">
        <f t="shared" si="199"/>
        <v>20</v>
      </c>
      <c r="W480" s="175">
        <f t="shared" si="199"/>
        <v>21</v>
      </c>
      <c r="X480" s="175">
        <f t="shared" si="199"/>
        <v>22</v>
      </c>
      <c r="Y480" s="175">
        <f t="shared" si="199"/>
        <v>23</v>
      </c>
      <c r="Z480" s="175">
        <f t="shared" si="199"/>
        <v>24</v>
      </c>
      <c r="AA480" s="175">
        <f t="shared" si="199"/>
        <v>25</v>
      </c>
      <c r="AB480" s="175" t="str">
        <f t="shared" si="199"/>
        <v/>
      </c>
      <c r="AC480" s="175" t="str">
        <f t="shared" si="199"/>
        <v/>
      </c>
      <c r="AD480" s="175" t="str">
        <f t="shared" si="199"/>
        <v/>
      </c>
      <c r="AE480" s="175" t="str">
        <f t="shared" si="199"/>
        <v/>
      </c>
      <c r="AF480" s="175" t="str">
        <f t="shared" si="199"/>
        <v/>
      </c>
      <c r="AG480" s="175" t="str">
        <f t="shared" si="199"/>
        <v/>
      </c>
      <c r="AH480" s="175" t="str">
        <f t="shared" si="199"/>
        <v/>
      </c>
      <c r="AI480" s="175" t="str">
        <f t="shared" si="199"/>
        <v/>
      </c>
      <c r="AJ480" s="175" t="str">
        <f t="shared" si="199"/>
        <v/>
      </c>
      <c r="AK480" s="175" t="str">
        <f t="shared" si="199"/>
        <v/>
      </c>
      <c r="AL480" s="175" t="str">
        <f t="shared" si="199"/>
        <v/>
      </c>
      <c r="AM480" s="175" t="str">
        <f t="shared" si="199"/>
        <v/>
      </c>
      <c r="AN480" s="175" t="str">
        <f t="shared" si="199"/>
        <v/>
      </c>
      <c r="AO480" s="175" t="str">
        <f t="shared" si="199"/>
        <v/>
      </c>
      <c r="AP480" s="175" t="str">
        <f t="shared" si="199"/>
        <v/>
      </c>
    </row>
    <row r="481" spans="1:42" x14ac:dyDescent="0.2">
      <c r="A481" s="22" t="s">
        <v>80</v>
      </c>
      <c r="B481" s="174">
        <v>0</v>
      </c>
      <c r="C481" s="167">
        <f t="shared" ref="C481:AP481" si="200">IF($B$479=$A460,C460,0)+IF($B$479=$A461,C461,0)+IF($B$479=$A462,C462,0)+IF($B$479=$A463,C463,0)+IF($B$479=$A464,C464,0)+IF($B$479=$A465,C465,0)</f>
        <v>20</v>
      </c>
      <c r="D481" s="167">
        <f t="shared" si="200"/>
        <v>32</v>
      </c>
      <c r="E481" s="167">
        <f t="shared" si="200"/>
        <v>19.2</v>
      </c>
      <c r="F481" s="167">
        <f t="shared" si="200"/>
        <v>11.52</v>
      </c>
      <c r="G481" s="167">
        <f t="shared" si="200"/>
        <v>11.52</v>
      </c>
      <c r="H481" s="167">
        <f t="shared" si="200"/>
        <v>5.76</v>
      </c>
      <c r="I481" s="167">
        <f t="shared" si="200"/>
        <v>0</v>
      </c>
      <c r="J481" s="167">
        <f t="shared" si="200"/>
        <v>0</v>
      </c>
      <c r="K481" s="167">
        <f t="shared" si="200"/>
        <v>0</v>
      </c>
      <c r="L481" s="167">
        <f t="shared" si="200"/>
        <v>0</v>
      </c>
      <c r="M481" s="167">
        <f t="shared" si="200"/>
        <v>0</v>
      </c>
      <c r="N481" s="167">
        <f t="shared" si="200"/>
        <v>0</v>
      </c>
      <c r="O481" s="167">
        <f t="shared" si="200"/>
        <v>0</v>
      </c>
      <c r="P481" s="167">
        <f t="shared" si="200"/>
        <v>0</v>
      </c>
      <c r="Q481" s="167">
        <f t="shared" si="200"/>
        <v>0</v>
      </c>
      <c r="R481" s="167">
        <f t="shared" si="200"/>
        <v>0</v>
      </c>
      <c r="S481" s="167">
        <f t="shared" si="200"/>
        <v>0</v>
      </c>
      <c r="T481" s="167">
        <f t="shared" si="200"/>
        <v>0</v>
      </c>
      <c r="U481" s="167">
        <f t="shared" si="200"/>
        <v>0</v>
      </c>
      <c r="V481" s="167">
        <f t="shared" si="200"/>
        <v>0</v>
      </c>
      <c r="W481" s="167">
        <f t="shared" si="200"/>
        <v>0</v>
      </c>
      <c r="X481" s="167">
        <f t="shared" si="200"/>
        <v>0</v>
      </c>
      <c r="Y481" s="167">
        <f t="shared" si="200"/>
        <v>0</v>
      </c>
      <c r="Z481" s="167">
        <f t="shared" si="200"/>
        <v>0</v>
      </c>
      <c r="AA481" s="167">
        <f t="shared" si="200"/>
        <v>0</v>
      </c>
      <c r="AB481" s="167" t="e">
        <f t="shared" si="200"/>
        <v>#N/A</v>
      </c>
      <c r="AC481" s="167" t="e">
        <f t="shared" si="200"/>
        <v>#N/A</v>
      </c>
      <c r="AD481" s="167" t="e">
        <f t="shared" si="200"/>
        <v>#N/A</v>
      </c>
      <c r="AE481" s="167" t="e">
        <f t="shared" si="200"/>
        <v>#N/A</v>
      </c>
      <c r="AF481" s="167" t="e">
        <f t="shared" si="200"/>
        <v>#N/A</v>
      </c>
      <c r="AG481" s="167" t="e">
        <f t="shared" si="200"/>
        <v>#N/A</v>
      </c>
      <c r="AH481" s="167" t="e">
        <f t="shared" si="200"/>
        <v>#N/A</v>
      </c>
      <c r="AI481" s="167" t="e">
        <f t="shared" si="200"/>
        <v>#N/A</v>
      </c>
      <c r="AJ481" s="167" t="e">
        <f t="shared" si="200"/>
        <v>#N/A</v>
      </c>
      <c r="AK481" s="167" t="e">
        <f t="shared" si="200"/>
        <v>#N/A</v>
      </c>
      <c r="AL481" s="167" t="e">
        <f t="shared" si="200"/>
        <v>#N/A</v>
      </c>
      <c r="AM481" s="167" t="e">
        <f t="shared" si="200"/>
        <v>#N/A</v>
      </c>
      <c r="AN481" s="167" t="e">
        <f t="shared" si="200"/>
        <v>#N/A</v>
      </c>
      <c r="AO481" s="167" t="e">
        <f t="shared" si="200"/>
        <v>#N/A</v>
      </c>
      <c r="AP481" s="167" t="e">
        <f t="shared" si="200"/>
        <v>#N/A</v>
      </c>
    </row>
    <row r="482" spans="1:42" x14ac:dyDescent="0.2">
      <c r="A482" s="18"/>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5"/>
    </row>
    <row r="483" spans="1:42" x14ac:dyDescent="0.2">
      <c r="A483" s="18" t="s">
        <v>92</v>
      </c>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5"/>
    </row>
    <row r="484" spans="1:42" x14ac:dyDescent="0.2">
      <c r="A484" s="22" t="s">
        <v>77</v>
      </c>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5"/>
    </row>
    <row r="485" spans="1:42" x14ac:dyDescent="0.2">
      <c r="A485" s="4">
        <v>1</v>
      </c>
      <c r="C485" s="158">
        <f t="shared" ref="C485:AP485" si="201">C349</f>
        <v>0</v>
      </c>
      <c r="D485" s="158">
        <f t="shared" si="201"/>
        <v>0</v>
      </c>
      <c r="E485" s="158">
        <f t="shared" si="201"/>
        <v>0</v>
      </c>
      <c r="F485" s="158">
        <f t="shared" si="201"/>
        <v>0</v>
      </c>
      <c r="G485" s="158">
        <f t="shared" si="201"/>
        <v>0</v>
      </c>
      <c r="H485" s="158">
        <f t="shared" si="201"/>
        <v>0</v>
      </c>
      <c r="I485" s="158">
        <f t="shared" si="201"/>
        <v>0</v>
      </c>
      <c r="J485" s="158">
        <f t="shared" si="201"/>
        <v>0</v>
      </c>
      <c r="K485" s="158">
        <f t="shared" si="201"/>
        <v>0</v>
      </c>
      <c r="L485" s="158">
        <f t="shared" si="201"/>
        <v>0</v>
      </c>
      <c r="M485" s="158">
        <f t="shared" si="201"/>
        <v>0</v>
      </c>
      <c r="N485" s="158">
        <f t="shared" si="201"/>
        <v>0</v>
      </c>
      <c r="O485" s="158">
        <f t="shared" si="201"/>
        <v>0</v>
      </c>
      <c r="P485" s="158">
        <f t="shared" si="201"/>
        <v>0</v>
      </c>
      <c r="Q485" s="158">
        <f t="shared" si="201"/>
        <v>1</v>
      </c>
      <c r="R485" s="158">
        <f t="shared" si="201"/>
        <v>2</v>
      </c>
      <c r="S485" s="158">
        <f t="shared" si="201"/>
        <v>3</v>
      </c>
      <c r="T485" s="158">
        <f t="shared" si="201"/>
        <v>4</v>
      </c>
      <c r="U485" s="158">
        <f t="shared" si="201"/>
        <v>5</v>
      </c>
      <c r="V485" s="158">
        <f t="shared" si="201"/>
        <v>6</v>
      </c>
      <c r="W485" s="158">
        <f t="shared" si="201"/>
        <v>7</v>
      </c>
      <c r="X485" s="158">
        <f t="shared" si="201"/>
        <v>8</v>
      </c>
      <c r="Y485" s="158">
        <f t="shared" si="201"/>
        <v>9</v>
      </c>
      <c r="Z485" s="158">
        <f t="shared" si="201"/>
        <v>10</v>
      </c>
      <c r="AA485" s="158">
        <f t="shared" si="201"/>
        <v>11</v>
      </c>
      <c r="AB485" s="158">
        <f t="shared" si="201"/>
        <v>0</v>
      </c>
      <c r="AC485" s="158">
        <f t="shared" si="201"/>
        <v>0</v>
      </c>
      <c r="AD485" s="158">
        <f t="shared" si="201"/>
        <v>0</v>
      </c>
      <c r="AE485" s="158">
        <f t="shared" si="201"/>
        <v>0</v>
      </c>
      <c r="AF485" s="158">
        <f t="shared" si="201"/>
        <v>0</v>
      </c>
      <c r="AG485" s="158">
        <f t="shared" si="201"/>
        <v>0</v>
      </c>
      <c r="AH485" s="158">
        <f t="shared" si="201"/>
        <v>0</v>
      </c>
      <c r="AI485" s="158">
        <f t="shared" si="201"/>
        <v>0</v>
      </c>
      <c r="AJ485" s="158">
        <f t="shared" si="201"/>
        <v>0</v>
      </c>
      <c r="AK485" s="158">
        <f t="shared" si="201"/>
        <v>0</v>
      </c>
      <c r="AL485" s="158">
        <f t="shared" si="201"/>
        <v>0</v>
      </c>
      <c r="AM485" s="158">
        <f t="shared" si="201"/>
        <v>0</v>
      </c>
      <c r="AN485" s="158">
        <f t="shared" si="201"/>
        <v>0</v>
      </c>
      <c r="AO485" s="158">
        <f t="shared" si="201"/>
        <v>0</v>
      </c>
      <c r="AP485" s="158">
        <f t="shared" si="201"/>
        <v>0</v>
      </c>
    </row>
    <row r="486" spans="1:42" x14ac:dyDescent="0.2">
      <c r="A486" s="4">
        <f>A485+1</f>
        <v>2</v>
      </c>
      <c r="C486" s="158">
        <f t="shared" ref="C486:AP486" si="202">C350</f>
        <v>0</v>
      </c>
      <c r="D486" s="158">
        <f t="shared" si="202"/>
        <v>0</v>
      </c>
      <c r="E486" s="158">
        <f t="shared" si="202"/>
        <v>0</v>
      </c>
      <c r="F486" s="158">
        <f t="shared" si="202"/>
        <v>0</v>
      </c>
      <c r="G486" s="158">
        <f t="shared" si="202"/>
        <v>0</v>
      </c>
      <c r="H486" s="158">
        <f t="shared" si="202"/>
        <v>0</v>
      </c>
      <c r="I486" s="158">
        <f t="shared" si="202"/>
        <v>0</v>
      </c>
      <c r="J486" s="158">
        <f t="shared" si="202"/>
        <v>0</v>
      </c>
      <c r="K486" s="158">
        <f t="shared" si="202"/>
        <v>0</v>
      </c>
      <c r="L486" s="158">
        <f t="shared" si="202"/>
        <v>0</v>
      </c>
      <c r="M486" s="158">
        <f t="shared" si="202"/>
        <v>0</v>
      </c>
      <c r="N486" s="158">
        <f t="shared" si="202"/>
        <v>0</v>
      </c>
      <c r="O486" s="158">
        <f t="shared" si="202"/>
        <v>0</v>
      </c>
      <c r="P486" s="158">
        <f t="shared" si="202"/>
        <v>0</v>
      </c>
      <c r="Q486" s="158">
        <f t="shared" si="202"/>
        <v>0</v>
      </c>
      <c r="R486" s="158">
        <f t="shared" si="202"/>
        <v>0</v>
      </c>
      <c r="S486" s="158">
        <f t="shared" si="202"/>
        <v>0</v>
      </c>
      <c r="T486" s="158">
        <f t="shared" si="202"/>
        <v>0</v>
      </c>
      <c r="U486" s="158">
        <f t="shared" si="202"/>
        <v>0</v>
      </c>
      <c r="V486" s="158">
        <f t="shared" si="202"/>
        <v>0</v>
      </c>
      <c r="W486" s="158">
        <f t="shared" si="202"/>
        <v>0</v>
      </c>
      <c r="X486" s="158">
        <f t="shared" si="202"/>
        <v>0</v>
      </c>
      <c r="Y486" s="158">
        <f t="shared" si="202"/>
        <v>0</v>
      </c>
      <c r="Z486" s="158">
        <f t="shared" si="202"/>
        <v>0</v>
      </c>
      <c r="AA486" s="158">
        <f t="shared" si="202"/>
        <v>0</v>
      </c>
      <c r="AB486" s="158">
        <f t="shared" si="202"/>
        <v>0</v>
      </c>
      <c r="AC486" s="158">
        <f t="shared" si="202"/>
        <v>0</v>
      </c>
      <c r="AD486" s="158">
        <f t="shared" si="202"/>
        <v>0</v>
      </c>
      <c r="AE486" s="158">
        <f t="shared" si="202"/>
        <v>0</v>
      </c>
      <c r="AF486" s="158">
        <f t="shared" si="202"/>
        <v>0</v>
      </c>
      <c r="AG486" s="158">
        <f t="shared" si="202"/>
        <v>0</v>
      </c>
      <c r="AH486" s="158">
        <f t="shared" si="202"/>
        <v>0</v>
      </c>
      <c r="AI486" s="158">
        <f t="shared" si="202"/>
        <v>0</v>
      </c>
      <c r="AJ486" s="158">
        <f t="shared" si="202"/>
        <v>0</v>
      </c>
      <c r="AK486" s="158">
        <f t="shared" si="202"/>
        <v>0</v>
      </c>
      <c r="AL486" s="158">
        <f t="shared" si="202"/>
        <v>0</v>
      </c>
      <c r="AM486" s="158">
        <f t="shared" si="202"/>
        <v>0</v>
      </c>
      <c r="AN486" s="158">
        <f t="shared" si="202"/>
        <v>0</v>
      </c>
      <c r="AO486" s="158">
        <f t="shared" si="202"/>
        <v>0</v>
      </c>
      <c r="AP486" s="158">
        <f t="shared" si="202"/>
        <v>0</v>
      </c>
    </row>
    <row r="487" spans="1:42" x14ac:dyDescent="0.2">
      <c r="A487" s="4">
        <f t="shared" ref="A487:A492" si="203">A486+1</f>
        <v>3</v>
      </c>
      <c r="C487" s="158">
        <f t="shared" ref="C487:AP487" si="204">C351</f>
        <v>0</v>
      </c>
      <c r="D487" s="158">
        <f t="shared" si="204"/>
        <v>0</v>
      </c>
      <c r="E487" s="158">
        <f t="shared" si="204"/>
        <v>0</v>
      </c>
      <c r="F487" s="158">
        <f t="shared" si="204"/>
        <v>0</v>
      </c>
      <c r="G487" s="158">
        <f t="shared" si="204"/>
        <v>0</v>
      </c>
      <c r="H487" s="158">
        <f t="shared" si="204"/>
        <v>0</v>
      </c>
      <c r="I487" s="158">
        <f t="shared" si="204"/>
        <v>0</v>
      </c>
      <c r="J487" s="158">
        <f t="shared" si="204"/>
        <v>0</v>
      </c>
      <c r="K487" s="158">
        <f t="shared" si="204"/>
        <v>0</v>
      </c>
      <c r="L487" s="158">
        <f t="shared" si="204"/>
        <v>0</v>
      </c>
      <c r="M487" s="158">
        <f t="shared" si="204"/>
        <v>0</v>
      </c>
      <c r="N487" s="158">
        <f t="shared" si="204"/>
        <v>0</v>
      </c>
      <c r="O487" s="158">
        <f t="shared" si="204"/>
        <v>0</v>
      </c>
      <c r="P487" s="158">
        <f t="shared" si="204"/>
        <v>0</v>
      </c>
      <c r="Q487" s="158">
        <f t="shared" si="204"/>
        <v>0</v>
      </c>
      <c r="R487" s="158">
        <f t="shared" si="204"/>
        <v>0</v>
      </c>
      <c r="S487" s="158">
        <f t="shared" si="204"/>
        <v>0</v>
      </c>
      <c r="T487" s="158">
        <f t="shared" si="204"/>
        <v>0</v>
      </c>
      <c r="U487" s="158">
        <f t="shared" si="204"/>
        <v>0</v>
      </c>
      <c r="V487" s="158">
        <f t="shared" si="204"/>
        <v>0</v>
      </c>
      <c r="W487" s="158">
        <f t="shared" si="204"/>
        <v>0</v>
      </c>
      <c r="X487" s="158">
        <f t="shared" si="204"/>
        <v>0</v>
      </c>
      <c r="Y487" s="158">
        <f t="shared" si="204"/>
        <v>0</v>
      </c>
      <c r="Z487" s="158">
        <f t="shared" si="204"/>
        <v>0</v>
      </c>
      <c r="AA487" s="158">
        <f t="shared" si="204"/>
        <v>0</v>
      </c>
      <c r="AB487" s="158">
        <f t="shared" si="204"/>
        <v>0</v>
      </c>
      <c r="AC487" s="158">
        <f t="shared" si="204"/>
        <v>0</v>
      </c>
      <c r="AD487" s="158">
        <f t="shared" si="204"/>
        <v>0</v>
      </c>
      <c r="AE487" s="158">
        <f t="shared" si="204"/>
        <v>0</v>
      </c>
      <c r="AF487" s="158">
        <f t="shared" si="204"/>
        <v>0</v>
      </c>
      <c r="AG487" s="158">
        <f t="shared" si="204"/>
        <v>0</v>
      </c>
      <c r="AH487" s="158">
        <f t="shared" si="204"/>
        <v>0</v>
      </c>
      <c r="AI487" s="158">
        <f t="shared" si="204"/>
        <v>0</v>
      </c>
      <c r="AJ487" s="158">
        <f t="shared" si="204"/>
        <v>0</v>
      </c>
      <c r="AK487" s="158">
        <f t="shared" si="204"/>
        <v>0</v>
      </c>
      <c r="AL487" s="158">
        <f t="shared" si="204"/>
        <v>0</v>
      </c>
      <c r="AM487" s="158">
        <f t="shared" si="204"/>
        <v>0</v>
      </c>
      <c r="AN487" s="158">
        <f t="shared" si="204"/>
        <v>0</v>
      </c>
      <c r="AO487" s="158">
        <f t="shared" si="204"/>
        <v>0</v>
      </c>
      <c r="AP487" s="158">
        <f t="shared" si="204"/>
        <v>0</v>
      </c>
    </row>
    <row r="488" spans="1:42" x14ac:dyDescent="0.2">
      <c r="A488" s="4">
        <f t="shared" si="203"/>
        <v>4</v>
      </c>
      <c r="C488" s="158">
        <f t="shared" ref="C488:AP488" si="205">C352</f>
        <v>0</v>
      </c>
      <c r="D488" s="158">
        <f t="shared" si="205"/>
        <v>0</v>
      </c>
      <c r="E488" s="158">
        <f t="shared" si="205"/>
        <v>0</v>
      </c>
      <c r="F488" s="158">
        <f t="shared" si="205"/>
        <v>0</v>
      </c>
      <c r="G488" s="158">
        <f t="shared" si="205"/>
        <v>0</v>
      </c>
      <c r="H488" s="158">
        <f t="shared" si="205"/>
        <v>0</v>
      </c>
      <c r="I488" s="158">
        <f t="shared" si="205"/>
        <v>0</v>
      </c>
      <c r="J488" s="158">
        <f t="shared" si="205"/>
        <v>0</v>
      </c>
      <c r="K488" s="158">
        <f t="shared" si="205"/>
        <v>0</v>
      </c>
      <c r="L488" s="158">
        <f t="shared" si="205"/>
        <v>0</v>
      </c>
      <c r="M488" s="158">
        <f t="shared" si="205"/>
        <v>0</v>
      </c>
      <c r="N488" s="158">
        <f t="shared" si="205"/>
        <v>0</v>
      </c>
      <c r="O488" s="158">
        <f t="shared" si="205"/>
        <v>0</v>
      </c>
      <c r="P488" s="158">
        <f t="shared" si="205"/>
        <v>0</v>
      </c>
      <c r="Q488" s="158">
        <f t="shared" si="205"/>
        <v>0</v>
      </c>
      <c r="R488" s="158">
        <f t="shared" si="205"/>
        <v>0</v>
      </c>
      <c r="S488" s="158">
        <f t="shared" si="205"/>
        <v>0</v>
      </c>
      <c r="T488" s="158">
        <f t="shared" si="205"/>
        <v>0</v>
      </c>
      <c r="U488" s="158">
        <f t="shared" si="205"/>
        <v>0</v>
      </c>
      <c r="V488" s="158">
        <f t="shared" si="205"/>
        <v>0</v>
      </c>
      <c r="W488" s="158">
        <f t="shared" si="205"/>
        <v>0</v>
      </c>
      <c r="X488" s="158">
        <f t="shared" si="205"/>
        <v>0</v>
      </c>
      <c r="Y488" s="158">
        <f t="shared" si="205"/>
        <v>0</v>
      </c>
      <c r="Z488" s="158">
        <f t="shared" si="205"/>
        <v>0</v>
      </c>
      <c r="AA488" s="158">
        <f t="shared" si="205"/>
        <v>0</v>
      </c>
      <c r="AB488" s="158">
        <f t="shared" si="205"/>
        <v>0</v>
      </c>
      <c r="AC488" s="158">
        <f t="shared" si="205"/>
        <v>0</v>
      </c>
      <c r="AD488" s="158">
        <f t="shared" si="205"/>
        <v>0</v>
      </c>
      <c r="AE488" s="158">
        <f t="shared" si="205"/>
        <v>0</v>
      </c>
      <c r="AF488" s="158">
        <f t="shared" si="205"/>
        <v>0</v>
      </c>
      <c r="AG488" s="158">
        <f t="shared" si="205"/>
        <v>0</v>
      </c>
      <c r="AH488" s="158">
        <f t="shared" si="205"/>
        <v>0</v>
      </c>
      <c r="AI488" s="158">
        <f t="shared" si="205"/>
        <v>0</v>
      </c>
      <c r="AJ488" s="158">
        <f t="shared" si="205"/>
        <v>0</v>
      </c>
      <c r="AK488" s="158">
        <f t="shared" si="205"/>
        <v>0</v>
      </c>
      <c r="AL488" s="158">
        <f t="shared" si="205"/>
        <v>0</v>
      </c>
      <c r="AM488" s="158">
        <f t="shared" si="205"/>
        <v>0</v>
      </c>
      <c r="AN488" s="158">
        <f t="shared" si="205"/>
        <v>0</v>
      </c>
      <c r="AO488" s="158">
        <f t="shared" si="205"/>
        <v>0</v>
      </c>
      <c r="AP488" s="158">
        <f t="shared" si="205"/>
        <v>0</v>
      </c>
    </row>
    <row r="489" spans="1:42" x14ac:dyDescent="0.2">
      <c r="A489" s="4">
        <f t="shared" si="203"/>
        <v>5</v>
      </c>
      <c r="C489" s="158">
        <f t="shared" ref="C489:AP489" si="206">C353</f>
        <v>0</v>
      </c>
      <c r="D489" s="158">
        <f t="shared" si="206"/>
        <v>0</v>
      </c>
      <c r="E489" s="158">
        <f t="shared" si="206"/>
        <v>0</v>
      </c>
      <c r="F489" s="158">
        <f t="shared" si="206"/>
        <v>0</v>
      </c>
      <c r="G489" s="158">
        <f t="shared" si="206"/>
        <v>0</v>
      </c>
      <c r="H489" s="158">
        <f t="shared" si="206"/>
        <v>0</v>
      </c>
      <c r="I489" s="158">
        <f t="shared" si="206"/>
        <v>0</v>
      </c>
      <c r="J489" s="158">
        <f t="shared" si="206"/>
        <v>0</v>
      </c>
      <c r="K489" s="158">
        <f t="shared" si="206"/>
        <v>0</v>
      </c>
      <c r="L489" s="158">
        <f t="shared" si="206"/>
        <v>0</v>
      </c>
      <c r="M489" s="158">
        <f t="shared" si="206"/>
        <v>0</v>
      </c>
      <c r="N489" s="158">
        <f t="shared" si="206"/>
        <v>0</v>
      </c>
      <c r="O489" s="158">
        <f t="shared" si="206"/>
        <v>0</v>
      </c>
      <c r="P489" s="158">
        <f t="shared" si="206"/>
        <v>0</v>
      </c>
      <c r="Q489" s="158">
        <f t="shared" si="206"/>
        <v>0</v>
      </c>
      <c r="R489" s="158">
        <f t="shared" si="206"/>
        <v>0</v>
      </c>
      <c r="S489" s="158">
        <f t="shared" si="206"/>
        <v>0</v>
      </c>
      <c r="T489" s="158">
        <f t="shared" si="206"/>
        <v>0</v>
      </c>
      <c r="U489" s="158">
        <f t="shared" si="206"/>
        <v>0</v>
      </c>
      <c r="V489" s="158">
        <f t="shared" si="206"/>
        <v>0</v>
      </c>
      <c r="W489" s="158">
        <f t="shared" si="206"/>
        <v>0</v>
      </c>
      <c r="X489" s="158">
        <f t="shared" si="206"/>
        <v>0</v>
      </c>
      <c r="Y489" s="158">
        <f t="shared" si="206"/>
        <v>0</v>
      </c>
      <c r="Z489" s="158">
        <f t="shared" si="206"/>
        <v>0</v>
      </c>
      <c r="AA489" s="158">
        <f t="shared" si="206"/>
        <v>0</v>
      </c>
      <c r="AB489" s="158">
        <f t="shared" si="206"/>
        <v>0</v>
      </c>
      <c r="AC489" s="158">
        <f t="shared" si="206"/>
        <v>0</v>
      </c>
      <c r="AD489" s="158">
        <f t="shared" si="206"/>
        <v>0</v>
      </c>
      <c r="AE489" s="158">
        <f t="shared" si="206"/>
        <v>0</v>
      </c>
      <c r="AF489" s="158">
        <f t="shared" si="206"/>
        <v>0</v>
      </c>
      <c r="AG489" s="158">
        <f t="shared" si="206"/>
        <v>0</v>
      </c>
      <c r="AH489" s="158">
        <f t="shared" si="206"/>
        <v>0</v>
      </c>
      <c r="AI489" s="158">
        <f t="shared" si="206"/>
        <v>0</v>
      </c>
      <c r="AJ489" s="158">
        <f t="shared" si="206"/>
        <v>0</v>
      </c>
      <c r="AK489" s="158">
        <f t="shared" si="206"/>
        <v>0</v>
      </c>
      <c r="AL489" s="158">
        <f t="shared" si="206"/>
        <v>0</v>
      </c>
      <c r="AM489" s="158">
        <f t="shared" si="206"/>
        <v>0</v>
      </c>
      <c r="AN489" s="158">
        <f t="shared" si="206"/>
        <v>0</v>
      </c>
      <c r="AO489" s="158">
        <f t="shared" si="206"/>
        <v>0</v>
      </c>
      <c r="AP489" s="158">
        <f t="shared" si="206"/>
        <v>0</v>
      </c>
    </row>
    <row r="490" spans="1:42" x14ac:dyDescent="0.2">
      <c r="A490" s="4">
        <f t="shared" si="203"/>
        <v>6</v>
      </c>
      <c r="C490" s="158">
        <f t="shared" ref="C490:AP490" si="207">C354</f>
        <v>0</v>
      </c>
      <c r="D490" s="158">
        <f t="shared" si="207"/>
        <v>0</v>
      </c>
      <c r="E490" s="158">
        <f t="shared" si="207"/>
        <v>0</v>
      </c>
      <c r="F490" s="158">
        <f t="shared" si="207"/>
        <v>0</v>
      </c>
      <c r="G490" s="158">
        <f t="shared" si="207"/>
        <v>0</v>
      </c>
      <c r="H490" s="158">
        <f t="shared" si="207"/>
        <v>0</v>
      </c>
      <c r="I490" s="158">
        <f t="shared" si="207"/>
        <v>0</v>
      </c>
      <c r="J490" s="158">
        <f t="shared" si="207"/>
        <v>0</v>
      </c>
      <c r="K490" s="158">
        <f t="shared" si="207"/>
        <v>0</v>
      </c>
      <c r="L490" s="158">
        <f t="shared" si="207"/>
        <v>0</v>
      </c>
      <c r="M490" s="158">
        <f t="shared" si="207"/>
        <v>0</v>
      </c>
      <c r="N490" s="158">
        <f t="shared" si="207"/>
        <v>0</v>
      </c>
      <c r="O490" s="158">
        <f t="shared" si="207"/>
        <v>0</v>
      </c>
      <c r="P490" s="158">
        <f t="shared" si="207"/>
        <v>0</v>
      </c>
      <c r="Q490" s="158">
        <f t="shared" si="207"/>
        <v>0</v>
      </c>
      <c r="R490" s="158">
        <f t="shared" si="207"/>
        <v>0</v>
      </c>
      <c r="S490" s="158">
        <f t="shared" si="207"/>
        <v>0</v>
      </c>
      <c r="T490" s="158">
        <f t="shared" si="207"/>
        <v>0</v>
      </c>
      <c r="U490" s="158">
        <f t="shared" si="207"/>
        <v>0</v>
      </c>
      <c r="V490" s="158">
        <f t="shared" si="207"/>
        <v>0</v>
      </c>
      <c r="W490" s="158">
        <f t="shared" si="207"/>
        <v>0</v>
      </c>
      <c r="X490" s="158">
        <f t="shared" si="207"/>
        <v>0</v>
      </c>
      <c r="Y490" s="158">
        <f t="shared" si="207"/>
        <v>0</v>
      </c>
      <c r="Z490" s="158">
        <f t="shared" si="207"/>
        <v>0</v>
      </c>
      <c r="AA490" s="158">
        <f t="shared" si="207"/>
        <v>0</v>
      </c>
      <c r="AB490" s="158">
        <f t="shared" si="207"/>
        <v>0</v>
      </c>
      <c r="AC490" s="158">
        <f t="shared" si="207"/>
        <v>0</v>
      </c>
      <c r="AD490" s="158">
        <f t="shared" si="207"/>
        <v>0</v>
      </c>
      <c r="AE490" s="158">
        <f t="shared" si="207"/>
        <v>0</v>
      </c>
      <c r="AF490" s="158">
        <f t="shared" si="207"/>
        <v>0</v>
      </c>
      <c r="AG490" s="158">
        <f t="shared" si="207"/>
        <v>0</v>
      </c>
      <c r="AH490" s="158">
        <f t="shared" si="207"/>
        <v>0</v>
      </c>
      <c r="AI490" s="158">
        <f t="shared" si="207"/>
        <v>0</v>
      </c>
      <c r="AJ490" s="158">
        <f t="shared" si="207"/>
        <v>0</v>
      </c>
      <c r="AK490" s="158">
        <f t="shared" si="207"/>
        <v>0</v>
      </c>
      <c r="AL490" s="158">
        <f t="shared" si="207"/>
        <v>0</v>
      </c>
      <c r="AM490" s="158">
        <f t="shared" si="207"/>
        <v>0</v>
      </c>
      <c r="AN490" s="158">
        <f t="shared" si="207"/>
        <v>0</v>
      </c>
      <c r="AO490" s="158">
        <f t="shared" si="207"/>
        <v>0</v>
      </c>
      <c r="AP490" s="158">
        <f t="shared" si="207"/>
        <v>0</v>
      </c>
    </row>
    <row r="491" spans="1:42" x14ac:dyDescent="0.2">
      <c r="A491" s="4">
        <f t="shared" si="203"/>
        <v>7</v>
      </c>
      <c r="C491" s="158">
        <f t="shared" ref="C491:AP491" si="208">C355</f>
        <v>0</v>
      </c>
      <c r="D491" s="158">
        <f t="shared" si="208"/>
        <v>0</v>
      </c>
      <c r="E491" s="158">
        <f t="shared" si="208"/>
        <v>0</v>
      </c>
      <c r="F491" s="158">
        <f t="shared" si="208"/>
        <v>0</v>
      </c>
      <c r="G491" s="158">
        <f t="shared" si="208"/>
        <v>0</v>
      </c>
      <c r="H491" s="158">
        <f t="shared" si="208"/>
        <v>0</v>
      </c>
      <c r="I491" s="158">
        <f t="shared" si="208"/>
        <v>0</v>
      </c>
      <c r="J491" s="158">
        <f t="shared" si="208"/>
        <v>0</v>
      </c>
      <c r="K491" s="158">
        <f t="shared" si="208"/>
        <v>0</v>
      </c>
      <c r="L491" s="158">
        <f t="shared" si="208"/>
        <v>0</v>
      </c>
      <c r="M491" s="158">
        <f t="shared" si="208"/>
        <v>0</v>
      </c>
      <c r="N491" s="158">
        <f t="shared" si="208"/>
        <v>0</v>
      </c>
      <c r="O491" s="158">
        <f t="shared" si="208"/>
        <v>0</v>
      </c>
      <c r="P491" s="158">
        <f t="shared" si="208"/>
        <v>0</v>
      </c>
      <c r="Q491" s="158">
        <f t="shared" si="208"/>
        <v>0</v>
      </c>
      <c r="R491" s="158">
        <f t="shared" si="208"/>
        <v>0</v>
      </c>
      <c r="S491" s="158">
        <f t="shared" si="208"/>
        <v>0</v>
      </c>
      <c r="T491" s="158">
        <f t="shared" si="208"/>
        <v>0</v>
      </c>
      <c r="U491" s="158">
        <f t="shared" si="208"/>
        <v>0</v>
      </c>
      <c r="V491" s="158">
        <f t="shared" si="208"/>
        <v>0</v>
      </c>
      <c r="W491" s="158">
        <f t="shared" si="208"/>
        <v>0</v>
      </c>
      <c r="X491" s="158">
        <f t="shared" si="208"/>
        <v>0</v>
      </c>
      <c r="Y491" s="158">
        <f t="shared" si="208"/>
        <v>0</v>
      </c>
      <c r="Z491" s="158">
        <f t="shared" si="208"/>
        <v>0</v>
      </c>
      <c r="AA491" s="158">
        <f t="shared" si="208"/>
        <v>0</v>
      </c>
      <c r="AB491" s="158">
        <f t="shared" si="208"/>
        <v>0</v>
      </c>
      <c r="AC491" s="158">
        <f t="shared" si="208"/>
        <v>0</v>
      </c>
      <c r="AD491" s="158">
        <f t="shared" si="208"/>
        <v>0</v>
      </c>
      <c r="AE491" s="158">
        <f t="shared" si="208"/>
        <v>0</v>
      </c>
      <c r="AF491" s="158">
        <f t="shared" si="208"/>
        <v>0</v>
      </c>
      <c r="AG491" s="158">
        <f t="shared" si="208"/>
        <v>0</v>
      </c>
      <c r="AH491" s="158">
        <f t="shared" si="208"/>
        <v>0</v>
      </c>
      <c r="AI491" s="158">
        <f t="shared" si="208"/>
        <v>0</v>
      </c>
      <c r="AJ491" s="158">
        <f t="shared" si="208"/>
        <v>0</v>
      </c>
      <c r="AK491" s="158">
        <f t="shared" si="208"/>
        <v>0</v>
      </c>
      <c r="AL491" s="158">
        <f t="shared" si="208"/>
        <v>0</v>
      </c>
      <c r="AM491" s="158">
        <f t="shared" si="208"/>
        <v>0</v>
      </c>
      <c r="AN491" s="158">
        <f t="shared" si="208"/>
        <v>0</v>
      </c>
      <c r="AO491" s="158">
        <f t="shared" si="208"/>
        <v>0</v>
      </c>
      <c r="AP491" s="158">
        <f t="shared" si="208"/>
        <v>0</v>
      </c>
    </row>
    <row r="492" spans="1:42" x14ac:dyDescent="0.2">
      <c r="A492" s="4">
        <f t="shared" si="203"/>
        <v>8</v>
      </c>
      <c r="C492" s="158">
        <f t="shared" ref="C492:AP492" si="209">C356</f>
        <v>0</v>
      </c>
      <c r="D492" s="158">
        <f t="shared" si="209"/>
        <v>0</v>
      </c>
      <c r="E492" s="158">
        <f t="shared" si="209"/>
        <v>0</v>
      </c>
      <c r="F492" s="158">
        <f t="shared" si="209"/>
        <v>0</v>
      </c>
      <c r="G492" s="158">
        <f t="shared" si="209"/>
        <v>0</v>
      </c>
      <c r="H492" s="158">
        <f t="shared" si="209"/>
        <v>0</v>
      </c>
      <c r="I492" s="158">
        <f t="shared" si="209"/>
        <v>0</v>
      </c>
      <c r="J492" s="158">
        <f t="shared" si="209"/>
        <v>0</v>
      </c>
      <c r="K492" s="158">
        <f t="shared" si="209"/>
        <v>0</v>
      </c>
      <c r="L492" s="158">
        <f t="shared" si="209"/>
        <v>0</v>
      </c>
      <c r="M492" s="158">
        <f t="shared" si="209"/>
        <v>0</v>
      </c>
      <c r="N492" s="158">
        <f t="shared" si="209"/>
        <v>0</v>
      </c>
      <c r="O492" s="158">
        <f t="shared" si="209"/>
        <v>0</v>
      </c>
      <c r="P492" s="158">
        <f t="shared" si="209"/>
        <v>0</v>
      </c>
      <c r="Q492" s="158">
        <f t="shared" si="209"/>
        <v>0</v>
      </c>
      <c r="R492" s="158">
        <f t="shared" si="209"/>
        <v>0</v>
      </c>
      <c r="S492" s="158">
        <f t="shared" si="209"/>
        <v>0</v>
      </c>
      <c r="T492" s="158">
        <f t="shared" si="209"/>
        <v>0</v>
      </c>
      <c r="U492" s="158">
        <f t="shared" si="209"/>
        <v>0</v>
      </c>
      <c r="V492" s="158">
        <f t="shared" si="209"/>
        <v>0</v>
      </c>
      <c r="W492" s="158">
        <f t="shared" si="209"/>
        <v>0</v>
      </c>
      <c r="X492" s="158">
        <f t="shared" si="209"/>
        <v>0</v>
      </c>
      <c r="Y492" s="158">
        <f t="shared" si="209"/>
        <v>0</v>
      </c>
      <c r="Z492" s="158">
        <f t="shared" si="209"/>
        <v>0</v>
      </c>
      <c r="AA492" s="158">
        <f t="shared" si="209"/>
        <v>0</v>
      </c>
      <c r="AB492" s="158">
        <f t="shared" si="209"/>
        <v>0</v>
      </c>
      <c r="AC492" s="158">
        <f t="shared" si="209"/>
        <v>0</v>
      </c>
      <c r="AD492" s="158">
        <f t="shared" si="209"/>
        <v>0</v>
      </c>
      <c r="AE492" s="158">
        <f t="shared" si="209"/>
        <v>0</v>
      </c>
      <c r="AF492" s="158">
        <f t="shared" si="209"/>
        <v>0</v>
      </c>
      <c r="AG492" s="158">
        <f t="shared" si="209"/>
        <v>0</v>
      </c>
      <c r="AH492" s="158">
        <f t="shared" si="209"/>
        <v>0</v>
      </c>
      <c r="AI492" s="158">
        <f t="shared" si="209"/>
        <v>0</v>
      </c>
      <c r="AJ492" s="158">
        <f t="shared" si="209"/>
        <v>0</v>
      </c>
      <c r="AK492" s="158">
        <f t="shared" si="209"/>
        <v>0</v>
      </c>
      <c r="AL492" s="158">
        <f t="shared" si="209"/>
        <v>0</v>
      </c>
      <c r="AM492" s="158">
        <f t="shared" si="209"/>
        <v>0</v>
      </c>
      <c r="AN492" s="158">
        <f t="shared" si="209"/>
        <v>0</v>
      </c>
      <c r="AO492" s="158">
        <f t="shared" si="209"/>
        <v>0</v>
      </c>
      <c r="AP492" s="158">
        <f t="shared" si="209"/>
        <v>0</v>
      </c>
    </row>
    <row r="493" spans="1:42" x14ac:dyDescent="0.2">
      <c r="A493" s="4">
        <f>A492+1</f>
        <v>9</v>
      </c>
      <c r="C493" s="158">
        <f t="shared" ref="C493:AP493" si="210">C357</f>
        <v>0</v>
      </c>
      <c r="D493" s="158">
        <f t="shared" si="210"/>
        <v>0</v>
      </c>
      <c r="E493" s="158">
        <f t="shared" si="210"/>
        <v>0</v>
      </c>
      <c r="F493" s="158">
        <f t="shared" si="210"/>
        <v>0</v>
      </c>
      <c r="G493" s="158">
        <f t="shared" si="210"/>
        <v>0</v>
      </c>
      <c r="H493" s="158">
        <f t="shared" si="210"/>
        <v>0</v>
      </c>
      <c r="I493" s="158">
        <f t="shared" si="210"/>
        <v>0</v>
      </c>
      <c r="J493" s="158">
        <f t="shared" si="210"/>
        <v>0</v>
      </c>
      <c r="K493" s="158">
        <f t="shared" si="210"/>
        <v>0</v>
      </c>
      <c r="L493" s="158">
        <f t="shared" si="210"/>
        <v>0</v>
      </c>
      <c r="M493" s="158">
        <f t="shared" si="210"/>
        <v>0</v>
      </c>
      <c r="N493" s="158">
        <f t="shared" si="210"/>
        <v>0</v>
      </c>
      <c r="O493" s="158">
        <f t="shared" si="210"/>
        <v>0</v>
      </c>
      <c r="P493" s="158">
        <f t="shared" si="210"/>
        <v>0</v>
      </c>
      <c r="Q493" s="158">
        <f t="shared" si="210"/>
        <v>0</v>
      </c>
      <c r="R493" s="158">
        <f t="shared" si="210"/>
        <v>0</v>
      </c>
      <c r="S493" s="158">
        <f t="shared" si="210"/>
        <v>0</v>
      </c>
      <c r="T493" s="158">
        <f t="shared" si="210"/>
        <v>0</v>
      </c>
      <c r="U493" s="158">
        <f t="shared" si="210"/>
        <v>0</v>
      </c>
      <c r="V493" s="158">
        <f t="shared" si="210"/>
        <v>0</v>
      </c>
      <c r="W493" s="158">
        <f t="shared" si="210"/>
        <v>0</v>
      </c>
      <c r="X493" s="158">
        <f t="shared" si="210"/>
        <v>0</v>
      </c>
      <c r="Y493" s="158">
        <f t="shared" si="210"/>
        <v>0</v>
      </c>
      <c r="Z493" s="158">
        <f t="shared" si="210"/>
        <v>0</v>
      </c>
      <c r="AA493" s="158">
        <f t="shared" si="210"/>
        <v>0</v>
      </c>
      <c r="AB493" s="158">
        <f t="shared" si="210"/>
        <v>0</v>
      </c>
      <c r="AC493" s="158">
        <f t="shared" si="210"/>
        <v>0</v>
      </c>
      <c r="AD493" s="158">
        <f t="shared" si="210"/>
        <v>0</v>
      </c>
      <c r="AE493" s="158">
        <f t="shared" si="210"/>
        <v>0</v>
      </c>
      <c r="AF493" s="158">
        <f t="shared" si="210"/>
        <v>0</v>
      </c>
      <c r="AG493" s="158">
        <f t="shared" si="210"/>
        <v>0</v>
      </c>
      <c r="AH493" s="158">
        <f t="shared" si="210"/>
        <v>0</v>
      </c>
      <c r="AI493" s="158">
        <f t="shared" si="210"/>
        <v>0</v>
      </c>
      <c r="AJ493" s="158">
        <f t="shared" si="210"/>
        <v>0</v>
      </c>
      <c r="AK493" s="158">
        <f t="shared" si="210"/>
        <v>0</v>
      </c>
      <c r="AL493" s="158">
        <f t="shared" si="210"/>
        <v>0</v>
      </c>
      <c r="AM493" s="158">
        <f t="shared" si="210"/>
        <v>0</v>
      </c>
      <c r="AN493" s="158">
        <f t="shared" si="210"/>
        <v>0</v>
      </c>
      <c r="AO493" s="158">
        <f t="shared" si="210"/>
        <v>0</v>
      </c>
      <c r="AP493" s="158">
        <f t="shared" si="210"/>
        <v>0</v>
      </c>
    </row>
    <row r="494" spans="1:42" x14ac:dyDescent="0.2">
      <c r="A494" s="4">
        <f t="shared" ref="A494" si="211">A493+1</f>
        <v>10</v>
      </c>
      <c r="C494" s="158">
        <f t="shared" ref="C494:AP494" si="212">C358</f>
        <v>0</v>
      </c>
      <c r="D494" s="158">
        <f t="shared" si="212"/>
        <v>0</v>
      </c>
      <c r="E494" s="158">
        <f t="shared" si="212"/>
        <v>0</v>
      </c>
      <c r="F494" s="158">
        <f t="shared" si="212"/>
        <v>0</v>
      </c>
      <c r="G494" s="158">
        <f t="shared" si="212"/>
        <v>0</v>
      </c>
      <c r="H494" s="158">
        <f t="shared" si="212"/>
        <v>0</v>
      </c>
      <c r="I494" s="158">
        <f t="shared" si="212"/>
        <v>0</v>
      </c>
      <c r="J494" s="158">
        <f t="shared" si="212"/>
        <v>0</v>
      </c>
      <c r="K494" s="158">
        <f t="shared" si="212"/>
        <v>0</v>
      </c>
      <c r="L494" s="158">
        <f t="shared" si="212"/>
        <v>0</v>
      </c>
      <c r="M494" s="158">
        <f t="shared" si="212"/>
        <v>0</v>
      </c>
      <c r="N494" s="158">
        <f t="shared" si="212"/>
        <v>0</v>
      </c>
      <c r="O494" s="158">
        <f t="shared" si="212"/>
        <v>0</v>
      </c>
      <c r="P494" s="158">
        <f t="shared" si="212"/>
        <v>0</v>
      </c>
      <c r="Q494" s="158">
        <f t="shared" si="212"/>
        <v>0</v>
      </c>
      <c r="R494" s="158">
        <f t="shared" si="212"/>
        <v>0</v>
      </c>
      <c r="S494" s="158">
        <f t="shared" si="212"/>
        <v>0</v>
      </c>
      <c r="T494" s="158">
        <f t="shared" si="212"/>
        <v>0</v>
      </c>
      <c r="U494" s="158">
        <f t="shared" si="212"/>
        <v>0</v>
      </c>
      <c r="V494" s="158">
        <f t="shared" si="212"/>
        <v>0</v>
      </c>
      <c r="W494" s="158">
        <f t="shared" si="212"/>
        <v>0</v>
      </c>
      <c r="X494" s="158">
        <f t="shared" si="212"/>
        <v>0</v>
      </c>
      <c r="Y494" s="158">
        <f t="shared" si="212"/>
        <v>0</v>
      </c>
      <c r="Z494" s="158">
        <f t="shared" si="212"/>
        <v>0</v>
      </c>
      <c r="AA494" s="158">
        <f t="shared" si="212"/>
        <v>0</v>
      </c>
      <c r="AB494" s="158">
        <f t="shared" si="212"/>
        <v>0</v>
      </c>
      <c r="AC494" s="158">
        <f t="shared" si="212"/>
        <v>0</v>
      </c>
      <c r="AD494" s="158">
        <f t="shared" si="212"/>
        <v>0</v>
      </c>
      <c r="AE494" s="158">
        <f t="shared" si="212"/>
        <v>0</v>
      </c>
      <c r="AF494" s="158">
        <f t="shared" si="212"/>
        <v>0</v>
      </c>
      <c r="AG494" s="158">
        <f t="shared" si="212"/>
        <v>0</v>
      </c>
      <c r="AH494" s="158">
        <f t="shared" si="212"/>
        <v>0</v>
      </c>
      <c r="AI494" s="158">
        <f t="shared" si="212"/>
        <v>0</v>
      </c>
      <c r="AJ494" s="158">
        <f t="shared" si="212"/>
        <v>0</v>
      </c>
      <c r="AK494" s="158">
        <f t="shared" si="212"/>
        <v>0</v>
      </c>
      <c r="AL494" s="158">
        <f t="shared" si="212"/>
        <v>0</v>
      </c>
      <c r="AM494" s="158">
        <f t="shared" si="212"/>
        <v>0</v>
      </c>
      <c r="AN494" s="158">
        <f t="shared" si="212"/>
        <v>0</v>
      </c>
      <c r="AO494" s="158">
        <f t="shared" si="212"/>
        <v>0</v>
      </c>
      <c r="AP494" s="158">
        <f t="shared" si="212"/>
        <v>0</v>
      </c>
    </row>
    <row r="495" spans="1:42" x14ac:dyDescent="0.2">
      <c r="A495" s="22"/>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5"/>
    </row>
    <row r="496" spans="1:42" x14ac:dyDescent="0.2">
      <c r="A496" s="22" t="s">
        <v>81</v>
      </c>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5"/>
    </row>
    <row r="497" spans="1:42" x14ac:dyDescent="0.2">
      <c r="A497" s="4">
        <v>1</v>
      </c>
      <c r="B497" s="176">
        <f t="shared" ref="B497:B506" si="213">SUM(C497:AP497)</f>
        <v>14129738.209737662</v>
      </c>
      <c r="C497" s="178">
        <f t="shared" ref="C497:AP497" si="214">LOOKUP(C485,$B$480:$AP$480,$B$481:$AP$481)*$B684/100</f>
        <v>0</v>
      </c>
      <c r="D497" s="178">
        <f t="shared" si="214"/>
        <v>0</v>
      </c>
      <c r="E497" s="178">
        <f t="shared" si="214"/>
        <v>0</v>
      </c>
      <c r="F497" s="178">
        <f t="shared" si="214"/>
        <v>0</v>
      </c>
      <c r="G497" s="178">
        <f t="shared" si="214"/>
        <v>0</v>
      </c>
      <c r="H497" s="178">
        <f t="shared" si="214"/>
        <v>0</v>
      </c>
      <c r="I497" s="178">
        <f t="shared" si="214"/>
        <v>0</v>
      </c>
      <c r="J497" s="178">
        <f t="shared" si="214"/>
        <v>0</v>
      </c>
      <c r="K497" s="178">
        <f t="shared" si="214"/>
        <v>0</v>
      </c>
      <c r="L497" s="178">
        <f t="shared" si="214"/>
        <v>0</v>
      </c>
      <c r="M497" s="178">
        <f t="shared" si="214"/>
        <v>0</v>
      </c>
      <c r="N497" s="178">
        <f t="shared" si="214"/>
        <v>0</v>
      </c>
      <c r="O497" s="178">
        <f t="shared" si="214"/>
        <v>0</v>
      </c>
      <c r="P497" s="178">
        <f t="shared" si="214"/>
        <v>0</v>
      </c>
      <c r="Q497" s="178">
        <f t="shared" si="214"/>
        <v>2825947.6419475321</v>
      </c>
      <c r="R497" s="178">
        <f t="shared" si="214"/>
        <v>4521516.2271160511</v>
      </c>
      <c r="S497" s="178">
        <f t="shared" si="214"/>
        <v>2712909.736269631</v>
      </c>
      <c r="T497" s="178">
        <f t="shared" si="214"/>
        <v>1627745.8417617783</v>
      </c>
      <c r="U497" s="178">
        <f t="shared" si="214"/>
        <v>1627745.8417617783</v>
      </c>
      <c r="V497" s="178">
        <f t="shared" si="214"/>
        <v>813872.92088088917</v>
      </c>
      <c r="W497" s="178">
        <f t="shared" si="214"/>
        <v>0</v>
      </c>
      <c r="X497" s="178">
        <f t="shared" si="214"/>
        <v>0</v>
      </c>
      <c r="Y497" s="178">
        <f t="shared" si="214"/>
        <v>0</v>
      </c>
      <c r="Z497" s="178">
        <f t="shared" si="214"/>
        <v>0</v>
      </c>
      <c r="AA497" s="178">
        <f t="shared" si="214"/>
        <v>0</v>
      </c>
      <c r="AB497" s="178">
        <f t="shared" si="214"/>
        <v>0</v>
      </c>
      <c r="AC497" s="178">
        <f t="shared" si="214"/>
        <v>0</v>
      </c>
      <c r="AD497" s="178">
        <f t="shared" si="214"/>
        <v>0</v>
      </c>
      <c r="AE497" s="178">
        <f t="shared" si="214"/>
        <v>0</v>
      </c>
      <c r="AF497" s="178">
        <f t="shared" si="214"/>
        <v>0</v>
      </c>
      <c r="AG497" s="178">
        <f t="shared" si="214"/>
        <v>0</v>
      </c>
      <c r="AH497" s="178">
        <f t="shared" si="214"/>
        <v>0</v>
      </c>
      <c r="AI497" s="178">
        <f t="shared" si="214"/>
        <v>0</v>
      </c>
      <c r="AJ497" s="178">
        <f t="shared" si="214"/>
        <v>0</v>
      </c>
      <c r="AK497" s="178">
        <f t="shared" si="214"/>
        <v>0</v>
      </c>
      <c r="AL497" s="178">
        <f t="shared" si="214"/>
        <v>0</v>
      </c>
      <c r="AM497" s="178">
        <f t="shared" si="214"/>
        <v>0</v>
      </c>
      <c r="AN497" s="178">
        <f t="shared" si="214"/>
        <v>0</v>
      </c>
      <c r="AO497" s="178">
        <f t="shared" si="214"/>
        <v>0</v>
      </c>
      <c r="AP497" s="178">
        <f t="shared" si="214"/>
        <v>0</v>
      </c>
    </row>
    <row r="498" spans="1:42" x14ac:dyDescent="0.2">
      <c r="A498" s="4">
        <f>A497+1</f>
        <v>2</v>
      </c>
      <c r="B498" s="176">
        <f t="shared" si="213"/>
        <v>0</v>
      </c>
      <c r="C498" s="178">
        <f t="shared" ref="C498:AP498" si="215">LOOKUP(C486,$B$480:$AP$480,$B$481:$AP$481)*$B685/100</f>
        <v>0</v>
      </c>
      <c r="D498" s="178">
        <f t="shared" si="215"/>
        <v>0</v>
      </c>
      <c r="E498" s="178">
        <f t="shared" si="215"/>
        <v>0</v>
      </c>
      <c r="F498" s="178">
        <f t="shared" si="215"/>
        <v>0</v>
      </c>
      <c r="G498" s="178">
        <f t="shared" si="215"/>
        <v>0</v>
      </c>
      <c r="H498" s="178">
        <f t="shared" si="215"/>
        <v>0</v>
      </c>
      <c r="I498" s="178">
        <f t="shared" si="215"/>
        <v>0</v>
      </c>
      <c r="J498" s="178">
        <f t="shared" si="215"/>
        <v>0</v>
      </c>
      <c r="K498" s="178">
        <f t="shared" si="215"/>
        <v>0</v>
      </c>
      <c r="L498" s="178">
        <f t="shared" si="215"/>
        <v>0</v>
      </c>
      <c r="M498" s="178">
        <f t="shared" si="215"/>
        <v>0</v>
      </c>
      <c r="N498" s="178">
        <f t="shared" si="215"/>
        <v>0</v>
      </c>
      <c r="O498" s="178">
        <f t="shared" si="215"/>
        <v>0</v>
      </c>
      <c r="P498" s="178">
        <f t="shared" si="215"/>
        <v>0</v>
      </c>
      <c r="Q498" s="178">
        <f t="shared" si="215"/>
        <v>0</v>
      </c>
      <c r="R498" s="178">
        <f t="shared" si="215"/>
        <v>0</v>
      </c>
      <c r="S498" s="178">
        <f t="shared" si="215"/>
        <v>0</v>
      </c>
      <c r="T498" s="178">
        <f t="shared" si="215"/>
        <v>0</v>
      </c>
      <c r="U498" s="178">
        <f t="shared" si="215"/>
        <v>0</v>
      </c>
      <c r="V498" s="178">
        <f t="shared" si="215"/>
        <v>0</v>
      </c>
      <c r="W498" s="178">
        <f t="shared" si="215"/>
        <v>0</v>
      </c>
      <c r="X498" s="178">
        <f t="shared" si="215"/>
        <v>0</v>
      </c>
      <c r="Y498" s="178">
        <f t="shared" si="215"/>
        <v>0</v>
      </c>
      <c r="Z498" s="178">
        <f t="shared" si="215"/>
        <v>0</v>
      </c>
      <c r="AA498" s="178">
        <f t="shared" si="215"/>
        <v>0</v>
      </c>
      <c r="AB498" s="178">
        <f t="shared" si="215"/>
        <v>0</v>
      </c>
      <c r="AC498" s="178">
        <f t="shared" si="215"/>
        <v>0</v>
      </c>
      <c r="AD498" s="178">
        <f t="shared" si="215"/>
        <v>0</v>
      </c>
      <c r="AE498" s="178">
        <f t="shared" si="215"/>
        <v>0</v>
      </c>
      <c r="AF498" s="178">
        <f t="shared" si="215"/>
        <v>0</v>
      </c>
      <c r="AG498" s="178">
        <f t="shared" si="215"/>
        <v>0</v>
      </c>
      <c r="AH498" s="178">
        <f t="shared" si="215"/>
        <v>0</v>
      </c>
      <c r="AI498" s="178">
        <f t="shared" si="215"/>
        <v>0</v>
      </c>
      <c r="AJ498" s="178">
        <f t="shared" si="215"/>
        <v>0</v>
      </c>
      <c r="AK498" s="178">
        <f t="shared" si="215"/>
        <v>0</v>
      </c>
      <c r="AL498" s="178">
        <f t="shared" si="215"/>
        <v>0</v>
      </c>
      <c r="AM498" s="178">
        <f t="shared" si="215"/>
        <v>0</v>
      </c>
      <c r="AN498" s="178">
        <f t="shared" si="215"/>
        <v>0</v>
      </c>
      <c r="AO498" s="178">
        <f t="shared" si="215"/>
        <v>0</v>
      </c>
      <c r="AP498" s="178">
        <f t="shared" si="215"/>
        <v>0</v>
      </c>
    </row>
    <row r="499" spans="1:42" x14ac:dyDescent="0.2">
      <c r="A499" s="4">
        <f t="shared" ref="A499:A504" si="216">A498+1</f>
        <v>3</v>
      </c>
      <c r="B499" s="176">
        <f t="shared" si="213"/>
        <v>0</v>
      </c>
      <c r="C499" s="178">
        <f t="shared" ref="C499:AP499" si="217">LOOKUP(C487,$B$480:$AP$480,$B$481:$AP$481)*$B686/100</f>
        <v>0</v>
      </c>
      <c r="D499" s="178">
        <f t="shared" si="217"/>
        <v>0</v>
      </c>
      <c r="E499" s="178">
        <f t="shared" si="217"/>
        <v>0</v>
      </c>
      <c r="F499" s="178">
        <f t="shared" si="217"/>
        <v>0</v>
      </c>
      <c r="G499" s="178">
        <f t="shared" si="217"/>
        <v>0</v>
      </c>
      <c r="H499" s="178">
        <f t="shared" si="217"/>
        <v>0</v>
      </c>
      <c r="I499" s="178">
        <f t="shared" si="217"/>
        <v>0</v>
      </c>
      <c r="J499" s="178">
        <f t="shared" si="217"/>
        <v>0</v>
      </c>
      <c r="K499" s="178">
        <f t="shared" si="217"/>
        <v>0</v>
      </c>
      <c r="L499" s="178">
        <f t="shared" si="217"/>
        <v>0</v>
      </c>
      <c r="M499" s="178">
        <f t="shared" si="217"/>
        <v>0</v>
      </c>
      <c r="N499" s="178">
        <f t="shared" si="217"/>
        <v>0</v>
      </c>
      <c r="O499" s="178">
        <f t="shared" si="217"/>
        <v>0</v>
      </c>
      <c r="P499" s="178">
        <f t="shared" si="217"/>
        <v>0</v>
      </c>
      <c r="Q499" s="178">
        <f t="shared" si="217"/>
        <v>0</v>
      </c>
      <c r="R499" s="178">
        <f t="shared" si="217"/>
        <v>0</v>
      </c>
      <c r="S499" s="178">
        <f t="shared" si="217"/>
        <v>0</v>
      </c>
      <c r="T499" s="178">
        <f t="shared" si="217"/>
        <v>0</v>
      </c>
      <c r="U499" s="178">
        <f t="shared" si="217"/>
        <v>0</v>
      </c>
      <c r="V499" s="178">
        <f t="shared" si="217"/>
        <v>0</v>
      </c>
      <c r="W499" s="178">
        <f t="shared" si="217"/>
        <v>0</v>
      </c>
      <c r="X499" s="178">
        <f t="shared" si="217"/>
        <v>0</v>
      </c>
      <c r="Y499" s="178">
        <f t="shared" si="217"/>
        <v>0</v>
      </c>
      <c r="Z499" s="178">
        <f t="shared" si="217"/>
        <v>0</v>
      </c>
      <c r="AA499" s="178">
        <f t="shared" si="217"/>
        <v>0</v>
      </c>
      <c r="AB499" s="178">
        <f t="shared" si="217"/>
        <v>0</v>
      </c>
      <c r="AC499" s="178">
        <f t="shared" si="217"/>
        <v>0</v>
      </c>
      <c r="AD499" s="178">
        <f t="shared" si="217"/>
        <v>0</v>
      </c>
      <c r="AE499" s="178">
        <f t="shared" si="217"/>
        <v>0</v>
      </c>
      <c r="AF499" s="178">
        <f t="shared" si="217"/>
        <v>0</v>
      </c>
      <c r="AG499" s="178">
        <f t="shared" si="217"/>
        <v>0</v>
      </c>
      <c r="AH499" s="178">
        <f t="shared" si="217"/>
        <v>0</v>
      </c>
      <c r="AI499" s="178">
        <f t="shared" si="217"/>
        <v>0</v>
      </c>
      <c r="AJ499" s="178">
        <f t="shared" si="217"/>
        <v>0</v>
      </c>
      <c r="AK499" s="178">
        <f t="shared" si="217"/>
        <v>0</v>
      </c>
      <c r="AL499" s="178">
        <f t="shared" si="217"/>
        <v>0</v>
      </c>
      <c r="AM499" s="178">
        <f t="shared" si="217"/>
        <v>0</v>
      </c>
      <c r="AN499" s="178">
        <f t="shared" si="217"/>
        <v>0</v>
      </c>
      <c r="AO499" s="178">
        <f t="shared" si="217"/>
        <v>0</v>
      </c>
      <c r="AP499" s="178">
        <f t="shared" si="217"/>
        <v>0</v>
      </c>
    </row>
    <row r="500" spans="1:42" x14ac:dyDescent="0.2">
      <c r="A500" s="4">
        <f t="shared" si="216"/>
        <v>4</v>
      </c>
      <c r="B500" s="176">
        <f t="shared" si="213"/>
        <v>0</v>
      </c>
      <c r="C500" s="178">
        <f t="shared" ref="C500:AP500" si="218">LOOKUP(C488,$B$480:$AP$480,$B$481:$AP$481)*$B687/100</f>
        <v>0</v>
      </c>
      <c r="D500" s="178">
        <f t="shared" si="218"/>
        <v>0</v>
      </c>
      <c r="E500" s="178">
        <f t="shared" si="218"/>
        <v>0</v>
      </c>
      <c r="F500" s="178">
        <f t="shared" si="218"/>
        <v>0</v>
      </c>
      <c r="G500" s="178">
        <f t="shared" si="218"/>
        <v>0</v>
      </c>
      <c r="H500" s="178">
        <f t="shared" si="218"/>
        <v>0</v>
      </c>
      <c r="I500" s="178">
        <f t="shared" si="218"/>
        <v>0</v>
      </c>
      <c r="J500" s="178">
        <f t="shared" si="218"/>
        <v>0</v>
      </c>
      <c r="K500" s="178">
        <f t="shared" si="218"/>
        <v>0</v>
      </c>
      <c r="L500" s="178">
        <f t="shared" si="218"/>
        <v>0</v>
      </c>
      <c r="M500" s="178">
        <f t="shared" si="218"/>
        <v>0</v>
      </c>
      <c r="N500" s="178">
        <f t="shared" si="218"/>
        <v>0</v>
      </c>
      <c r="O500" s="178">
        <f t="shared" si="218"/>
        <v>0</v>
      </c>
      <c r="P500" s="178">
        <f t="shared" si="218"/>
        <v>0</v>
      </c>
      <c r="Q500" s="178">
        <f t="shared" si="218"/>
        <v>0</v>
      </c>
      <c r="R500" s="178">
        <f t="shared" si="218"/>
        <v>0</v>
      </c>
      <c r="S500" s="178">
        <f t="shared" si="218"/>
        <v>0</v>
      </c>
      <c r="T500" s="178">
        <f t="shared" si="218"/>
        <v>0</v>
      </c>
      <c r="U500" s="178">
        <f t="shared" si="218"/>
        <v>0</v>
      </c>
      <c r="V500" s="178">
        <f t="shared" si="218"/>
        <v>0</v>
      </c>
      <c r="W500" s="178">
        <f t="shared" si="218"/>
        <v>0</v>
      </c>
      <c r="X500" s="178">
        <f t="shared" si="218"/>
        <v>0</v>
      </c>
      <c r="Y500" s="178">
        <f t="shared" si="218"/>
        <v>0</v>
      </c>
      <c r="Z500" s="178">
        <f t="shared" si="218"/>
        <v>0</v>
      </c>
      <c r="AA500" s="178">
        <f t="shared" si="218"/>
        <v>0</v>
      </c>
      <c r="AB500" s="178">
        <f t="shared" si="218"/>
        <v>0</v>
      </c>
      <c r="AC500" s="178">
        <f t="shared" si="218"/>
        <v>0</v>
      </c>
      <c r="AD500" s="178">
        <f t="shared" si="218"/>
        <v>0</v>
      </c>
      <c r="AE500" s="178">
        <f t="shared" si="218"/>
        <v>0</v>
      </c>
      <c r="AF500" s="178">
        <f t="shared" si="218"/>
        <v>0</v>
      </c>
      <c r="AG500" s="178">
        <f t="shared" si="218"/>
        <v>0</v>
      </c>
      <c r="AH500" s="178">
        <f t="shared" si="218"/>
        <v>0</v>
      </c>
      <c r="AI500" s="178">
        <f t="shared" si="218"/>
        <v>0</v>
      </c>
      <c r="AJ500" s="178">
        <f t="shared" si="218"/>
        <v>0</v>
      </c>
      <c r="AK500" s="178">
        <f t="shared" si="218"/>
        <v>0</v>
      </c>
      <c r="AL500" s="178">
        <f t="shared" si="218"/>
        <v>0</v>
      </c>
      <c r="AM500" s="178">
        <f t="shared" si="218"/>
        <v>0</v>
      </c>
      <c r="AN500" s="178">
        <f t="shared" si="218"/>
        <v>0</v>
      </c>
      <c r="AO500" s="178">
        <f t="shared" si="218"/>
        <v>0</v>
      </c>
      <c r="AP500" s="178">
        <f t="shared" si="218"/>
        <v>0</v>
      </c>
    </row>
    <row r="501" spans="1:42" x14ac:dyDescent="0.2">
      <c r="A501" s="4">
        <f t="shared" si="216"/>
        <v>5</v>
      </c>
      <c r="B501" s="176">
        <f t="shared" si="213"/>
        <v>0</v>
      </c>
      <c r="C501" s="178">
        <f t="shared" ref="C501:AP501" si="219">LOOKUP(C489,$B$480:$AP$480,$B$481:$AP$481)*$B688/100</f>
        <v>0</v>
      </c>
      <c r="D501" s="178">
        <f t="shared" si="219"/>
        <v>0</v>
      </c>
      <c r="E501" s="178">
        <f t="shared" si="219"/>
        <v>0</v>
      </c>
      <c r="F501" s="178">
        <f t="shared" si="219"/>
        <v>0</v>
      </c>
      <c r="G501" s="178">
        <f t="shared" si="219"/>
        <v>0</v>
      </c>
      <c r="H501" s="178">
        <f t="shared" si="219"/>
        <v>0</v>
      </c>
      <c r="I501" s="178">
        <f t="shared" si="219"/>
        <v>0</v>
      </c>
      <c r="J501" s="178">
        <f t="shared" si="219"/>
        <v>0</v>
      </c>
      <c r="K501" s="178">
        <f t="shared" si="219"/>
        <v>0</v>
      </c>
      <c r="L501" s="178">
        <f t="shared" si="219"/>
        <v>0</v>
      </c>
      <c r="M501" s="178">
        <f t="shared" si="219"/>
        <v>0</v>
      </c>
      <c r="N501" s="178">
        <f t="shared" si="219"/>
        <v>0</v>
      </c>
      <c r="O501" s="178">
        <f t="shared" si="219"/>
        <v>0</v>
      </c>
      <c r="P501" s="178">
        <f t="shared" si="219"/>
        <v>0</v>
      </c>
      <c r="Q501" s="178">
        <f t="shared" si="219"/>
        <v>0</v>
      </c>
      <c r="R501" s="178">
        <f t="shared" si="219"/>
        <v>0</v>
      </c>
      <c r="S501" s="178">
        <f t="shared" si="219"/>
        <v>0</v>
      </c>
      <c r="T501" s="178">
        <f t="shared" si="219"/>
        <v>0</v>
      </c>
      <c r="U501" s="178">
        <f t="shared" si="219"/>
        <v>0</v>
      </c>
      <c r="V501" s="178">
        <f t="shared" si="219"/>
        <v>0</v>
      </c>
      <c r="W501" s="178">
        <f t="shared" si="219"/>
        <v>0</v>
      </c>
      <c r="X501" s="178">
        <f t="shared" si="219"/>
        <v>0</v>
      </c>
      <c r="Y501" s="178">
        <f t="shared" si="219"/>
        <v>0</v>
      </c>
      <c r="Z501" s="178">
        <f t="shared" si="219"/>
        <v>0</v>
      </c>
      <c r="AA501" s="178">
        <f t="shared" si="219"/>
        <v>0</v>
      </c>
      <c r="AB501" s="178">
        <f t="shared" si="219"/>
        <v>0</v>
      </c>
      <c r="AC501" s="178">
        <f t="shared" si="219"/>
        <v>0</v>
      </c>
      <c r="AD501" s="178">
        <f t="shared" si="219"/>
        <v>0</v>
      </c>
      <c r="AE501" s="178">
        <f t="shared" si="219"/>
        <v>0</v>
      </c>
      <c r="AF501" s="178">
        <f t="shared" si="219"/>
        <v>0</v>
      </c>
      <c r="AG501" s="178">
        <f t="shared" si="219"/>
        <v>0</v>
      </c>
      <c r="AH501" s="178">
        <f t="shared" si="219"/>
        <v>0</v>
      </c>
      <c r="AI501" s="178">
        <f t="shared" si="219"/>
        <v>0</v>
      </c>
      <c r="AJ501" s="178">
        <f t="shared" si="219"/>
        <v>0</v>
      </c>
      <c r="AK501" s="178">
        <f t="shared" si="219"/>
        <v>0</v>
      </c>
      <c r="AL501" s="178">
        <f t="shared" si="219"/>
        <v>0</v>
      </c>
      <c r="AM501" s="178">
        <f t="shared" si="219"/>
        <v>0</v>
      </c>
      <c r="AN501" s="178">
        <f t="shared" si="219"/>
        <v>0</v>
      </c>
      <c r="AO501" s="178">
        <f t="shared" si="219"/>
        <v>0</v>
      </c>
      <c r="AP501" s="178">
        <f t="shared" si="219"/>
        <v>0</v>
      </c>
    </row>
    <row r="502" spans="1:42" x14ac:dyDescent="0.2">
      <c r="A502" s="4">
        <f t="shared" si="216"/>
        <v>6</v>
      </c>
      <c r="B502" s="176">
        <f t="shared" si="213"/>
        <v>0</v>
      </c>
      <c r="C502" s="178">
        <f t="shared" ref="C502:AP502" si="220">LOOKUP(C490,$B$480:$AP$480,$B$481:$AP$481)*$B689/100</f>
        <v>0</v>
      </c>
      <c r="D502" s="178">
        <f t="shared" si="220"/>
        <v>0</v>
      </c>
      <c r="E502" s="178">
        <f t="shared" si="220"/>
        <v>0</v>
      </c>
      <c r="F502" s="178">
        <f t="shared" si="220"/>
        <v>0</v>
      </c>
      <c r="G502" s="178">
        <f t="shared" si="220"/>
        <v>0</v>
      </c>
      <c r="H502" s="178">
        <f t="shared" si="220"/>
        <v>0</v>
      </c>
      <c r="I502" s="178">
        <f t="shared" si="220"/>
        <v>0</v>
      </c>
      <c r="J502" s="178">
        <f t="shared" si="220"/>
        <v>0</v>
      </c>
      <c r="K502" s="178">
        <f t="shared" si="220"/>
        <v>0</v>
      </c>
      <c r="L502" s="178">
        <f t="shared" si="220"/>
        <v>0</v>
      </c>
      <c r="M502" s="178">
        <f t="shared" si="220"/>
        <v>0</v>
      </c>
      <c r="N502" s="178">
        <f t="shared" si="220"/>
        <v>0</v>
      </c>
      <c r="O502" s="178">
        <f t="shared" si="220"/>
        <v>0</v>
      </c>
      <c r="P502" s="178">
        <f t="shared" si="220"/>
        <v>0</v>
      </c>
      <c r="Q502" s="178">
        <f t="shared" si="220"/>
        <v>0</v>
      </c>
      <c r="R502" s="178">
        <f t="shared" si="220"/>
        <v>0</v>
      </c>
      <c r="S502" s="178">
        <f t="shared" si="220"/>
        <v>0</v>
      </c>
      <c r="T502" s="178">
        <f t="shared" si="220"/>
        <v>0</v>
      </c>
      <c r="U502" s="178">
        <f t="shared" si="220"/>
        <v>0</v>
      </c>
      <c r="V502" s="178">
        <f t="shared" si="220"/>
        <v>0</v>
      </c>
      <c r="W502" s="178">
        <f t="shared" si="220"/>
        <v>0</v>
      </c>
      <c r="X502" s="178">
        <f t="shared" si="220"/>
        <v>0</v>
      </c>
      <c r="Y502" s="178">
        <f t="shared" si="220"/>
        <v>0</v>
      </c>
      <c r="Z502" s="178">
        <f t="shared" si="220"/>
        <v>0</v>
      </c>
      <c r="AA502" s="178">
        <f t="shared" si="220"/>
        <v>0</v>
      </c>
      <c r="AB502" s="178">
        <f t="shared" si="220"/>
        <v>0</v>
      </c>
      <c r="AC502" s="178">
        <f t="shared" si="220"/>
        <v>0</v>
      </c>
      <c r="AD502" s="178">
        <f t="shared" si="220"/>
        <v>0</v>
      </c>
      <c r="AE502" s="178">
        <f t="shared" si="220"/>
        <v>0</v>
      </c>
      <c r="AF502" s="178">
        <f t="shared" si="220"/>
        <v>0</v>
      </c>
      <c r="AG502" s="178">
        <f t="shared" si="220"/>
        <v>0</v>
      </c>
      <c r="AH502" s="178">
        <f t="shared" si="220"/>
        <v>0</v>
      </c>
      <c r="AI502" s="178">
        <f t="shared" si="220"/>
        <v>0</v>
      </c>
      <c r="AJ502" s="178">
        <f t="shared" si="220"/>
        <v>0</v>
      </c>
      <c r="AK502" s="178">
        <f t="shared" si="220"/>
        <v>0</v>
      </c>
      <c r="AL502" s="178">
        <f t="shared" si="220"/>
        <v>0</v>
      </c>
      <c r="AM502" s="178">
        <f t="shared" si="220"/>
        <v>0</v>
      </c>
      <c r="AN502" s="178">
        <f t="shared" si="220"/>
        <v>0</v>
      </c>
      <c r="AO502" s="178">
        <f t="shared" si="220"/>
        <v>0</v>
      </c>
      <c r="AP502" s="178">
        <f t="shared" si="220"/>
        <v>0</v>
      </c>
    </row>
    <row r="503" spans="1:42" x14ac:dyDescent="0.2">
      <c r="A503" s="4">
        <f t="shared" si="216"/>
        <v>7</v>
      </c>
      <c r="B503" s="176">
        <f t="shared" si="213"/>
        <v>0</v>
      </c>
      <c r="C503" s="178">
        <f t="shared" ref="C503:AP503" si="221">LOOKUP(C491,$B$480:$AP$480,$B$481:$AP$481)*$B690/100</f>
        <v>0</v>
      </c>
      <c r="D503" s="178">
        <f t="shared" si="221"/>
        <v>0</v>
      </c>
      <c r="E503" s="178">
        <f t="shared" si="221"/>
        <v>0</v>
      </c>
      <c r="F503" s="178">
        <f t="shared" si="221"/>
        <v>0</v>
      </c>
      <c r="G503" s="178">
        <f t="shared" si="221"/>
        <v>0</v>
      </c>
      <c r="H503" s="178">
        <f t="shared" si="221"/>
        <v>0</v>
      </c>
      <c r="I503" s="178">
        <f t="shared" si="221"/>
        <v>0</v>
      </c>
      <c r="J503" s="178">
        <f t="shared" si="221"/>
        <v>0</v>
      </c>
      <c r="K503" s="178">
        <f t="shared" si="221"/>
        <v>0</v>
      </c>
      <c r="L503" s="178">
        <f t="shared" si="221"/>
        <v>0</v>
      </c>
      <c r="M503" s="178">
        <f t="shared" si="221"/>
        <v>0</v>
      </c>
      <c r="N503" s="178">
        <f t="shared" si="221"/>
        <v>0</v>
      </c>
      <c r="O503" s="178">
        <f t="shared" si="221"/>
        <v>0</v>
      </c>
      <c r="P503" s="178">
        <f t="shared" si="221"/>
        <v>0</v>
      </c>
      <c r="Q503" s="178">
        <f t="shared" si="221"/>
        <v>0</v>
      </c>
      <c r="R503" s="178">
        <f t="shared" si="221"/>
        <v>0</v>
      </c>
      <c r="S503" s="178">
        <f t="shared" si="221"/>
        <v>0</v>
      </c>
      <c r="T503" s="178">
        <f t="shared" si="221"/>
        <v>0</v>
      </c>
      <c r="U503" s="178">
        <f t="shared" si="221"/>
        <v>0</v>
      </c>
      <c r="V503" s="178">
        <f t="shared" si="221"/>
        <v>0</v>
      </c>
      <c r="W503" s="178">
        <f t="shared" si="221"/>
        <v>0</v>
      </c>
      <c r="X503" s="178">
        <f t="shared" si="221"/>
        <v>0</v>
      </c>
      <c r="Y503" s="178">
        <f t="shared" si="221"/>
        <v>0</v>
      </c>
      <c r="Z503" s="178">
        <f t="shared" si="221"/>
        <v>0</v>
      </c>
      <c r="AA503" s="178">
        <f t="shared" si="221"/>
        <v>0</v>
      </c>
      <c r="AB503" s="178">
        <f t="shared" si="221"/>
        <v>0</v>
      </c>
      <c r="AC503" s="178">
        <f t="shared" si="221"/>
        <v>0</v>
      </c>
      <c r="AD503" s="178">
        <f t="shared" si="221"/>
        <v>0</v>
      </c>
      <c r="AE503" s="178">
        <f t="shared" si="221"/>
        <v>0</v>
      </c>
      <c r="AF503" s="178">
        <f t="shared" si="221"/>
        <v>0</v>
      </c>
      <c r="AG503" s="178">
        <f t="shared" si="221"/>
        <v>0</v>
      </c>
      <c r="AH503" s="178">
        <f t="shared" si="221"/>
        <v>0</v>
      </c>
      <c r="AI503" s="178">
        <f t="shared" si="221"/>
        <v>0</v>
      </c>
      <c r="AJ503" s="178">
        <f t="shared" si="221"/>
        <v>0</v>
      </c>
      <c r="AK503" s="178">
        <f t="shared" si="221"/>
        <v>0</v>
      </c>
      <c r="AL503" s="178">
        <f t="shared" si="221"/>
        <v>0</v>
      </c>
      <c r="AM503" s="178">
        <f t="shared" si="221"/>
        <v>0</v>
      </c>
      <c r="AN503" s="178">
        <f t="shared" si="221"/>
        <v>0</v>
      </c>
      <c r="AO503" s="178">
        <f t="shared" si="221"/>
        <v>0</v>
      </c>
      <c r="AP503" s="178">
        <f t="shared" si="221"/>
        <v>0</v>
      </c>
    </row>
    <row r="504" spans="1:42" x14ac:dyDescent="0.2">
      <c r="A504" s="4">
        <f t="shared" si="216"/>
        <v>8</v>
      </c>
      <c r="B504" s="176">
        <f t="shared" si="213"/>
        <v>0</v>
      </c>
      <c r="C504" s="178">
        <f t="shared" ref="C504:AP504" si="222">LOOKUP(C492,$B$480:$AP$480,$B$481:$AP$481)*$B691/100</f>
        <v>0</v>
      </c>
      <c r="D504" s="178">
        <f t="shared" si="222"/>
        <v>0</v>
      </c>
      <c r="E504" s="178">
        <f t="shared" si="222"/>
        <v>0</v>
      </c>
      <c r="F504" s="178">
        <f t="shared" si="222"/>
        <v>0</v>
      </c>
      <c r="G504" s="178">
        <f t="shared" si="222"/>
        <v>0</v>
      </c>
      <c r="H504" s="178">
        <f t="shared" si="222"/>
        <v>0</v>
      </c>
      <c r="I504" s="178">
        <f t="shared" si="222"/>
        <v>0</v>
      </c>
      <c r="J504" s="178">
        <f t="shared" si="222"/>
        <v>0</v>
      </c>
      <c r="K504" s="178">
        <f t="shared" si="222"/>
        <v>0</v>
      </c>
      <c r="L504" s="178">
        <f t="shared" si="222"/>
        <v>0</v>
      </c>
      <c r="M504" s="178">
        <f t="shared" si="222"/>
        <v>0</v>
      </c>
      <c r="N504" s="178">
        <f t="shared" si="222"/>
        <v>0</v>
      </c>
      <c r="O504" s="178">
        <f t="shared" si="222"/>
        <v>0</v>
      </c>
      <c r="P504" s="178">
        <f t="shared" si="222"/>
        <v>0</v>
      </c>
      <c r="Q504" s="178">
        <f t="shared" si="222"/>
        <v>0</v>
      </c>
      <c r="R504" s="178">
        <f t="shared" si="222"/>
        <v>0</v>
      </c>
      <c r="S504" s="178">
        <f t="shared" si="222"/>
        <v>0</v>
      </c>
      <c r="T504" s="178">
        <f t="shared" si="222"/>
        <v>0</v>
      </c>
      <c r="U504" s="178">
        <f t="shared" si="222"/>
        <v>0</v>
      </c>
      <c r="V504" s="178">
        <f t="shared" si="222"/>
        <v>0</v>
      </c>
      <c r="W504" s="178">
        <f t="shared" si="222"/>
        <v>0</v>
      </c>
      <c r="X504" s="178">
        <f t="shared" si="222"/>
        <v>0</v>
      </c>
      <c r="Y504" s="178">
        <f t="shared" si="222"/>
        <v>0</v>
      </c>
      <c r="Z504" s="178">
        <f t="shared" si="222"/>
        <v>0</v>
      </c>
      <c r="AA504" s="178">
        <f t="shared" si="222"/>
        <v>0</v>
      </c>
      <c r="AB504" s="178">
        <f t="shared" si="222"/>
        <v>0</v>
      </c>
      <c r="AC504" s="178">
        <f t="shared" si="222"/>
        <v>0</v>
      </c>
      <c r="AD504" s="178">
        <f t="shared" si="222"/>
        <v>0</v>
      </c>
      <c r="AE504" s="178">
        <f t="shared" si="222"/>
        <v>0</v>
      </c>
      <c r="AF504" s="178">
        <f t="shared" si="222"/>
        <v>0</v>
      </c>
      <c r="AG504" s="178">
        <f t="shared" si="222"/>
        <v>0</v>
      </c>
      <c r="AH504" s="178">
        <f t="shared" si="222"/>
        <v>0</v>
      </c>
      <c r="AI504" s="178">
        <f t="shared" si="222"/>
        <v>0</v>
      </c>
      <c r="AJ504" s="178">
        <f t="shared" si="222"/>
        <v>0</v>
      </c>
      <c r="AK504" s="178">
        <f t="shared" si="222"/>
        <v>0</v>
      </c>
      <c r="AL504" s="178">
        <f t="shared" si="222"/>
        <v>0</v>
      </c>
      <c r="AM504" s="178">
        <f t="shared" si="222"/>
        <v>0</v>
      </c>
      <c r="AN504" s="178">
        <f t="shared" si="222"/>
        <v>0</v>
      </c>
      <c r="AO504" s="178">
        <f t="shared" si="222"/>
        <v>0</v>
      </c>
      <c r="AP504" s="178">
        <f t="shared" si="222"/>
        <v>0</v>
      </c>
    </row>
    <row r="505" spans="1:42" x14ac:dyDescent="0.2">
      <c r="A505" s="4">
        <f>A504+1</f>
        <v>9</v>
      </c>
      <c r="B505" s="176">
        <f t="shared" si="213"/>
        <v>0</v>
      </c>
      <c r="C505" s="178">
        <f t="shared" ref="C505:AP505" si="223">LOOKUP(C493,$B$480:$AP$480,$B$481:$AP$481)*$B692/100</f>
        <v>0</v>
      </c>
      <c r="D505" s="178">
        <f t="shared" si="223"/>
        <v>0</v>
      </c>
      <c r="E505" s="178">
        <f t="shared" si="223"/>
        <v>0</v>
      </c>
      <c r="F505" s="178">
        <f t="shared" si="223"/>
        <v>0</v>
      </c>
      <c r="G505" s="178">
        <f t="shared" si="223"/>
        <v>0</v>
      </c>
      <c r="H505" s="178">
        <f t="shared" si="223"/>
        <v>0</v>
      </c>
      <c r="I505" s="178">
        <f t="shared" si="223"/>
        <v>0</v>
      </c>
      <c r="J505" s="178">
        <f t="shared" si="223"/>
        <v>0</v>
      </c>
      <c r="K505" s="178">
        <f t="shared" si="223"/>
        <v>0</v>
      </c>
      <c r="L505" s="178">
        <f t="shared" si="223"/>
        <v>0</v>
      </c>
      <c r="M505" s="178">
        <f t="shared" si="223"/>
        <v>0</v>
      </c>
      <c r="N505" s="178">
        <f t="shared" si="223"/>
        <v>0</v>
      </c>
      <c r="O505" s="178">
        <f t="shared" si="223"/>
        <v>0</v>
      </c>
      <c r="P505" s="178">
        <f t="shared" si="223"/>
        <v>0</v>
      </c>
      <c r="Q505" s="178">
        <f t="shared" si="223"/>
        <v>0</v>
      </c>
      <c r="R505" s="178">
        <f t="shared" si="223"/>
        <v>0</v>
      </c>
      <c r="S505" s="178">
        <f t="shared" si="223"/>
        <v>0</v>
      </c>
      <c r="T505" s="178">
        <f t="shared" si="223"/>
        <v>0</v>
      </c>
      <c r="U505" s="178">
        <f t="shared" si="223"/>
        <v>0</v>
      </c>
      <c r="V505" s="178">
        <f t="shared" si="223"/>
        <v>0</v>
      </c>
      <c r="W505" s="178">
        <f t="shared" si="223"/>
        <v>0</v>
      </c>
      <c r="X505" s="178">
        <f t="shared" si="223"/>
        <v>0</v>
      </c>
      <c r="Y505" s="178">
        <f t="shared" si="223"/>
        <v>0</v>
      </c>
      <c r="Z505" s="178">
        <f t="shared" si="223"/>
        <v>0</v>
      </c>
      <c r="AA505" s="178">
        <f t="shared" si="223"/>
        <v>0</v>
      </c>
      <c r="AB505" s="178">
        <f t="shared" si="223"/>
        <v>0</v>
      </c>
      <c r="AC505" s="178">
        <f t="shared" si="223"/>
        <v>0</v>
      </c>
      <c r="AD505" s="178">
        <f t="shared" si="223"/>
        <v>0</v>
      </c>
      <c r="AE505" s="178">
        <f t="shared" si="223"/>
        <v>0</v>
      </c>
      <c r="AF505" s="178">
        <f t="shared" si="223"/>
        <v>0</v>
      </c>
      <c r="AG505" s="178">
        <f t="shared" si="223"/>
        <v>0</v>
      </c>
      <c r="AH505" s="178">
        <f t="shared" si="223"/>
        <v>0</v>
      </c>
      <c r="AI505" s="178">
        <f t="shared" si="223"/>
        <v>0</v>
      </c>
      <c r="AJ505" s="178">
        <f t="shared" si="223"/>
        <v>0</v>
      </c>
      <c r="AK505" s="178">
        <f t="shared" si="223"/>
        <v>0</v>
      </c>
      <c r="AL505" s="178">
        <f t="shared" si="223"/>
        <v>0</v>
      </c>
      <c r="AM505" s="178">
        <f t="shared" si="223"/>
        <v>0</v>
      </c>
      <c r="AN505" s="178">
        <f t="shared" si="223"/>
        <v>0</v>
      </c>
      <c r="AO505" s="178">
        <f t="shared" si="223"/>
        <v>0</v>
      </c>
      <c r="AP505" s="178">
        <f t="shared" si="223"/>
        <v>0</v>
      </c>
    </row>
    <row r="506" spans="1:42" x14ac:dyDescent="0.2">
      <c r="A506" s="4">
        <f t="shared" ref="A506" si="224">A505+1</f>
        <v>10</v>
      </c>
      <c r="B506" s="176">
        <f t="shared" si="213"/>
        <v>0</v>
      </c>
      <c r="C506" s="178">
        <f t="shared" ref="C506:AP506" si="225">LOOKUP(C494,$B$480:$AP$480,$B$481:$AP$481)*$B693/100</f>
        <v>0</v>
      </c>
      <c r="D506" s="178">
        <f t="shared" si="225"/>
        <v>0</v>
      </c>
      <c r="E506" s="178">
        <f t="shared" si="225"/>
        <v>0</v>
      </c>
      <c r="F506" s="178">
        <f t="shared" si="225"/>
        <v>0</v>
      </c>
      <c r="G506" s="178">
        <f t="shared" si="225"/>
        <v>0</v>
      </c>
      <c r="H506" s="178">
        <f t="shared" si="225"/>
        <v>0</v>
      </c>
      <c r="I506" s="178">
        <f t="shared" si="225"/>
        <v>0</v>
      </c>
      <c r="J506" s="178">
        <f t="shared" si="225"/>
        <v>0</v>
      </c>
      <c r="K506" s="178">
        <f t="shared" si="225"/>
        <v>0</v>
      </c>
      <c r="L506" s="178">
        <f t="shared" si="225"/>
        <v>0</v>
      </c>
      <c r="M506" s="178">
        <f t="shared" si="225"/>
        <v>0</v>
      </c>
      <c r="N506" s="178">
        <f t="shared" si="225"/>
        <v>0</v>
      </c>
      <c r="O506" s="178">
        <f t="shared" si="225"/>
        <v>0</v>
      </c>
      <c r="P506" s="178">
        <f t="shared" si="225"/>
        <v>0</v>
      </c>
      <c r="Q506" s="178">
        <f t="shared" si="225"/>
        <v>0</v>
      </c>
      <c r="R506" s="178">
        <f t="shared" si="225"/>
        <v>0</v>
      </c>
      <c r="S506" s="178">
        <f t="shared" si="225"/>
        <v>0</v>
      </c>
      <c r="T506" s="178">
        <f t="shared" si="225"/>
        <v>0</v>
      </c>
      <c r="U506" s="178">
        <f t="shared" si="225"/>
        <v>0</v>
      </c>
      <c r="V506" s="178">
        <f t="shared" si="225"/>
        <v>0</v>
      </c>
      <c r="W506" s="178">
        <f t="shared" si="225"/>
        <v>0</v>
      </c>
      <c r="X506" s="178">
        <f t="shared" si="225"/>
        <v>0</v>
      </c>
      <c r="Y506" s="178">
        <f t="shared" si="225"/>
        <v>0</v>
      </c>
      <c r="Z506" s="178">
        <f t="shared" si="225"/>
        <v>0</v>
      </c>
      <c r="AA506" s="178">
        <f t="shared" si="225"/>
        <v>0</v>
      </c>
      <c r="AB506" s="178">
        <f t="shared" si="225"/>
        <v>0</v>
      </c>
      <c r="AC506" s="178">
        <f t="shared" si="225"/>
        <v>0</v>
      </c>
      <c r="AD506" s="178">
        <f t="shared" si="225"/>
        <v>0</v>
      </c>
      <c r="AE506" s="178">
        <f t="shared" si="225"/>
        <v>0</v>
      </c>
      <c r="AF506" s="178">
        <f t="shared" si="225"/>
        <v>0</v>
      </c>
      <c r="AG506" s="178">
        <f t="shared" si="225"/>
        <v>0</v>
      </c>
      <c r="AH506" s="178">
        <f t="shared" si="225"/>
        <v>0</v>
      </c>
      <c r="AI506" s="178">
        <f t="shared" si="225"/>
        <v>0</v>
      </c>
      <c r="AJ506" s="178">
        <f t="shared" si="225"/>
        <v>0</v>
      </c>
      <c r="AK506" s="178">
        <f t="shared" si="225"/>
        <v>0</v>
      </c>
      <c r="AL506" s="178">
        <f t="shared" si="225"/>
        <v>0</v>
      </c>
      <c r="AM506" s="178">
        <f t="shared" si="225"/>
        <v>0</v>
      </c>
      <c r="AN506" s="178">
        <f t="shared" si="225"/>
        <v>0</v>
      </c>
      <c r="AO506" s="178">
        <f t="shared" si="225"/>
        <v>0</v>
      </c>
      <c r="AP506" s="178">
        <f t="shared" si="225"/>
        <v>0</v>
      </c>
    </row>
    <row r="507" spans="1:42" x14ac:dyDescent="0.2">
      <c r="A507" s="27" t="s">
        <v>13</v>
      </c>
      <c r="B507" s="15"/>
      <c r="C507" s="158">
        <f>SUM(C497:C506)</f>
        <v>0</v>
      </c>
      <c r="D507" s="158">
        <f t="shared" ref="D507:AP507" si="226">SUM(D497:D506)</f>
        <v>0</v>
      </c>
      <c r="E507" s="158">
        <f t="shared" si="226"/>
        <v>0</v>
      </c>
      <c r="F507" s="158">
        <f t="shared" si="226"/>
        <v>0</v>
      </c>
      <c r="G507" s="158">
        <f t="shared" si="226"/>
        <v>0</v>
      </c>
      <c r="H507" s="158">
        <f t="shared" si="226"/>
        <v>0</v>
      </c>
      <c r="I507" s="158">
        <f t="shared" si="226"/>
        <v>0</v>
      </c>
      <c r="J507" s="158">
        <f t="shared" si="226"/>
        <v>0</v>
      </c>
      <c r="K507" s="158">
        <f t="shared" si="226"/>
        <v>0</v>
      </c>
      <c r="L507" s="158">
        <f t="shared" si="226"/>
        <v>0</v>
      </c>
      <c r="M507" s="158">
        <f t="shared" si="226"/>
        <v>0</v>
      </c>
      <c r="N507" s="158">
        <f t="shared" si="226"/>
        <v>0</v>
      </c>
      <c r="O507" s="158">
        <f t="shared" si="226"/>
        <v>0</v>
      </c>
      <c r="P507" s="158">
        <f t="shared" si="226"/>
        <v>0</v>
      </c>
      <c r="Q507" s="158">
        <f t="shared" si="226"/>
        <v>2825947.6419475321</v>
      </c>
      <c r="R507" s="158">
        <f t="shared" si="226"/>
        <v>4521516.2271160511</v>
      </c>
      <c r="S507" s="158">
        <f t="shared" si="226"/>
        <v>2712909.736269631</v>
      </c>
      <c r="T507" s="158">
        <f t="shared" si="226"/>
        <v>1627745.8417617783</v>
      </c>
      <c r="U507" s="158">
        <f t="shared" si="226"/>
        <v>1627745.8417617783</v>
      </c>
      <c r="V507" s="158">
        <f t="shared" si="226"/>
        <v>813872.92088088917</v>
      </c>
      <c r="W507" s="158">
        <f t="shared" si="226"/>
        <v>0</v>
      </c>
      <c r="X507" s="158">
        <f t="shared" si="226"/>
        <v>0</v>
      </c>
      <c r="Y507" s="158">
        <f t="shared" si="226"/>
        <v>0</v>
      </c>
      <c r="Z507" s="158">
        <f t="shared" si="226"/>
        <v>0</v>
      </c>
      <c r="AA507" s="158">
        <f t="shared" si="226"/>
        <v>0</v>
      </c>
      <c r="AB507" s="158">
        <f t="shared" si="226"/>
        <v>0</v>
      </c>
      <c r="AC507" s="158">
        <f t="shared" si="226"/>
        <v>0</v>
      </c>
      <c r="AD507" s="158">
        <f t="shared" si="226"/>
        <v>0</v>
      </c>
      <c r="AE507" s="158">
        <f t="shared" si="226"/>
        <v>0</v>
      </c>
      <c r="AF507" s="158">
        <f t="shared" si="226"/>
        <v>0</v>
      </c>
      <c r="AG507" s="158">
        <f t="shared" si="226"/>
        <v>0</v>
      </c>
      <c r="AH507" s="158">
        <f t="shared" si="226"/>
        <v>0</v>
      </c>
      <c r="AI507" s="158">
        <f t="shared" si="226"/>
        <v>0</v>
      </c>
      <c r="AJ507" s="158">
        <f t="shared" si="226"/>
        <v>0</v>
      </c>
      <c r="AK507" s="158">
        <f t="shared" si="226"/>
        <v>0</v>
      </c>
      <c r="AL507" s="158">
        <f t="shared" si="226"/>
        <v>0</v>
      </c>
      <c r="AM507" s="158">
        <f t="shared" si="226"/>
        <v>0</v>
      </c>
      <c r="AN507" s="158">
        <f t="shared" si="226"/>
        <v>0</v>
      </c>
      <c r="AO507" s="158">
        <f t="shared" si="226"/>
        <v>0</v>
      </c>
      <c r="AP507" s="158">
        <f t="shared" si="226"/>
        <v>0</v>
      </c>
    </row>
    <row r="508" spans="1:42" x14ac:dyDescent="0.2">
      <c r="A508" s="27"/>
      <c r="B508" s="15"/>
      <c r="C508" s="158"/>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row>
    <row r="509" spans="1:42" x14ac:dyDescent="0.2">
      <c r="A509" s="18" t="s">
        <v>95</v>
      </c>
      <c r="C509" s="158"/>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5"/>
    </row>
    <row r="510" spans="1:42" x14ac:dyDescent="0.2">
      <c r="A510" s="22" t="s">
        <v>77</v>
      </c>
      <c r="C510" s="158"/>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5"/>
    </row>
    <row r="511" spans="1:42" x14ac:dyDescent="0.2">
      <c r="A511" s="4">
        <v>1</v>
      </c>
      <c r="C511" s="158">
        <f t="shared" ref="C511:AP511" si="227">C374</f>
        <v>0</v>
      </c>
      <c r="D511" s="158">
        <f t="shared" si="227"/>
        <v>0</v>
      </c>
      <c r="E511" s="158">
        <f t="shared" si="227"/>
        <v>0</v>
      </c>
      <c r="F511" s="158">
        <f t="shared" si="227"/>
        <v>0</v>
      </c>
      <c r="G511" s="158">
        <f t="shared" si="227"/>
        <v>0</v>
      </c>
      <c r="H511" s="158">
        <f t="shared" si="227"/>
        <v>0</v>
      </c>
      <c r="I511" s="158">
        <f t="shared" si="227"/>
        <v>0</v>
      </c>
      <c r="J511" s="158">
        <f t="shared" si="227"/>
        <v>0</v>
      </c>
      <c r="K511" s="158">
        <f t="shared" si="227"/>
        <v>0</v>
      </c>
      <c r="L511" s="158">
        <f t="shared" si="227"/>
        <v>0</v>
      </c>
      <c r="M511" s="158">
        <f t="shared" si="227"/>
        <v>0</v>
      </c>
      <c r="N511" s="158">
        <f t="shared" si="227"/>
        <v>0</v>
      </c>
      <c r="O511" s="158">
        <f t="shared" si="227"/>
        <v>0</v>
      </c>
      <c r="P511" s="158">
        <f t="shared" si="227"/>
        <v>0</v>
      </c>
      <c r="Q511" s="158">
        <f t="shared" si="227"/>
        <v>0</v>
      </c>
      <c r="R511" s="158">
        <f t="shared" si="227"/>
        <v>0</v>
      </c>
      <c r="S511" s="158">
        <f t="shared" si="227"/>
        <v>0</v>
      </c>
      <c r="T511" s="158">
        <f t="shared" si="227"/>
        <v>0</v>
      </c>
      <c r="U511" s="158">
        <f t="shared" si="227"/>
        <v>0</v>
      </c>
      <c r="V511" s="158">
        <f t="shared" si="227"/>
        <v>0</v>
      </c>
      <c r="W511" s="158">
        <f t="shared" si="227"/>
        <v>0</v>
      </c>
      <c r="X511" s="158">
        <f t="shared" si="227"/>
        <v>0</v>
      </c>
      <c r="Y511" s="158">
        <f t="shared" si="227"/>
        <v>0</v>
      </c>
      <c r="Z511" s="158">
        <f t="shared" si="227"/>
        <v>0</v>
      </c>
      <c r="AA511" s="158">
        <f t="shared" si="227"/>
        <v>0</v>
      </c>
      <c r="AB511" s="158">
        <f t="shared" si="227"/>
        <v>0</v>
      </c>
      <c r="AC511" s="158">
        <f t="shared" si="227"/>
        <v>0</v>
      </c>
      <c r="AD511" s="158">
        <f t="shared" si="227"/>
        <v>0</v>
      </c>
      <c r="AE511" s="158">
        <f t="shared" si="227"/>
        <v>0</v>
      </c>
      <c r="AF511" s="158">
        <f t="shared" si="227"/>
        <v>0</v>
      </c>
      <c r="AG511" s="158">
        <f t="shared" si="227"/>
        <v>0</v>
      </c>
      <c r="AH511" s="158">
        <f t="shared" si="227"/>
        <v>0</v>
      </c>
      <c r="AI511" s="158">
        <f t="shared" si="227"/>
        <v>0</v>
      </c>
      <c r="AJ511" s="158">
        <f t="shared" si="227"/>
        <v>0</v>
      </c>
      <c r="AK511" s="158">
        <f t="shared" si="227"/>
        <v>0</v>
      </c>
      <c r="AL511" s="158">
        <f t="shared" si="227"/>
        <v>0</v>
      </c>
      <c r="AM511" s="158">
        <f t="shared" si="227"/>
        <v>0</v>
      </c>
      <c r="AN511" s="158">
        <f t="shared" si="227"/>
        <v>0</v>
      </c>
      <c r="AO511" s="158">
        <f t="shared" si="227"/>
        <v>0</v>
      </c>
      <c r="AP511" s="158">
        <f t="shared" si="227"/>
        <v>0</v>
      </c>
    </row>
    <row r="512" spans="1:42" x14ac:dyDescent="0.2">
      <c r="A512" s="4">
        <f>A511+1</f>
        <v>2</v>
      </c>
      <c r="C512" s="158">
        <f t="shared" ref="C512:AP512" si="228">C375</f>
        <v>0</v>
      </c>
      <c r="D512" s="158">
        <f t="shared" si="228"/>
        <v>0</v>
      </c>
      <c r="E512" s="158">
        <f t="shared" si="228"/>
        <v>0</v>
      </c>
      <c r="F512" s="158">
        <f t="shared" si="228"/>
        <v>0</v>
      </c>
      <c r="G512" s="158">
        <f t="shared" si="228"/>
        <v>0</v>
      </c>
      <c r="H512" s="158">
        <f t="shared" si="228"/>
        <v>0</v>
      </c>
      <c r="I512" s="158">
        <f t="shared" si="228"/>
        <v>0</v>
      </c>
      <c r="J512" s="158">
        <f t="shared" si="228"/>
        <v>0</v>
      </c>
      <c r="K512" s="158">
        <f t="shared" si="228"/>
        <v>0</v>
      </c>
      <c r="L512" s="158">
        <f t="shared" si="228"/>
        <v>0</v>
      </c>
      <c r="M512" s="158">
        <f t="shared" si="228"/>
        <v>0</v>
      </c>
      <c r="N512" s="158">
        <f t="shared" si="228"/>
        <v>0</v>
      </c>
      <c r="O512" s="158">
        <f t="shared" si="228"/>
        <v>0</v>
      </c>
      <c r="P512" s="158">
        <f t="shared" si="228"/>
        <v>0</v>
      </c>
      <c r="Q512" s="158">
        <f t="shared" si="228"/>
        <v>0</v>
      </c>
      <c r="R512" s="158">
        <f t="shared" si="228"/>
        <v>0</v>
      </c>
      <c r="S512" s="158">
        <f t="shared" si="228"/>
        <v>0</v>
      </c>
      <c r="T512" s="158">
        <f t="shared" si="228"/>
        <v>0</v>
      </c>
      <c r="U512" s="158">
        <f t="shared" si="228"/>
        <v>0</v>
      </c>
      <c r="V512" s="158">
        <f t="shared" si="228"/>
        <v>0</v>
      </c>
      <c r="W512" s="158">
        <f t="shared" si="228"/>
        <v>0</v>
      </c>
      <c r="X512" s="158">
        <f t="shared" si="228"/>
        <v>0</v>
      </c>
      <c r="Y512" s="158">
        <f t="shared" si="228"/>
        <v>0</v>
      </c>
      <c r="Z512" s="158">
        <f t="shared" si="228"/>
        <v>0</v>
      </c>
      <c r="AA512" s="158">
        <f t="shared" si="228"/>
        <v>0</v>
      </c>
      <c r="AB512" s="158">
        <f t="shared" si="228"/>
        <v>0</v>
      </c>
      <c r="AC512" s="158">
        <f t="shared" si="228"/>
        <v>0</v>
      </c>
      <c r="AD512" s="158">
        <f t="shared" si="228"/>
        <v>0</v>
      </c>
      <c r="AE512" s="158">
        <f t="shared" si="228"/>
        <v>0</v>
      </c>
      <c r="AF512" s="158">
        <f t="shared" si="228"/>
        <v>0</v>
      </c>
      <c r="AG512" s="158">
        <f t="shared" si="228"/>
        <v>0</v>
      </c>
      <c r="AH512" s="158">
        <f t="shared" si="228"/>
        <v>0</v>
      </c>
      <c r="AI512" s="158">
        <f t="shared" si="228"/>
        <v>0</v>
      </c>
      <c r="AJ512" s="158">
        <f t="shared" si="228"/>
        <v>0</v>
      </c>
      <c r="AK512" s="158">
        <f t="shared" si="228"/>
        <v>0</v>
      </c>
      <c r="AL512" s="158">
        <f t="shared" si="228"/>
        <v>0</v>
      </c>
      <c r="AM512" s="158">
        <f t="shared" si="228"/>
        <v>0</v>
      </c>
      <c r="AN512" s="158">
        <f t="shared" si="228"/>
        <v>0</v>
      </c>
      <c r="AO512" s="158">
        <f t="shared" si="228"/>
        <v>0</v>
      </c>
      <c r="AP512" s="158">
        <f t="shared" si="228"/>
        <v>0</v>
      </c>
    </row>
    <row r="513" spans="1:42" x14ac:dyDescent="0.2">
      <c r="A513" s="4">
        <f t="shared" ref="A513:A518" si="229">A512+1</f>
        <v>3</v>
      </c>
      <c r="C513" s="158">
        <f t="shared" ref="C513:AP513" si="230">C376</f>
        <v>0</v>
      </c>
      <c r="D513" s="158">
        <f t="shared" si="230"/>
        <v>0</v>
      </c>
      <c r="E513" s="158">
        <f t="shared" si="230"/>
        <v>0</v>
      </c>
      <c r="F513" s="158">
        <f t="shared" si="230"/>
        <v>0</v>
      </c>
      <c r="G513" s="158">
        <f t="shared" si="230"/>
        <v>0</v>
      </c>
      <c r="H513" s="158">
        <f t="shared" si="230"/>
        <v>0</v>
      </c>
      <c r="I513" s="158">
        <f t="shared" si="230"/>
        <v>0</v>
      </c>
      <c r="J513" s="158">
        <f t="shared" si="230"/>
        <v>0</v>
      </c>
      <c r="K513" s="158">
        <f t="shared" si="230"/>
        <v>0</v>
      </c>
      <c r="L513" s="158">
        <f t="shared" si="230"/>
        <v>0</v>
      </c>
      <c r="M513" s="158">
        <f t="shared" si="230"/>
        <v>0</v>
      </c>
      <c r="N513" s="158">
        <f t="shared" si="230"/>
        <v>0</v>
      </c>
      <c r="O513" s="158">
        <f t="shared" si="230"/>
        <v>0</v>
      </c>
      <c r="P513" s="158">
        <f t="shared" si="230"/>
        <v>0</v>
      </c>
      <c r="Q513" s="158">
        <f t="shared" si="230"/>
        <v>0</v>
      </c>
      <c r="R513" s="158">
        <f t="shared" si="230"/>
        <v>0</v>
      </c>
      <c r="S513" s="158">
        <f t="shared" si="230"/>
        <v>0</v>
      </c>
      <c r="T513" s="158">
        <f t="shared" si="230"/>
        <v>0</v>
      </c>
      <c r="U513" s="158">
        <f t="shared" si="230"/>
        <v>0</v>
      </c>
      <c r="V513" s="158">
        <f t="shared" si="230"/>
        <v>0</v>
      </c>
      <c r="W513" s="158">
        <f t="shared" si="230"/>
        <v>0</v>
      </c>
      <c r="X513" s="158">
        <f t="shared" si="230"/>
        <v>0</v>
      </c>
      <c r="Y513" s="158">
        <f t="shared" si="230"/>
        <v>0</v>
      </c>
      <c r="Z513" s="158">
        <f t="shared" si="230"/>
        <v>0</v>
      </c>
      <c r="AA513" s="158">
        <f t="shared" si="230"/>
        <v>0</v>
      </c>
      <c r="AB513" s="158">
        <f t="shared" si="230"/>
        <v>0</v>
      </c>
      <c r="AC513" s="158">
        <f t="shared" si="230"/>
        <v>0</v>
      </c>
      <c r="AD513" s="158">
        <f t="shared" si="230"/>
        <v>0</v>
      </c>
      <c r="AE513" s="158">
        <f t="shared" si="230"/>
        <v>0</v>
      </c>
      <c r="AF513" s="158">
        <f t="shared" si="230"/>
        <v>0</v>
      </c>
      <c r="AG513" s="158">
        <f t="shared" si="230"/>
        <v>0</v>
      </c>
      <c r="AH513" s="158">
        <f t="shared" si="230"/>
        <v>0</v>
      </c>
      <c r="AI513" s="158">
        <f t="shared" si="230"/>
        <v>0</v>
      </c>
      <c r="AJ513" s="158">
        <f t="shared" si="230"/>
        <v>0</v>
      </c>
      <c r="AK513" s="158">
        <f t="shared" si="230"/>
        <v>0</v>
      </c>
      <c r="AL513" s="158">
        <f t="shared" si="230"/>
        <v>0</v>
      </c>
      <c r="AM513" s="158">
        <f t="shared" si="230"/>
        <v>0</v>
      </c>
      <c r="AN513" s="158">
        <f t="shared" si="230"/>
        <v>0</v>
      </c>
      <c r="AO513" s="158">
        <f t="shared" si="230"/>
        <v>0</v>
      </c>
      <c r="AP513" s="158">
        <f t="shared" si="230"/>
        <v>0</v>
      </c>
    </row>
    <row r="514" spans="1:42" x14ac:dyDescent="0.2">
      <c r="A514" s="4">
        <f t="shared" si="229"/>
        <v>4</v>
      </c>
      <c r="C514" s="158">
        <f t="shared" ref="C514:AP514" si="231">C377</f>
        <v>0</v>
      </c>
      <c r="D514" s="158">
        <f t="shared" si="231"/>
        <v>0</v>
      </c>
      <c r="E514" s="158">
        <f t="shared" si="231"/>
        <v>0</v>
      </c>
      <c r="F514" s="158">
        <f t="shared" si="231"/>
        <v>0</v>
      </c>
      <c r="G514" s="158">
        <f t="shared" si="231"/>
        <v>0</v>
      </c>
      <c r="H514" s="158">
        <f t="shared" si="231"/>
        <v>0</v>
      </c>
      <c r="I514" s="158">
        <f t="shared" si="231"/>
        <v>0</v>
      </c>
      <c r="J514" s="158">
        <f t="shared" si="231"/>
        <v>0</v>
      </c>
      <c r="K514" s="158">
        <f t="shared" si="231"/>
        <v>0</v>
      </c>
      <c r="L514" s="158">
        <f t="shared" si="231"/>
        <v>0</v>
      </c>
      <c r="M514" s="158">
        <f t="shared" si="231"/>
        <v>0</v>
      </c>
      <c r="N514" s="158">
        <f t="shared" si="231"/>
        <v>0</v>
      </c>
      <c r="O514" s="158">
        <f t="shared" si="231"/>
        <v>0</v>
      </c>
      <c r="P514" s="158">
        <f t="shared" si="231"/>
        <v>0</v>
      </c>
      <c r="Q514" s="158">
        <f t="shared" si="231"/>
        <v>0</v>
      </c>
      <c r="R514" s="158">
        <f t="shared" si="231"/>
        <v>0</v>
      </c>
      <c r="S514" s="158">
        <f t="shared" si="231"/>
        <v>0</v>
      </c>
      <c r="T514" s="158">
        <f t="shared" si="231"/>
        <v>0</v>
      </c>
      <c r="U514" s="158">
        <f t="shared" si="231"/>
        <v>0</v>
      </c>
      <c r="V514" s="158">
        <f t="shared" si="231"/>
        <v>0</v>
      </c>
      <c r="W514" s="158">
        <f t="shared" si="231"/>
        <v>0</v>
      </c>
      <c r="X514" s="158">
        <f t="shared" si="231"/>
        <v>0</v>
      </c>
      <c r="Y514" s="158">
        <f t="shared" si="231"/>
        <v>0</v>
      </c>
      <c r="Z514" s="158">
        <f t="shared" si="231"/>
        <v>0</v>
      </c>
      <c r="AA514" s="158">
        <f t="shared" si="231"/>
        <v>0</v>
      </c>
      <c r="AB514" s="158">
        <f t="shared" si="231"/>
        <v>0</v>
      </c>
      <c r="AC514" s="158">
        <f t="shared" si="231"/>
        <v>0</v>
      </c>
      <c r="AD514" s="158">
        <f t="shared" si="231"/>
        <v>0</v>
      </c>
      <c r="AE514" s="158">
        <f t="shared" si="231"/>
        <v>0</v>
      </c>
      <c r="AF514" s="158">
        <f t="shared" si="231"/>
        <v>0</v>
      </c>
      <c r="AG514" s="158">
        <f t="shared" si="231"/>
        <v>0</v>
      </c>
      <c r="AH514" s="158">
        <f t="shared" si="231"/>
        <v>0</v>
      </c>
      <c r="AI514" s="158">
        <f t="shared" si="231"/>
        <v>0</v>
      </c>
      <c r="AJ514" s="158">
        <f t="shared" si="231"/>
        <v>0</v>
      </c>
      <c r="AK514" s="158">
        <f t="shared" si="231"/>
        <v>0</v>
      </c>
      <c r="AL514" s="158">
        <f t="shared" si="231"/>
        <v>0</v>
      </c>
      <c r="AM514" s="158">
        <f t="shared" si="231"/>
        <v>0</v>
      </c>
      <c r="AN514" s="158">
        <f t="shared" si="231"/>
        <v>0</v>
      </c>
      <c r="AO514" s="158">
        <f t="shared" si="231"/>
        <v>0</v>
      </c>
      <c r="AP514" s="158">
        <f t="shared" si="231"/>
        <v>0</v>
      </c>
    </row>
    <row r="515" spans="1:42" x14ac:dyDescent="0.2">
      <c r="A515" s="4">
        <f t="shared" si="229"/>
        <v>5</v>
      </c>
      <c r="C515" s="158">
        <f t="shared" ref="C515:AP515" si="232">C378</f>
        <v>0</v>
      </c>
      <c r="D515" s="158">
        <f t="shared" si="232"/>
        <v>0</v>
      </c>
      <c r="E515" s="158">
        <f t="shared" si="232"/>
        <v>0</v>
      </c>
      <c r="F515" s="158">
        <f t="shared" si="232"/>
        <v>0</v>
      </c>
      <c r="G515" s="158">
        <f t="shared" si="232"/>
        <v>0</v>
      </c>
      <c r="H515" s="158">
        <f t="shared" si="232"/>
        <v>0</v>
      </c>
      <c r="I515" s="158">
        <f t="shared" si="232"/>
        <v>0</v>
      </c>
      <c r="J515" s="158">
        <f t="shared" si="232"/>
        <v>0</v>
      </c>
      <c r="K515" s="158">
        <f t="shared" si="232"/>
        <v>0</v>
      </c>
      <c r="L515" s="158">
        <f t="shared" si="232"/>
        <v>0</v>
      </c>
      <c r="M515" s="158">
        <f t="shared" si="232"/>
        <v>0</v>
      </c>
      <c r="N515" s="158">
        <f t="shared" si="232"/>
        <v>0</v>
      </c>
      <c r="O515" s="158">
        <f t="shared" si="232"/>
        <v>0</v>
      </c>
      <c r="P515" s="158">
        <f t="shared" si="232"/>
        <v>0</v>
      </c>
      <c r="Q515" s="158">
        <f t="shared" si="232"/>
        <v>0</v>
      </c>
      <c r="R515" s="158">
        <f t="shared" si="232"/>
        <v>0</v>
      </c>
      <c r="S515" s="158">
        <f t="shared" si="232"/>
        <v>0</v>
      </c>
      <c r="T515" s="158">
        <f t="shared" si="232"/>
        <v>0</v>
      </c>
      <c r="U515" s="158">
        <f t="shared" si="232"/>
        <v>0</v>
      </c>
      <c r="V515" s="158">
        <f t="shared" si="232"/>
        <v>0</v>
      </c>
      <c r="W515" s="158">
        <f t="shared" si="232"/>
        <v>0</v>
      </c>
      <c r="X515" s="158">
        <f t="shared" si="232"/>
        <v>0</v>
      </c>
      <c r="Y515" s="158">
        <f t="shared" si="232"/>
        <v>0</v>
      </c>
      <c r="Z515" s="158">
        <f t="shared" si="232"/>
        <v>0</v>
      </c>
      <c r="AA515" s="158">
        <f t="shared" si="232"/>
        <v>0</v>
      </c>
      <c r="AB515" s="158">
        <f t="shared" si="232"/>
        <v>0</v>
      </c>
      <c r="AC515" s="158">
        <f t="shared" si="232"/>
        <v>0</v>
      </c>
      <c r="AD515" s="158">
        <f t="shared" si="232"/>
        <v>0</v>
      </c>
      <c r="AE515" s="158">
        <f t="shared" si="232"/>
        <v>0</v>
      </c>
      <c r="AF515" s="158">
        <f t="shared" si="232"/>
        <v>0</v>
      </c>
      <c r="AG515" s="158">
        <f t="shared" si="232"/>
        <v>0</v>
      </c>
      <c r="AH515" s="158">
        <f t="shared" si="232"/>
        <v>0</v>
      </c>
      <c r="AI515" s="158">
        <f t="shared" si="232"/>
        <v>0</v>
      </c>
      <c r="AJ515" s="158">
        <f t="shared" si="232"/>
        <v>0</v>
      </c>
      <c r="AK515" s="158">
        <f t="shared" si="232"/>
        <v>0</v>
      </c>
      <c r="AL515" s="158">
        <f t="shared" si="232"/>
        <v>0</v>
      </c>
      <c r="AM515" s="158">
        <f t="shared" si="232"/>
        <v>0</v>
      </c>
      <c r="AN515" s="158">
        <f t="shared" si="232"/>
        <v>0</v>
      </c>
      <c r="AO515" s="158">
        <f t="shared" si="232"/>
        <v>0</v>
      </c>
      <c r="AP515" s="158">
        <f t="shared" si="232"/>
        <v>0</v>
      </c>
    </row>
    <row r="516" spans="1:42" x14ac:dyDescent="0.2">
      <c r="A516" s="4">
        <f t="shared" si="229"/>
        <v>6</v>
      </c>
      <c r="C516" s="158">
        <f t="shared" ref="C516:AP516" si="233">C379</f>
        <v>0</v>
      </c>
      <c r="D516" s="158">
        <f t="shared" si="233"/>
        <v>0</v>
      </c>
      <c r="E516" s="158">
        <f t="shared" si="233"/>
        <v>0</v>
      </c>
      <c r="F516" s="158">
        <f t="shared" si="233"/>
        <v>0</v>
      </c>
      <c r="G516" s="158">
        <f t="shared" si="233"/>
        <v>0</v>
      </c>
      <c r="H516" s="158">
        <f t="shared" si="233"/>
        <v>0</v>
      </c>
      <c r="I516" s="158">
        <f t="shared" si="233"/>
        <v>0</v>
      </c>
      <c r="J516" s="158">
        <f t="shared" si="233"/>
        <v>0</v>
      </c>
      <c r="K516" s="158">
        <f t="shared" si="233"/>
        <v>0</v>
      </c>
      <c r="L516" s="158">
        <f t="shared" si="233"/>
        <v>0</v>
      </c>
      <c r="M516" s="158">
        <f t="shared" si="233"/>
        <v>0</v>
      </c>
      <c r="N516" s="158">
        <f t="shared" si="233"/>
        <v>0</v>
      </c>
      <c r="O516" s="158">
        <f t="shared" si="233"/>
        <v>0</v>
      </c>
      <c r="P516" s="158">
        <f t="shared" si="233"/>
        <v>0</v>
      </c>
      <c r="Q516" s="158">
        <f t="shared" si="233"/>
        <v>0</v>
      </c>
      <c r="R516" s="158">
        <f t="shared" si="233"/>
        <v>0</v>
      </c>
      <c r="S516" s="158">
        <f t="shared" si="233"/>
        <v>0</v>
      </c>
      <c r="T516" s="158">
        <f t="shared" si="233"/>
        <v>0</v>
      </c>
      <c r="U516" s="158">
        <f t="shared" si="233"/>
        <v>0</v>
      </c>
      <c r="V516" s="158">
        <f t="shared" si="233"/>
        <v>0</v>
      </c>
      <c r="W516" s="158">
        <f t="shared" si="233"/>
        <v>0</v>
      </c>
      <c r="X516" s="158">
        <f t="shared" si="233"/>
        <v>0</v>
      </c>
      <c r="Y516" s="158">
        <f t="shared" si="233"/>
        <v>0</v>
      </c>
      <c r="Z516" s="158">
        <f t="shared" si="233"/>
        <v>0</v>
      </c>
      <c r="AA516" s="158">
        <f t="shared" si="233"/>
        <v>0</v>
      </c>
      <c r="AB516" s="158">
        <f t="shared" si="233"/>
        <v>0</v>
      </c>
      <c r="AC516" s="158">
        <f t="shared" si="233"/>
        <v>0</v>
      </c>
      <c r="AD516" s="158">
        <f t="shared" si="233"/>
        <v>0</v>
      </c>
      <c r="AE516" s="158">
        <f t="shared" si="233"/>
        <v>0</v>
      </c>
      <c r="AF516" s="158">
        <f t="shared" si="233"/>
        <v>0</v>
      </c>
      <c r="AG516" s="158">
        <f t="shared" si="233"/>
        <v>0</v>
      </c>
      <c r="AH516" s="158">
        <f t="shared" si="233"/>
        <v>0</v>
      </c>
      <c r="AI516" s="158">
        <f t="shared" si="233"/>
        <v>0</v>
      </c>
      <c r="AJ516" s="158">
        <f t="shared" si="233"/>
        <v>0</v>
      </c>
      <c r="AK516" s="158">
        <f t="shared" si="233"/>
        <v>0</v>
      </c>
      <c r="AL516" s="158">
        <f t="shared" si="233"/>
        <v>0</v>
      </c>
      <c r="AM516" s="158">
        <f t="shared" si="233"/>
        <v>0</v>
      </c>
      <c r="AN516" s="158">
        <f t="shared" si="233"/>
        <v>0</v>
      </c>
      <c r="AO516" s="158">
        <f t="shared" si="233"/>
        <v>0</v>
      </c>
      <c r="AP516" s="158">
        <f t="shared" si="233"/>
        <v>0</v>
      </c>
    </row>
    <row r="517" spans="1:42" x14ac:dyDescent="0.2">
      <c r="A517" s="4">
        <f t="shared" si="229"/>
        <v>7</v>
      </c>
      <c r="C517" s="158">
        <f t="shared" ref="C517:AP517" si="234">C380</f>
        <v>0</v>
      </c>
      <c r="D517" s="158">
        <f t="shared" si="234"/>
        <v>0</v>
      </c>
      <c r="E517" s="158">
        <f t="shared" si="234"/>
        <v>0</v>
      </c>
      <c r="F517" s="158">
        <f t="shared" si="234"/>
        <v>0</v>
      </c>
      <c r="G517" s="158">
        <f t="shared" si="234"/>
        <v>0</v>
      </c>
      <c r="H517" s="158">
        <f t="shared" si="234"/>
        <v>0</v>
      </c>
      <c r="I517" s="158">
        <f t="shared" si="234"/>
        <v>0</v>
      </c>
      <c r="J517" s="158">
        <f t="shared" si="234"/>
        <v>0</v>
      </c>
      <c r="K517" s="158">
        <f t="shared" si="234"/>
        <v>0</v>
      </c>
      <c r="L517" s="158">
        <f t="shared" si="234"/>
        <v>0</v>
      </c>
      <c r="M517" s="158">
        <f t="shared" si="234"/>
        <v>0</v>
      </c>
      <c r="N517" s="158">
        <f t="shared" si="234"/>
        <v>0</v>
      </c>
      <c r="O517" s="158">
        <f t="shared" si="234"/>
        <v>0</v>
      </c>
      <c r="P517" s="158">
        <f t="shared" si="234"/>
        <v>0</v>
      </c>
      <c r="Q517" s="158">
        <f t="shared" si="234"/>
        <v>0</v>
      </c>
      <c r="R517" s="158">
        <f t="shared" si="234"/>
        <v>0</v>
      </c>
      <c r="S517" s="158">
        <f t="shared" si="234"/>
        <v>0</v>
      </c>
      <c r="T517" s="158">
        <f t="shared" si="234"/>
        <v>0</v>
      </c>
      <c r="U517" s="158">
        <f t="shared" si="234"/>
        <v>0</v>
      </c>
      <c r="V517" s="158">
        <f t="shared" si="234"/>
        <v>0</v>
      </c>
      <c r="W517" s="158">
        <f t="shared" si="234"/>
        <v>0</v>
      </c>
      <c r="X517" s="158">
        <f t="shared" si="234"/>
        <v>0</v>
      </c>
      <c r="Y517" s="158">
        <f t="shared" si="234"/>
        <v>0</v>
      </c>
      <c r="Z517" s="158">
        <f t="shared" si="234"/>
        <v>0</v>
      </c>
      <c r="AA517" s="158">
        <f t="shared" si="234"/>
        <v>0</v>
      </c>
      <c r="AB517" s="158">
        <f t="shared" si="234"/>
        <v>0</v>
      </c>
      <c r="AC517" s="158">
        <f t="shared" si="234"/>
        <v>0</v>
      </c>
      <c r="AD517" s="158">
        <f t="shared" si="234"/>
        <v>0</v>
      </c>
      <c r="AE517" s="158">
        <f t="shared" si="234"/>
        <v>0</v>
      </c>
      <c r="AF517" s="158">
        <f t="shared" si="234"/>
        <v>0</v>
      </c>
      <c r="AG517" s="158">
        <f t="shared" si="234"/>
        <v>0</v>
      </c>
      <c r="AH517" s="158">
        <f t="shared" si="234"/>
        <v>0</v>
      </c>
      <c r="AI517" s="158">
        <f t="shared" si="234"/>
        <v>0</v>
      </c>
      <c r="AJ517" s="158">
        <f t="shared" si="234"/>
        <v>0</v>
      </c>
      <c r="AK517" s="158">
        <f t="shared" si="234"/>
        <v>0</v>
      </c>
      <c r="AL517" s="158">
        <f t="shared" si="234"/>
        <v>0</v>
      </c>
      <c r="AM517" s="158">
        <f t="shared" si="234"/>
        <v>0</v>
      </c>
      <c r="AN517" s="158">
        <f t="shared" si="234"/>
        <v>0</v>
      </c>
      <c r="AO517" s="158">
        <f t="shared" si="234"/>
        <v>0</v>
      </c>
      <c r="AP517" s="158">
        <f t="shared" si="234"/>
        <v>0</v>
      </c>
    </row>
    <row r="518" spans="1:42" x14ac:dyDescent="0.2">
      <c r="A518" s="4">
        <f t="shared" si="229"/>
        <v>8</v>
      </c>
      <c r="C518" s="158">
        <f t="shared" ref="C518:AP518" si="235">C381</f>
        <v>0</v>
      </c>
      <c r="D518" s="158">
        <f t="shared" si="235"/>
        <v>0</v>
      </c>
      <c r="E518" s="158">
        <f t="shared" si="235"/>
        <v>0</v>
      </c>
      <c r="F518" s="158">
        <f t="shared" si="235"/>
        <v>0</v>
      </c>
      <c r="G518" s="158">
        <f t="shared" si="235"/>
        <v>0</v>
      </c>
      <c r="H518" s="158">
        <f t="shared" si="235"/>
        <v>0</v>
      </c>
      <c r="I518" s="158">
        <f t="shared" si="235"/>
        <v>0</v>
      </c>
      <c r="J518" s="158">
        <f t="shared" si="235"/>
        <v>0</v>
      </c>
      <c r="K518" s="158">
        <f t="shared" si="235"/>
        <v>0</v>
      </c>
      <c r="L518" s="158">
        <f t="shared" si="235"/>
        <v>0</v>
      </c>
      <c r="M518" s="158">
        <f t="shared" si="235"/>
        <v>0</v>
      </c>
      <c r="N518" s="158">
        <f t="shared" si="235"/>
        <v>0</v>
      </c>
      <c r="O518" s="158">
        <f t="shared" si="235"/>
        <v>0</v>
      </c>
      <c r="P518" s="158">
        <f t="shared" si="235"/>
        <v>0</v>
      </c>
      <c r="Q518" s="158">
        <f t="shared" si="235"/>
        <v>0</v>
      </c>
      <c r="R518" s="158">
        <f t="shared" si="235"/>
        <v>0</v>
      </c>
      <c r="S518" s="158">
        <f t="shared" si="235"/>
        <v>0</v>
      </c>
      <c r="T518" s="158">
        <f t="shared" si="235"/>
        <v>0</v>
      </c>
      <c r="U518" s="158">
        <f t="shared" si="235"/>
        <v>0</v>
      </c>
      <c r="V518" s="158">
        <f t="shared" si="235"/>
        <v>0</v>
      </c>
      <c r="W518" s="158">
        <f t="shared" si="235"/>
        <v>0</v>
      </c>
      <c r="X518" s="158">
        <f t="shared" si="235"/>
        <v>0</v>
      </c>
      <c r="Y518" s="158">
        <f t="shared" si="235"/>
        <v>0</v>
      </c>
      <c r="Z518" s="158">
        <f t="shared" si="235"/>
        <v>0</v>
      </c>
      <c r="AA518" s="158">
        <f t="shared" si="235"/>
        <v>0</v>
      </c>
      <c r="AB518" s="158">
        <f t="shared" si="235"/>
        <v>0</v>
      </c>
      <c r="AC518" s="158">
        <f t="shared" si="235"/>
        <v>0</v>
      </c>
      <c r="AD518" s="158">
        <f t="shared" si="235"/>
        <v>0</v>
      </c>
      <c r="AE518" s="158">
        <f t="shared" si="235"/>
        <v>0</v>
      </c>
      <c r="AF518" s="158">
        <f t="shared" si="235"/>
        <v>0</v>
      </c>
      <c r="AG518" s="158">
        <f t="shared" si="235"/>
        <v>0</v>
      </c>
      <c r="AH518" s="158">
        <f t="shared" si="235"/>
        <v>0</v>
      </c>
      <c r="AI518" s="158">
        <f t="shared" si="235"/>
        <v>0</v>
      </c>
      <c r="AJ518" s="158">
        <f t="shared" si="235"/>
        <v>0</v>
      </c>
      <c r="AK518" s="158">
        <f t="shared" si="235"/>
        <v>0</v>
      </c>
      <c r="AL518" s="158">
        <f t="shared" si="235"/>
        <v>0</v>
      </c>
      <c r="AM518" s="158">
        <f t="shared" si="235"/>
        <v>0</v>
      </c>
      <c r="AN518" s="158">
        <f t="shared" si="235"/>
        <v>0</v>
      </c>
      <c r="AO518" s="158">
        <f t="shared" si="235"/>
        <v>0</v>
      </c>
      <c r="AP518" s="158">
        <f t="shared" si="235"/>
        <v>0</v>
      </c>
    </row>
    <row r="519" spans="1:42" x14ac:dyDescent="0.2">
      <c r="A519" s="4">
        <f>A518+1</f>
        <v>9</v>
      </c>
      <c r="C519" s="158">
        <f t="shared" ref="C519:AP519" si="236">C382</f>
        <v>0</v>
      </c>
      <c r="D519" s="158">
        <f t="shared" si="236"/>
        <v>0</v>
      </c>
      <c r="E519" s="158">
        <f t="shared" si="236"/>
        <v>0</v>
      </c>
      <c r="F519" s="158">
        <f t="shared" si="236"/>
        <v>0</v>
      </c>
      <c r="G519" s="158">
        <f t="shared" si="236"/>
        <v>0</v>
      </c>
      <c r="H519" s="158">
        <f t="shared" si="236"/>
        <v>0</v>
      </c>
      <c r="I519" s="158">
        <f t="shared" si="236"/>
        <v>0</v>
      </c>
      <c r="J519" s="158">
        <f t="shared" si="236"/>
        <v>0</v>
      </c>
      <c r="K519" s="158">
        <f t="shared" si="236"/>
        <v>0</v>
      </c>
      <c r="L519" s="158">
        <f t="shared" si="236"/>
        <v>0</v>
      </c>
      <c r="M519" s="158">
        <f t="shared" si="236"/>
        <v>0</v>
      </c>
      <c r="N519" s="158">
        <f t="shared" si="236"/>
        <v>0</v>
      </c>
      <c r="O519" s="158">
        <f t="shared" si="236"/>
        <v>0</v>
      </c>
      <c r="P519" s="158">
        <f t="shared" si="236"/>
        <v>0</v>
      </c>
      <c r="Q519" s="158">
        <f t="shared" si="236"/>
        <v>0</v>
      </c>
      <c r="R519" s="158">
        <f t="shared" si="236"/>
        <v>0</v>
      </c>
      <c r="S519" s="158">
        <f t="shared" si="236"/>
        <v>0</v>
      </c>
      <c r="T519" s="158">
        <f t="shared" si="236"/>
        <v>0</v>
      </c>
      <c r="U519" s="158">
        <f t="shared" si="236"/>
        <v>0</v>
      </c>
      <c r="V519" s="158">
        <f t="shared" si="236"/>
        <v>0</v>
      </c>
      <c r="W519" s="158">
        <f t="shared" si="236"/>
        <v>0</v>
      </c>
      <c r="X519" s="158">
        <f t="shared" si="236"/>
        <v>0</v>
      </c>
      <c r="Y519" s="158">
        <f t="shared" si="236"/>
        <v>0</v>
      </c>
      <c r="Z519" s="158">
        <f t="shared" si="236"/>
        <v>0</v>
      </c>
      <c r="AA519" s="158">
        <f t="shared" si="236"/>
        <v>0</v>
      </c>
      <c r="AB519" s="158">
        <f t="shared" si="236"/>
        <v>0</v>
      </c>
      <c r="AC519" s="158">
        <f t="shared" si="236"/>
        <v>0</v>
      </c>
      <c r="AD519" s="158">
        <f t="shared" si="236"/>
        <v>0</v>
      </c>
      <c r="AE519" s="158">
        <f t="shared" si="236"/>
        <v>0</v>
      </c>
      <c r="AF519" s="158">
        <f t="shared" si="236"/>
        <v>0</v>
      </c>
      <c r="AG519" s="158">
        <f t="shared" si="236"/>
        <v>0</v>
      </c>
      <c r="AH519" s="158">
        <f t="shared" si="236"/>
        <v>0</v>
      </c>
      <c r="AI519" s="158">
        <f t="shared" si="236"/>
        <v>0</v>
      </c>
      <c r="AJ519" s="158">
        <f t="shared" si="236"/>
        <v>0</v>
      </c>
      <c r="AK519" s="158">
        <f t="shared" si="236"/>
        <v>0</v>
      </c>
      <c r="AL519" s="158">
        <f t="shared" si="236"/>
        <v>0</v>
      </c>
      <c r="AM519" s="158">
        <f t="shared" si="236"/>
        <v>0</v>
      </c>
      <c r="AN519" s="158">
        <f t="shared" si="236"/>
        <v>0</v>
      </c>
      <c r="AO519" s="158">
        <f t="shared" si="236"/>
        <v>0</v>
      </c>
      <c r="AP519" s="158">
        <f t="shared" si="236"/>
        <v>0</v>
      </c>
    </row>
    <row r="520" spans="1:42" x14ac:dyDescent="0.2">
      <c r="A520" s="4">
        <f t="shared" ref="A520" si="237">A519+1</f>
        <v>10</v>
      </c>
      <c r="C520" s="158">
        <f t="shared" ref="C520:AP520" si="238">C383</f>
        <v>0</v>
      </c>
      <c r="D520" s="158">
        <f t="shared" si="238"/>
        <v>0</v>
      </c>
      <c r="E520" s="158">
        <f t="shared" si="238"/>
        <v>0</v>
      </c>
      <c r="F520" s="158">
        <f t="shared" si="238"/>
        <v>0</v>
      </c>
      <c r="G520" s="158">
        <f t="shared" si="238"/>
        <v>0</v>
      </c>
      <c r="H520" s="158">
        <f t="shared" si="238"/>
        <v>0</v>
      </c>
      <c r="I520" s="158">
        <f t="shared" si="238"/>
        <v>0</v>
      </c>
      <c r="J520" s="158">
        <f t="shared" si="238"/>
        <v>0</v>
      </c>
      <c r="K520" s="158">
        <f t="shared" si="238"/>
        <v>0</v>
      </c>
      <c r="L520" s="158">
        <f t="shared" si="238"/>
        <v>0</v>
      </c>
      <c r="M520" s="158">
        <f t="shared" si="238"/>
        <v>0</v>
      </c>
      <c r="N520" s="158">
        <f t="shared" si="238"/>
        <v>0</v>
      </c>
      <c r="O520" s="158">
        <f t="shared" si="238"/>
        <v>0</v>
      </c>
      <c r="P520" s="158">
        <f t="shared" si="238"/>
        <v>0</v>
      </c>
      <c r="Q520" s="158">
        <f t="shared" si="238"/>
        <v>0</v>
      </c>
      <c r="R520" s="158">
        <f t="shared" si="238"/>
        <v>0</v>
      </c>
      <c r="S520" s="158">
        <f t="shared" si="238"/>
        <v>0</v>
      </c>
      <c r="T520" s="158">
        <f t="shared" si="238"/>
        <v>0</v>
      </c>
      <c r="U520" s="158">
        <f t="shared" si="238"/>
        <v>0</v>
      </c>
      <c r="V520" s="158">
        <f t="shared" si="238"/>
        <v>0</v>
      </c>
      <c r="W520" s="158">
        <f t="shared" si="238"/>
        <v>0</v>
      </c>
      <c r="X520" s="158">
        <f t="shared" si="238"/>
        <v>0</v>
      </c>
      <c r="Y520" s="158">
        <f t="shared" si="238"/>
        <v>0</v>
      </c>
      <c r="Z520" s="158">
        <f t="shared" si="238"/>
        <v>0</v>
      </c>
      <c r="AA520" s="158">
        <f t="shared" si="238"/>
        <v>0</v>
      </c>
      <c r="AB520" s="158">
        <f t="shared" si="238"/>
        <v>0</v>
      </c>
      <c r="AC520" s="158">
        <f t="shared" si="238"/>
        <v>0</v>
      </c>
      <c r="AD520" s="158">
        <f t="shared" si="238"/>
        <v>0</v>
      </c>
      <c r="AE520" s="158">
        <f t="shared" si="238"/>
        <v>0</v>
      </c>
      <c r="AF520" s="158">
        <f t="shared" si="238"/>
        <v>0</v>
      </c>
      <c r="AG520" s="158">
        <f t="shared" si="238"/>
        <v>0</v>
      </c>
      <c r="AH520" s="158">
        <f t="shared" si="238"/>
        <v>0</v>
      </c>
      <c r="AI520" s="158">
        <f t="shared" si="238"/>
        <v>0</v>
      </c>
      <c r="AJ520" s="158">
        <f t="shared" si="238"/>
        <v>0</v>
      </c>
      <c r="AK520" s="158">
        <f t="shared" si="238"/>
        <v>0</v>
      </c>
      <c r="AL520" s="158">
        <f t="shared" si="238"/>
        <v>0</v>
      </c>
      <c r="AM520" s="158">
        <f t="shared" si="238"/>
        <v>0</v>
      </c>
      <c r="AN520" s="158">
        <f t="shared" si="238"/>
        <v>0</v>
      </c>
      <c r="AO520" s="158">
        <f t="shared" si="238"/>
        <v>0</v>
      </c>
      <c r="AP520" s="158">
        <f t="shared" si="238"/>
        <v>0</v>
      </c>
    </row>
    <row r="521" spans="1:42" x14ac:dyDescent="0.2">
      <c r="A521" s="22"/>
      <c r="C521" s="158"/>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5"/>
    </row>
    <row r="522" spans="1:42" x14ac:dyDescent="0.2">
      <c r="A522" s="22" t="s">
        <v>81</v>
      </c>
      <c r="C522" s="158"/>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5"/>
    </row>
    <row r="523" spans="1:42" x14ac:dyDescent="0.2">
      <c r="A523" s="4">
        <v>1</v>
      </c>
      <c r="B523" s="149">
        <f t="shared" ref="B523:B532" si="239">SUM(C523:AP523)</f>
        <v>0</v>
      </c>
      <c r="C523" s="158">
        <f t="shared" ref="C523:AP523" si="240">LOOKUP(C511,$B$480:$AP$480,$B$481:$AP$481)*$B716/100</f>
        <v>0</v>
      </c>
      <c r="D523" s="158">
        <f t="shared" si="240"/>
        <v>0</v>
      </c>
      <c r="E523" s="158">
        <f t="shared" si="240"/>
        <v>0</v>
      </c>
      <c r="F523" s="158">
        <f t="shared" si="240"/>
        <v>0</v>
      </c>
      <c r="G523" s="158">
        <f t="shared" si="240"/>
        <v>0</v>
      </c>
      <c r="H523" s="158">
        <f t="shared" si="240"/>
        <v>0</v>
      </c>
      <c r="I523" s="158">
        <f t="shared" si="240"/>
        <v>0</v>
      </c>
      <c r="J523" s="158">
        <f t="shared" si="240"/>
        <v>0</v>
      </c>
      <c r="K523" s="158">
        <f t="shared" si="240"/>
        <v>0</v>
      </c>
      <c r="L523" s="158">
        <f t="shared" si="240"/>
        <v>0</v>
      </c>
      <c r="M523" s="158">
        <f t="shared" si="240"/>
        <v>0</v>
      </c>
      <c r="N523" s="158">
        <f t="shared" si="240"/>
        <v>0</v>
      </c>
      <c r="O523" s="158">
        <f t="shared" si="240"/>
        <v>0</v>
      </c>
      <c r="P523" s="158">
        <f t="shared" si="240"/>
        <v>0</v>
      </c>
      <c r="Q523" s="158">
        <f t="shared" si="240"/>
        <v>0</v>
      </c>
      <c r="R523" s="158">
        <f t="shared" si="240"/>
        <v>0</v>
      </c>
      <c r="S523" s="158">
        <f t="shared" si="240"/>
        <v>0</v>
      </c>
      <c r="T523" s="158">
        <f t="shared" si="240"/>
        <v>0</v>
      </c>
      <c r="U523" s="158">
        <f t="shared" si="240"/>
        <v>0</v>
      </c>
      <c r="V523" s="158">
        <f t="shared" si="240"/>
        <v>0</v>
      </c>
      <c r="W523" s="158">
        <f t="shared" si="240"/>
        <v>0</v>
      </c>
      <c r="X523" s="158">
        <f t="shared" si="240"/>
        <v>0</v>
      </c>
      <c r="Y523" s="158">
        <f t="shared" si="240"/>
        <v>0</v>
      </c>
      <c r="Z523" s="158">
        <f t="shared" si="240"/>
        <v>0</v>
      </c>
      <c r="AA523" s="158">
        <f t="shared" si="240"/>
        <v>0</v>
      </c>
      <c r="AB523" s="158">
        <f t="shared" si="240"/>
        <v>0</v>
      </c>
      <c r="AC523" s="158">
        <f t="shared" si="240"/>
        <v>0</v>
      </c>
      <c r="AD523" s="158">
        <f t="shared" si="240"/>
        <v>0</v>
      </c>
      <c r="AE523" s="158">
        <f t="shared" si="240"/>
        <v>0</v>
      </c>
      <c r="AF523" s="158">
        <f t="shared" si="240"/>
        <v>0</v>
      </c>
      <c r="AG523" s="158">
        <f t="shared" si="240"/>
        <v>0</v>
      </c>
      <c r="AH523" s="158">
        <f t="shared" si="240"/>
        <v>0</v>
      </c>
      <c r="AI523" s="158">
        <f t="shared" si="240"/>
        <v>0</v>
      </c>
      <c r="AJ523" s="158">
        <f t="shared" si="240"/>
        <v>0</v>
      </c>
      <c r="AK523" s="158">
        <f t="shared" si="240"/>
        <v>0</v>
      </c>
      <c r="AL523" s="158">
        <f t="shared" si="240"/>
        <v>0</v>
      </c>
      <c r="AM523" s="158">
        <f t="shared" si="240"/>
        <v>0</v>
      </c>
      <c r="AN523" s="158">
        <f t="shared" si="240"/>
        <v>0</v>
      </c>
      <c r="AO523" s="158">
        <f t="shared" si="240"/>
        <v>0</v>
      </c>
      <c r="AP523" s="158">
        <f t="shared" si="240"/>
        <v>0</v>
      </c>
    </row>
    <row r="524" spans="1:42" x14ac:dyDescent="0.2">
      <c r="A524" s="4">
        <f>A523+1</f>
        <v>2</v>
      </c>
      <c r="B524" s="149">
        <f t="shared" si="239"/>
        <v>0</v>
      </c>
      <c r="C524" s="158">
        <f t="shared" ref="C524:AP524" si="241">LOOKUP(C512,$B$480:$AP$480,$B$481:$AP$481)*$B717/100</f>
        <v>0</v>
      </c>
      <c r="D524" s="158">
        <f t="shared" si="241"/>
        <v>0</v>
      </c>
      <c r="E524" s="158">
        <f t="shared" si="241"/>
        <v>0</v>
      </c>
      <c r="F524" s="158">
        <f t="shared" si="241"/>
        <v>0</v>
      </c>
      <c r="G524" s="158">
        <f t="shared" si="241"/>
        <v>0</v>
      </c>
      <c r="H524" s="158">
        <f t="shared" si="241"/>
        <v>0</v>
      </c>
      <c r="I524" s="158">
        <f t="shared" si="241"/>
        <v>0</v>
      </c>
      <c r="J524" s="158">
        <f t="shared" si="241"/>
        <v>0</v>
      </c>
      <c r="K524" s="158">
        <f t="shared" si="241"/>
        <v>0</v>
      </c>
      <c r="L524" s="158">
        <f t="shared" si="241"/>
        <v>0</v>
      </c>
      <c r="M524" s="158">
        <f t="shared" si="241"/>
        <v>0</v>
      </c>
      <c r="N524" s="158">
        <f t="shared" si="241"/>
        <v>0</v>
      </c>
      <c r="O524" s="158">
        <f t="shared" si="241"/>
        <v>0</v>
      </c>
      <c r="P524" s="158">
        <f t="shared" si="241"/>
        <v>0</v>
      </c>
      <c r="Q524" s="158">
        <f t="shared" si="241"/>
        <v>0</v>
      </c>
      <c r="R524" s="158">
        <f t="shared" si="241"/>
        <v>0</v>
      </c>
      <c r="S524" s="158">
        <f t="shared" si="241"/>
        <v>0</v>
      </c>
      <c r="T524" s="158">
        <f t="shared" si="241"/>
        <v>0</v>
      </c>
      <c r="U524" s="158">
        <f t="shared" si="241"/>
        <v>0</v>
      </c>
      <c r="V524" s="158">
        <f t="shared" si="241"/>
        <v>0</v>
      </c>
      <c r="W524" s="158">
        <f t="shared" si="241"/>
        <v>0</v>
      </c>
      <c r="X524" s="158">
        <f t="shared" si="241"/>
        <v>0</v>
      </c>
      <c r="Y524" s="158">
        <f t="shared" si="241"/>
        <v>0</v>
      </c>
      <c r="Z524" s="158">
        <f t="shared" si="241"/>
        <v>0</v>
      </c>
      <c r="AA524" s="158">
        <f t="shared" si="241"/>
        <v>0</v>
      </c>
      <c r="AB524" s="158">
        <f t="shared" si="241"/>
        <v>0</v>
      </c>
      <c r="AC524" s="158">
        <f t="shared" si="241"/>
        <v>0</v>
      </c>
      <c r="AD524" s="158">
        <f t="shared" si="241"/>
        <v>0</v>
      </c>
      <c r="AE524" s="158">
        <f t="shared" si="241"/>
        <v>0</v>
      </c>
      <c r="AF524" s="158">
        <f t="shared" si="241"/>
        <v>0</v>
      </c>
      <c r="AG524" s="158">
        <f t="shared" si="241"/>
        <v>0</v>
      </c>
      <c r="AH524" s="158">
        <f t="shared" si="241"/>
        <v>0</v>
      </c>
      <c r="AI524" s="158">
        <f t="shared" si="241"/>
        <v>0</v>
      </c>
      <c r="AJ524" s="158">
        <f t="shared" si="241"/>
        <v>0</v>
      </c>
      <c r="AK524" s="158">
        <f t="shared" si="241"/>
        <v>0</v>
      </c>
      <c r="AL524" s="158">
        <f t="shared" si="241"/>
        <v>0</v>
      </c>
      <c r="AM524" s="158">
        <f t="shared" si="241"/>
        <v>0</v>
      </c>
      <c r="AN524" s="158">
        <f t="shared" si="241"/>
        <v>0</v>
      </c>
      <c r="AO524" s="158">
        <f t="shared" si="241"/>
        <v>0</v>
      </c>
      <c r="AP524" s="158">
        <f t="shared" si="241"/>
        <v>0</v>
      </c>
    </row>
    <row r="525" spans="1:42" x14ac:dyDescent="0.2">
      <c r="A525" s="4">
        <f t="shared" ref="A525:A530" si="242">A524+1</f>
        <v>3</v>
      </c>
      <c r="B525" s="149">
        <f t="shared" si="239"/>
        <v>0</v>
      </c>
      <c r="C525" s="158">
        <f t="shared" ref="C525:AP525" si="243">LOOKUP(C513,$B$480:$AP$480,$B$481:$AP$481)*$B718/100</f>
        <v>0</v>
      </c>
      <c r="D525" s="158">
        <f t="shared" si="243"/>
        <v>0</v>
      </c>
      <c r="E525" s="158">
        <f t="shared" si="243"/>
        <v>0</v>
      </c>
      <c r="F525" s="158">
        <f t="shared" si="243"/>
        <v>0</v>
      </c>
      <c r="G525" s="158">
        <f t="shared" si="243"/>
        <v>0</v>
      </c>
      <c r="H525" s="158">
        <f t="shared" si="243"/>
        <v>0</v>
      </c>
      <c r="I525" s="158">
        <f t="shared" si="243"/>
        <v>0</v>
      </c>
      <c r="J525" s="158">
        <f t="shared" si="243"/>
        <v>0</v>
      </c>
      <c r="K525" s="158">
        <f t="shared" si="243"/>
        <v>0</v>
      </c>
      <c r="L525" s="158">
        <f t="shared" si="243"/>
        <v>0</v>
      </c>
      <c r="M525" s="158">
        <f t="shared" si="243"/>
        <v>0</v>
      </c>
      <c r="N525" s="158">
        <f t="shared" si="243"/>
        <v>0</v>
      </c>
      <c r="O525" s="158">
        <f t="shared" si="243"/>
        <v>0</v>
      </c>
      <c r="P525" s="158">
        <f t="shared" si="243"/>
        <v>0</v>
      </c>
      <c r="Q525" s="158">
        <f t="shared" si="243"/>
        <v>0</v>
      </c>
      <c r="R525" s="158">
        <f t="shared" si="243"/>
        <v>0</v>
      </c>
      <c r="S525" s="158">
        <f t="shared" si="243"/>
        <v>0</v>
      </c>
      <c r="T525" s="158">
        <f t="shared" si="243"/>
        <v>0</v>
      </c>
      <c r="U525" s="158">
        <f t="shared" si="243"/>
        <v>0</v>
      </c>
      <c r="V525" s="158">
        <f t="shared" si="243"/>
        <v>0</v>
      </c>
      <c r="W525" s="158">
        <f t="shared" si="243"/>
        <v>0</v>
      </c>
      <c r="X525" s="158">
        <f t="shared" si="243"/>
        <v>0</v>
      </c>
      <c r="Y525" s="158">
        <f t="shared" si="243"/>
        <v>0</v>
      </c>
      <c r="Z525" s="158">
        <f t="shared" si="243"/>
        <v>0</v>
      </c>
      <c r="AA525" s="158">
        <f t="shared" si="243"/>
        <v>0</v>
      </c>
      <c r="AB525" s="158">
        <f t="shared" si="243"/>
        <v>0</v>
      </c>
      <c r="AC525" s="158">
        <f t="shared" si="243"/>
        <v>0</v>
      </c>
      <c r="AD525" s="158">
        <f t="shared" si="243"/>
        <v>0</v>
      </c>
      <c r="AE525" s="158">
        <f t="shared" si="243"/>
        <v>0</v>
      </c>
      <c r="AF525" s="158">
        <f t="shared" si="243"/>
        <v>0</v>
      </c>
      <c r="AG525" s="158">
        <f t="shared" si="243"/>
        <v>0</v>
      </c>
      <c r="AH525" s="158">
        <f t="shared" si="243"/>
        <v>0</v>
      </c>
      <c r="AI525" s="158">
        <f t="shared" si="243"/>
        <v>0</v>
      </c>
      <c r="AJ525" s="158">
        <f t="shared" si="243"/>
        <v>0</v>
      </c>
      <c r="AK525" s="158">
        <f t="shared" si="243"/>
        <v>0</v>
      </c>
      <c r="AL525" s="158">
        <f t="shared" si="243"/>
        <v>0</v>
      </c>
      <c r="AM525" s="158">
        <f t="shared" si="243"/>
        <v>0</v>
      </c>
      <c r="AN525" s="158">
        <f t="shared" si="243"/>
        <v>0</v>
      </c>
      <c r="AO525" s="158">
        <f t="shared" si="243"/>
        <v>0</v>
      </c>
      <c r="AP525" s="158">
        <f t="shared" si="243"/>
        <v>0</v>
      </c>
    </row>
    <row r="526" spans="1:42" x14ac:dyDescent="0.2">
      <c r="A526" s="4">
        <f t="shared" si="242"/>
        <v>4</v>
      </c>
      <c r="B526" s="149">
        <f t="shared" si="239"/>
        <v>0</v>
      </c>
      <c r="C526" s="158">
        <f t="shared" ref="C526:AP526" si="244">LOOKUP(C514,$B$480:$AP$480,$B$481:$AP$481)*$B719/100</f>
        <v>0</v>
      </c>
      <c r="D526" s="158">
        <f t="shared" si="244"/>
        <v>0</v>
      </c>
      <c r="E526" s="158">
        <f t="shared" si="244"/>
        <v>0</v>
      </c>
      <c r="F526" s="158">
        <f t="shared" si="244"/>
        <v>0</v>
      </c>
      <c r="G526" s="158">
        <f t="shared" si="244"/>
        <v>0</v>
      </c>
      <c r="H526" s="158">
        <f t="shared" si="244"/>
        <v>0</v>
      </c>
      <c r="I526" s="158">
        <f t="shared" si="244"/>
        <v>0</v>
      </c>
      <c r="J526" s="158">
        <f t="shared" si="244"/>
        <v>0</v>
      </c>
      <c r="K526" s="158">
        <f t="shared" si="244"/>
        <v>0</v>
      </c>
      <c r="L526" s="158">
        <f t="shared" si="244"/>
        <v>0</v>
      </c>
      <c r="M526" s="158">
        <f t="shared" si="244"/>
        <v>0</v>
      </c>
      <c r="N526" s="158">
        <f t="shared" si="244"/>
        <v>0</v>
      </c>
      <c r="O526" s="158">
        <f t="shared" si="244"/>
        <v>0</v>
      </c>
      <c r="P526" s="158">
        <f t="shared" si="244"/>
        <v>0</v>
      </c>
      <c r="Q526" s="158">
        <f t="shared" si="244"/>
        <v>0</v>
      </c>
      <c r="R526" s="158">
        <f t="shared" si="244"/>
        <v>0</v>
      </c>
      <c r="S526" s="158">
        <f t="shared" si="244"/>
        <v>0</v>
      </c>
      <c r="T526" s="158">
        <f t="shared" si="244"/>
        <v>0</v>
      </c>
      <c r="U526" s="158">
        <f t="shared" si="244"/>
        <v>0</v>
      </c>
      <c r="V526" s="158">
        <f t="shared" si="244"/>
        <v>0</v>
      </c>
      <c r="W526" s="158">
        <f t="shared" si="244"/>
        <v>0</v>
      </c>
      <c r="X526" s="158">
        <f t="shared" si="244"/>
        <v>0</v>
      </c>
      <c r="Y526" s="158">
        <f t="shared" si="244"/>
        <v>0</v>
      </c>
      <c r="Z526" s="158">
        <f t="shared" si="244"/>
        <v>0</v>
      </c>
      <c r="AA526" s="158">
        <f t="shared" si="244"/>
        <v>0</v>
      </c>
      <c r="AB526" s="158">
        <f t="shared" si="244"/>
        <v>0</v>
      </c>
      <c r="AC526" s="158">
        <f t="shared" si="244"/>
        <v>0</v>
      </c>
      <c r="AD526" s="158">
        <f t="shared" si="244"/>
        <v>0</v>
      </c>
      <c r="AE526" s="158">
        <f t="shared" si="244"/>
        <v>0</v>
      </c>
      <c r="AF526" s="158">
        <f t="shared" si="244"/>
        <v>0</v>
      </c>
      <c r="AG526" s="158">
        <f t="shared" si="244"/>
        <v>0</v>
      </c>
      <c r="AH526" s="158">
        <f t="shared" si="244"/>
        <v>0</v>
      </c>
      <c r="AI526" s="158">
        <f t="shared" si="244"/>
        <v>0</v>
      </c>
      <c r="AJ526" s="158">
        <f t="shared" si="244"/>
        <v>0</v>
      </c>
      <c r="AK526" s="158">
        <f t="shared" si="244"/>
        <v>0</v>
      </c>
      <c r="AL526" s="158">
        <f t="shared" si="244"/>
        <v>0</v>
      </c>
      <c r="AM526" s="158">
        <f t="shared" si="244"/>
        <v>0</v>
      </c>
      <c r="AN526" s="158">
        <f t="shared" si="244"/>
        <v>0</v>
      </c>
      <c r="AO526" s="158">
        <f t="shared" si="244"/>
        <v>0</v>
      </c>
      <c r="AP526" s="158">
        <f t="shared" si="244"/>
        <v>0</v>
      </c>
    </row>
    <row r="527" spans="1:42" x14ac:dyDescent="0.2">
      <c r="A527" s="4">
        <f t="shared" si="242"/>
        <v>5</v>
      </c>
      <c r="B527" s="149">
        <f t="shared" si="239"/>
        <v>0</v>
      </c>
      <c r="C527" s="158">
        <f t="shared" ref="C527:AP527" si="245">LOOKUP(C515,$B$480:$AP$480,$B$481:$AP$481)*$B720/100</f>
        <v>0</v>
      </c>
      <c r="D527" s="158">
        <f t="shared" si="245"/>
        <v>0</v>
      </c>
      <c r="E527" s="158">
        <f t="shared" si="245"/>
        <v>0</v>
      </c>
      <c r="F527" s="158">
        <f t="shared" si="245"/>
        <v>0</v>
      </c>
      <c r="G527" s="158">
        <f t="shared" si="245"/>
        <v>0</v>
      </c>
      <c r="H527" s="158">
        <f t="shared" si="245"/>
        <v>0</v>
      </c>
      <c r="I527" s="158">
        <f t="shared" si="245"/>
        <v>0</v>
      </c>
      <c r="J527" s="158">
        <f t="shared" si="245"/>
        <v>0</v>
      </c>
      <c r="K527" s="158">
        <f t="shared" si="245"/>
        <v>0</v>
      </c>
      <c r="L527" s="158">
        <f t="shared" si="245"/>
        <v>0</v>
      </c>
      <c r="M527" s="158">
        <f t="shared" si="245"/>
        <v>0</v>
      </c>
      <c r="N527" s="158">
        <f t="shared" si="245"/>
        <v>0</v>
      </c>
      <c r="O527" s="158">
        <f t="shared" si="245"/>
        <v>0</v>
      </c>
      <c r="P527" s="158">
        <f t="shared" si="245"/>
        <v>0</v>
      </c>
      <c r="Q527" s="158">
        <f t="shared" si="245"/>
        <v>0</v>
      </c>
      <c r="R527" s="158">
        <f t="shared" si="245"/>
        <v>0</v>
      </c>
      <c r="S527" s="158">
        <f t="shared" si="245"/>
        <v>0</v>
      </c>
      <c r="T527" s="158">
        <f t="shared" si="245"/>
        <v>0</v>
      </c>
      <c r="U527" s="158">
        <f t="shared" si="245"/>
        <v>0</v>
      </c>
      <c r="V527" s="158">
        <f t="shared" si="245"/>
        <v>0</v>
      </c>
      <c r="W527" s="158">
        <f t="shared" si="245"/>
        <v>0</v>
      </c>
      <c r="X527" s="158">
        <f t="shared" si="245"/>
        <v>0</v>
      </c>
      <c r="Y527" s="158">
        <f t="shared" si="245"/>
        <v>0</v>
      </c>
      <c r="Z527" s="158">
        <f t="shared" si="245"/>
        <v>0</v>
      </c>
      <c r="AA527" s="158">
        <f t="shared" si="245"/>
        <v>0</v>
      </c>
      <c r="AB527" s="158">
        <f t="shared" si="245"/>
        <v>0</v>
      </c>
      <c r="AC527" s="158">
        <f t="shared" si="245"/>
        <v>0</v>
      </c>
      <c r="AD527" s="158">
        <f t="shared" si="245"/>
        <v>0</v>
      </c>
      <c r="AE527" s="158">
        <f t="shared" si="245"/>
        <v>0</v>
      </c>
      <c r="AF527" s="158">
        <f t="shared" si="245"/>
        <v>0</v>
      </c>
      <c r="AG527" s="158">
        <f t="shared" si="245"/>
        <v>0</v>
      </c>
      <c r="AH527" s="158">
        <f t="shared" si="245"/>
        <v>0</v>
      </c>
      <c r="AI527" s="158">
        <f t="shared" si="245"/>
        <v>0</v>
      </c>
      <c r="AJ527" s="158">
        <f t="shared" si="245"/>
        <v>0</v>
      </c>
      <c r="AK527" s="158">
        <f t="shared" si="245"/>
        <v>0</v>
      </c>
      <c r="AL527" s="158">
        <f t="shared" si="245"/>
        <v>0</v>
      </c>
      <c r="AM527" s="158">
        <f t="shared" si="245"/>
        <v>0</v>
      </c>
      <c r="AN527" s="158">
        <f t="shared" si="245"/>
        <v>0</v>
      </c>
      <c r="AO527" s="158">
        <f t="shared" si="245"/>
        <v>0</v>
      </c>
      <c r="AP527" s="158">
        <f t="shared" si="245"/>
        <v>0</v>
      </c>
    </row>
    <row r="528" spans="1:42" x14ac:dyDescent="0.2">
      <c r="A528" s="4">
        <f t="shared" si="242"/>
        <v>6</v>
      </c>
      <c r="B528" s="149">
        <f t="shared" si="239"/>
        <v>0</v>
      </c>
      <c r="C528" s="158">
        <f t="shared" ref="C528:AP528" si="246">LOOKUP(C516,$B$480:$AP$480,$B$481:$AP$481)*$B721/100</f>
        <v>0</v>
      </c>
      <c r="D528" s="158">
        <f t="shared" si="246"/>
        <v>0</v>
      </c>
      <c r="E528" s="158">
        <f t="shared" si="246"/>
        <v>0</v>
      </c>
      <c r="F528" s="158">
        <f t="shared" si="246"/>
        <v>0</v>
      </c>
      <c r="G528" s="158">
        <f t="shared" si="246"/>
        <v>0</v>
      </c>
      <c r="H528" s="158">
        <f t="shared" si="246"/>
        <v>0</v>
      </c>
      <c r="I528" s="158">
        <f t="shared" si="246"/>
        <v>0</v>
      </c>
      <c r="J528" s="158">
        <f t="shared" si="246"/>
        <v>0</v>
      </c>
      <c r="K528" s="158">
        <f t="shared" si="246"/>
        <v>0</v>
      </c>
      <c r="L528" s="158">
        <f t="shared" si="246"/>
        <v>0</v>
      </c>
      <c r="M528" s="158">
        <f t="shared" si="246"/>
        <v>0</v>
      </c>
      <c r="N528" s="158">
        <f t="shared" si="246"/>
        <v>0</v>
      </c>
      <c r="O528" s="158">
        <f t="shared" si="246"/>
        <v>0</v>
      </c>
      <c r="P528" s="158">
        <f t="shared" si="246"/>
        <v>0</v>
      </c>
      <c r="Q528" s="158">
        <f t="shared" si="246"/>
        <v>0</v>
      </c>
      <c r="R528" s="158">
        <f t="shared" si="246"/>
        <v>0</v>
      </c>
      <c r="S528" s="158">
        <f t="shared" si="246"/>
        <v>0</v>
      </c>
      <c r="T528" s="158">
        <f t="shared" si="246"/>
        <v>0</v>
      </c>
      <c r="U528" s="158">
        <f t="shared" si="246"/>
        <v>0</v>
      </c>
      <c r="V528" s="158">
        <f t="shared" si="246"/>
        <v>0</v>
      </c>
      <c r="W528" s="158">
        <f t="shared" si="246"/>
        <v>0</v>
      </c>
      <c r="X528" s="158">
        <f t="shared" si="246"/>
        <v>0</v>
      </c>
      <c r="Y528" s="158">
        <f t="shared" si="246"/>
        <v>0</v>
      </c>
      <c r="Z528" s="158">
        <f t="shared" si="246"/>
        <v>0</v>
      </c>
      <c r="AA528" s="158">
        <f t="shared" si="246"/>
        <v>0</v>
      </c>
      <c r="AB528" s="158">
        <f t="shared" si="246"/>
        <v>0</v>
      </c>
      <c r="AC528" s="158">
        <f t="shared" si="246"/>
        <v>0</v>
      </c>
      <c r="AD528" s="158">
        <f t="shared" si="246"/>
        <v>0</v>
      </c>
      <c r="AE528" s="158">
        <f t="shared" si="246"/>
        <v>0</v>
      </c>
      <c r="AF528" s="158">
        <f t="shared" si="246"/>
        <v>0</v>
      </c>
      <c r="AG528" s="158">
        <f t="shared" si="246"/>
        <v>0</v>
      </c>
      <c r="AH528" s="158">
        <f t="shared" si="246"/>
        <v>0</v>
      </c>
      <c r="AI528" s="158">
        <f t="shared" si="246"/>
        <v>0</v>
      </c>
      <c r="AJ528" s="158">
        <f t="shared" si="246"/>
        <v>0</v>
      </c>
      <c r="AK528" s="158">
        <f t="shared" si="246"/>
        <v>0</v>
      </c>
      <c r="AL528" s="158">
        <f t="shared" si="246"/>
        <v>0</v>
      </c>
      <c r="AM528" s="158">
        <f t="shared" si="246"/>
        <v>0</v>
      </c>
      <c r="AN528" s="158">
        <f t="shared" si="246"/>
        <v>0</v>
      </c>
      <c r="AO528" s="158">
        <f t="shared" si="246"/>
        <v>0</v>
      </c>
      <c r="AP528" s="158">
        <f t="shared" si="246"/>
        <v>0</v>
      </c>
    </row>
    <row r="529" spans="1:42" x14ac:dyDescent="0.2">
      <c r="A529" s="4">
        <f t="shared" si="242"/>
        <v>7</v>
      </c>
      <c r="B529" s="149">
        <f t="shared" si="239"/>
        <v>0</v>
      </c>
      <c r="C529" s="158">
        <f t="shared" ref="C529:AP529" si="247">LOOKUP(C517,$B$480:$AP$480,$B$481:$AP$481)*$B722/100</f>
        <v>0</v>
      </c>
      <c r="D529" s="158">
        <f t="shared" si="247"/>
        <v>0</v>
      </c>
      <c r="E529" s="158">
        <f t="shared" si="247"/>
        <v>0</v>
      </c>
      <c r="F529" s="158">
        <f t="shared" si="247"/>
        <v>0</v>
      </c>
      <c r="G529" s="158">
        <f t="shared" si="247"/>
        <v>0</v>
      </c>
      <c r="H529" s="158">
        <f t="shared" si="247"/>
        <v>0</v>
      </c>
      <c r="I529" s="158">
        <f t="shared" si="247"/>
        <v>0</v>
      </c>
      <c r="J529" s="158">
        <f t="shared" si="247"/>
        <v>0</v>
      </c>
      <c r="K529" s="158">
        <f t="shared" si="247"/>
        <v>0</v>
      </c>
      <c r="L529" s="158">
        <f t="shared" si="247"/>
        <v>0</v>
      </c>
      <c r="M529" s="158">
        <f t="shared" si="247"/>
        <v>0</v>
      </c>
      <c r="N529" s="158">
        <f t="shared" si="247"/>
        <v>0</v>
      </c>
      <c r="O529" s="158">
        <f t="shared" si="247"/>
        <v>0</v>
      </c>
      <c r="P529" s="158">
        <f t="shared" si="247"/>
        <v>0</v>
      </c>
      <c r="Q529" s="158">
        <f t="shared" si="247"/>
        <v>0</v>
      </c>
      <c r="R529" s="158">
        <f t="shared" si="247"/>
        <v>0</v>
      </c>
      <c r="S529" s="158">
        <f t="shared" si="247"/>
        <v>0</v>
      </c>
      <c r="T529" s="158">
        <f t="shared" si="247"/>
        <v>0</v>
      </c>
      <c r="U529" s="158">
        <f t="shared" si="247"/>
        <v>0</v>
      </c>
      <c r="V529" s="158">
        <f t="shared" si="247"/>
        <v>0</v>
      </c>
      <c r="W529" s="158">
        <f t="shared" si="247"/>
        <v>0</v>
      </c>
      <c r="X529" s="158">
        <f t="shared" si="247"/>
        <v>0</v>
      </c>
      <c r="Y529" s="158">
        <f t="shared" si="247"/>
        <v>0</v>
      </c>
      <c r="Z529" s="158">
        <f t="shared" si="247"/>
        <v>0</v>
      </c>
      <c r="AA529" s="158">
        <f t="shared" si="247"/>
        <v>0</v>
      </c>
      <c r="AB529" s="158">
        <f t="shared" si="247"/>
        <v>0</v>
      </c>
      <c r="AC529" s="158">
        <f t="shared" si="247"/>
        <v>0</v>
      </c>
      <c r="AD529" s="158">
        <f t="shared" si="247"/>
        <v>0</v>
      </c>
      <c r="AE529" s="158">
        <f t="shared" si="247"/>
        <v>0</v>
      </c>
      <c r="AF529" s="158">
        <f t="shared" si="247"/>
        <v>0</v>
      </c>
      <c r="AG529" s="158">
        <f t="shared" si="247"/>
        <v>0</v>
      </c>
      <c r="AH529" s="158">
        <f t="shared" si="247"/>
        <v>0</v>
      </c>
      <c r="AI529" s="158">
        <f t="shared" si="247"/>
        <v>0</v>
      </c>
      <c r="AJ529" s="158">
        <f t="shared" si="247"/>
        <v>0</v>
      </c>
      <c r="AK529" s="158">
        <f t="shared" si="247"/>
        <v>0</v>
      </c>
      <c r="AL529" s="158">
        <f t="shared" si="247"/>
        <v>0</v>
      </c>
      <c r="AM529" s="158">
        <f t="shared" si="247"/>
        <v>0</v>
      </c>
      <c r="AN529" s="158">
        <f t="shared" si="247"/>
        <v>0</v>
      </c>
      <c r="AO529" s="158">
        <f t="shared" si="247"/>
        <v>0</v>
      </c>
      <c r="AP529" s="158">
        <f t="shared" si="247"/>
        <v>0</v>
      </c>
    </row>
    <row r="530" spans="1:42" x14ac:dyDescent="0.2">
      <c r="A530" s="4">
        <f t="shared" si="242"/>
        <v>8</v>
      </c>
      <c r="B530" s="149">
        <f t="shared" si="239"/>
        <v>0</v>
      </c>
      <c r="C530" s="158">
        <f t="shared" ref="C530:AP530" si="248">LOOKUP(C518,$B$480:$AP$480,$B$481:$AP$481)*$B723/100</f>
        <v>0</v>
      </c>
      <c r="D530" s="158">
        <f t="shared" si="248"/>
        <v>0</v>
      </c>
      <c r="E530" s="158">
        <f t="shared" si="248"/>
        <v>0</v>
      </c>
      <c r="F530" s="158">
        <f t="shared" si="248"/>
        <v>0</v>
      </c>
      <c r="G530" s="158">
        <f t="shared" si="248"/>
        <v>0</v>
      </c>
      <c r="H530" s="158">
        <f t="shared" si="248"/>
        <v>0</v>
      </c>
      <c r="I530" s="158">
        <f t="shared" si="248"/>
        <v>0</v>
      </c>
      <c r="J530" s="158">
        <f t="shared" si="248"/>
        <v>0</v>
      </c>
      <c r="K530" s="158">
        <f t="shared" si="248"/>
        <v>0</v>
      </c>
      <c r="L530" s="158">
        <f t="shared" si="248"/>
        <v>0</v>
      </c>
      <c r="M530" s="158">
        <f t="shared" si="248"/>
        <v>0</v>
      </c>
      <c r="N530" s="158">
        <f t="shared" si="248"/>
        <v>0</v>
      </c>
      <c r="O530" s="158">
        <f t="shared" si="248"/>
        <v>0</v>
      </c>
      <c r="P530" s="158">
        <f t="shared" si="248"/>
        <v>0</v>
      </c>
      <c r="Q530" s="158">
        <f t="shared" si="248"/>
        <v>0</v>
      </c>
      <c r="R530" s="158">
        <f t="shared" si="248"/>
        <v>0</v>
      </c>
      <c r="S530" s="158">
        <f t="shared" si="248"/>
        <v>0</v>
      </c>
      <c r="T530" s="158">
        <f t="shared" si="248"/>
        <v>0</v>
      </c>
      <c r="U530" s="158">
        <f t="shared" si="248"/>
        <v>0</v>
      </c>
      <c r="V530" s="158">
        <f t="shared" si="248"/>
        <v>0</v>
      </c>
      <c r="W530" s="158">
        <f t="shared" si="248"/>
        <v>0</v>
      </c>
      <c r="X530" s="158">
        <f t="shared" si="248"/>
        <v>0</v>
      </c>
      <c r="Y530" s="158">
        <f t="shared" si="248"/>
        <v>0</v>
      </c>
      <c r="Z530" s="158">
        <f t="shared" si="248"/>
        <v>0</v>
      </c>
      <c r="AA530" s="158">
        <f t="shared" si="248"/>
        <v>0</v>
      </c>
      <c r="AB530" s="158">
        <f t="shared" si="248"/>
        <v>0</v>
      </c>
      <c r="AC530" s="158">
        <f t="shared" si="248"/>
        <v>0</v>
      </c>
      <c r="AD530" s="158">
        <f t="shared" si="248"/>
        <v>0</v>
      </c>
      <c r="AE530" s="158">
        <f t="shared" si="248"/>
        <v>0</v>
      </c>
      <c r="AF530" s="158">
        <f t="shared" si="248"/>
        <v>0</v>
      </c>
      <c r="AG530" s="158">
        <f t="shared" si="248"/>
        <v>0</v>
      </c>
      <c r="AH530" s="158">
        <f t="shared" si="248"/>
        <v>0</v>
      </c>
      <c r="AI530" s="158">
        <f t="shared" si="248"/>
        <v>0</v>
      </c>
      <c r="AJ530" s="158">
        <f t="shared" si="248"/>
        <v>0</v>
      </c>
      <c r="AK530" s="158">
        <f t="shared" si="248"/>
        <v>0</v>
      </c>
      <c r="AL530" s="158">
        <f t="shared" si="248"/>
        <v>0</v>
      </c>
      <c r="AM530" s="158">
        <f t="shared" si="248"/>
        <v>0</v>
      </c>
      <c r="AN530" s="158">
        <f t="shared" si="248"/>
        <v>0</v>
      </c>
      <c r="AO530" s="158">
        <f t="shared" si="248"/>
        <v>0</v>
      </c>
      <c r="AP530" s="158">
        <f t="shared" si="248"/>
        <v>0</v>
      </c>
    </row>
    <row r="531" spans="1:42" x14ac:dyDescent="0.2">
      <c r="A531" s="4">
        <f>A530+1</f>
        <v>9</v>
      </c>
      <c r="B531" s="149">
        <f t="shared" si="239"/>
        <v>0</v>
      </c>
      <c r="C531" s="158">
        <f t="shared" ref="C531:AP531" si="249">LOOKUP(C519,$B$480:$AP$480,$B$481:$AP$481)*$B724/100</f>
        <v>0</v>
      </c>
      <c r="D531" s="158">
        <f t="shared" si="249"/>
        <v>0</v>
      </c>
      <c r="E531" s="158">
        <f t="shared" si="249"/>
        <v>0</v>
      </c>
      <c r="F531" s="158">
        <f t="shared" si="249"/>
        <v>0</v>
      </c>
      <c r="G531" s="158">
        <f t="shared" si="249"/>
        <v>0</v>
      </c>
      <c r="H531" s="158">
        <f t="shared" si="249"/>
        <v>0</v>
      </c>
      <c r="I531" s="158">
        <f t="shared" si="249"/>
        <v>0</v>
      </c>
      <c r="J531" s="158">
        <f t="shared" si="249"/>
        <v>0</v>
      </c>
      <c r="K531" s="158">
        <f t="shared" si="249"/>
        <v>0</v>
      </c>
      <c r="L531" s="158">
        <f t="shared" si="249"/>
        <v>0</v>
      </c>
      <c r="M531" s="158">
        <f t="shared" si="249"/>
        <v>0</v>
      </c>
      <c r="N531" s="158">
        <f t="shared" si="249"/>
        <v>0</v>
      </c>
      <c r="O531" s="158">
        <f t="shared" si="249"/>
        <v>0</v>
      </c>
      <c r="P531" s="158">
        <f t="shared" si="249"/>
        <v>0</v>
      </c>
      <c r="Q531" s="158">
        <f t="shared" si="249"/>
        <v>0</v>
      </c>
      <c r="R531" s="158">
        <f t="shared" si="249"/>
        <v>0</v>
      </c>
      <c r="S531" s="158">
        <f t="shared" si="249"/>
        <v>0</v>
      </c>
      <c r="T531" s="158">
        <f t="shared" si="249"/>
        <v>0</v>
      </c>
      <c r="U531" s="158">
        <f t="shared" si="249"/>
        <v>0</v>
      </c>
      <c r="V531" s="158">
        <f t="shared" si="249"/>
        <v>0</v>
      </c>
      <c r="W531" s="158">
        <f t="shared" si="249"/>
        <v>0</v>
      </c>
      <c r="X531" s="158">
        <f t="shared" si="249"/>
        <v>0</v>
      </c>
      <c r="Y531" s="158">
        <f t="shared" si="249"/>
        <v>0</v>
      </c>
      <c r="Z531" s="158">
        <f t="shared" si="249"/>
        <v>0</v>
      </c>
      <c r="AA531" s="158">
        <f t="shared" si="249"/>
        <v>0</v>
      </c>
      <c r="AB531" s="158">
        <f t="shared" si="249"/>
        <v>0</v>
      </c>
      <c r="AC531" s="158">
        <f t="shared" si="249"/>
        <v>0</v>
      </c>
      <c r="AD531" s="158">
        <f t="shared" si="249"/>
        <v>0</v>
      </c>
      <c r="AE531" s="158">
        <f t="shared" si="249"/>
        <v>0</v>
      </c>
      <c r="AF531" s="158">
        <f t="shared" si="249"/>
        <v>0</v>
      </c>
      <c r="AG531" s="158">
        <f t="shared" si="249"/>
        <v>0</v>
      </c>
      <c r="AH531" s="158">
        <f t="shared" si="249"/>
        <v>0</v>
      </c>
      <c r="AI531" s="158">
        <f t="shared" si="249"/>
        <v>0</v>
      </c>
      <c r="AJ531" s="158">
        <f t="shared" si="249"/>
        <v>0</v>
      </c>
      <c r="AK531" s="158">
        <f t="shared" si="249"/>
        <v>0</v>
      </c>
      <c r="AL531" s="158">
        <f t="shared" si="249"/>
        <v>0</v>
      </c>
      <c r="AM531" s="158">
        <f t="shared" si="249"/>
        <v>0</v>
      </c>
      <c r="AN531" s="158">
        <f t="shared" si="249"/>
        <v>0</v>
      </c>
      <c r="AO531" s="158">
        <f t="shared" si="249"/>
        <v>0</v>
      </c>
      <c r="AP531" s="158">
        <f t="shared" si="249"/>
        <v>0</v>
      </c>
    </row>
    <row r="532" spans="1:42" x14ac:dyDescent="0.2">
      <c r="A532" s="4">
        <f t="shared" ref="A532" si="250">A531+1</f>
        <v>10</v>
      </c>
      <c r="B532" s="149">
        <f t="shared" si="239"/>
        <v>0</v>
      </c>
      <c r="C532" s="158">
        <f t="shared" ref="C532:AP532" si="251">LOOKUP(C520,$B$480:$AP$480,$B$481:$AP$481)*$B725/100</f>
        <v>0</v>
      </c>
      <c r="D532" s="158">
        <f t="shared" si="251"/>
        <v>0</v>
      </c>
      <c r="E532" s="158">
        <f t="shared" si="251"/>
        <v>0</v>
      </c>
      <c r="F532" s="158">
        <f t="shared" si="251"/>
        <v>0</v>
      </c>
      <c r="G532" s="158">
        <f t="shared" si="251"/>
        <v>0</v>
      </c>
      <c r="H532" s="158">
        <f t="shared" si="251"/>
        <v>0</v>
      </c>
      <c r="I532" s="158">
        <f t="shared" si="251"/>
        <v>0</v>
      </c>
      <c r="J532" s="158">
        <f t="shared" si="251"/>
        <v>0</v>
      </c>
      <c r="K532" s="158">
        <f t="shared" si="251"/>
        <v>0</v>
      </c>
      <c r="L532" s="158">
        <f t="shared" si="251"/>
        <v>0</v>
      </c>
      <c r="M532" s="158">
        <f t="shared" si="251"/>
        <v>0</v>
      </c>
      <c r="N532" s="158">
        <f t="shared" si="251"/>
        <v>0</v>
      </c>
      <c r="O532" s="158">
        <f t="shared" si="251"/>
        <v>0</v>
      </c>
      <c r="P532" s="158">
        <f t="shared" si="251"/>
        <v>0</v>
      </c>
      <c r="Q532" s="158">
        <f t="shared" si="251"/>
        <v>0</v>
      </c>
      <c r="R532" s="158">
        <f t="shared" si="251"/>
        <v>0</v>
      </c>
      <c r="S532" s="158">
        <f t="shared" si="251"/>
        <v>0</v>
      </c>
      <c r="T532" s="158">
        <f t="shared" si="251"/>
        <v>0</v>
      </c>
      <c r="U532" s="158">
        <f t="shared" si="251"/>
        <v>0</v>
      </c>
      <c r="V532" s="158">
        <f t="shared" si="251"/>
        <v>0</v>
      </c>
      <c r="W532" s="158">
        <f t="shared" si="251"/>
        <v>0</v>
      </c>
      <c r="X532" s="158">
        <f t="shared" si="251"/>
        <v>0</v>
      </c>
      <c r="Y532" s="158">
        <f t="shared" si="251"/>
        <v>0</v>
      </c>
      <c r="Z532" s="158">
        <f t="shared" si="251"/>
        <v>0</v>
      </c>
      <c r="AA532" s="158">
        <f t="shared" si="251"/>
        <v>0</v>
      </c>
      <c r="AB532" s="158">
        <f t="shared" si="251"/>
        <v>0</v>
      </c>
      <c r="AC532" s="158">
        <f t="shared" si="251"/>
        <v>0</v>
      </c>
      <c r="AD532" s="158">
        <f t="shared" si="251"/>
        <v>0</v>
      </c>
      <c r="AE532" s="158">
        <f t="shared" si="251"/>
        <v>0</v>
      </c>
      <c r="AF532" s="158">
        <f t="shared" si="251"/>
        <v>0</v>
      </c>
      <c r="AG532" s="158">
        <f t="shared" si="251"/>
        <v>0</v>
      </c>
      <c r="AH532" s="158">
        <f t="shared" si="251"/>
        <v>0</v>
      </c>
      <c r="AI532" s="158">
        <f t="shared" si="251"/>
        <v>0</v>
      </c>
      <c r="AJ532" s="158">
        <f t="shared" si="251"/>
        <v>0</v>
      </c>
      <c r="AK532" s="158">
        <f t="shared" si="251"/>
        <v>0</v>
      </c>
      <c r="AL532" s="158">
        <f t="shared" si="251"/>
        <v>0</v>
      </c>
      <c r="AM532" s="158">
        <f t="shared" si="251"/>
        <v>0</v>
      </c>
      <c r="AN532" s="158">
        <f t="shared" si="251"/>
        <v>0</v>
      </c>
      <c r="AO532" s="158">
        <f t="shared" si="251"/>
        <v>0</v>
      </c>
      <c r="AP532" s="158">
        <f t="shared" si="251"/>
        <v>0</v>
      </c>
    </row>
    <row r="533" spans="1:42" x14ac:dyDescent="0.2">
      <c r="A533" s="27" t="s">
        <v>13</v>
      </c>
      <c r="B533" s="15"/>
      <c r="C533" s="158">
        <f>SUM(C523:C532)</f>
        <v>0</v>
      </c>
      <c r="D533" s="158">
        <f t="shared" ref="D533:AP533" si="252">SUM(D523:D532)</f>
        <v>0</v>
      </c>
      <c r="E533" s="158">
        <f t="shared" si="252"/>
        <v>0</v>
      </c>
      <c r="F533" s="158">
        <f t="shared" si="252"/>
        <v>0</v>
      </c>
      <c r="G533" s="158">
        <f t="shared" si="252"/>
        <v>0</v>
      </c>
      <c r="H533" s="158">
        <f t="shared" si="252"/>
        <v>0</v>
      </c>
      <c r="I533" s="158">
        <f t="shared" si="252"/>
        <v>0</v>
      </c>
      <c r="J533" s="158">
        <f t="shared" si="252"/>
        <v>0</v>
      </c>
      <c r="K533" s="158">
        <f t="shared" si="252"/>
        <v>0</v>
      </c>
      <c r="L533" s="158">
        <f t="shared" si="252"/>
        <v>0</v>
      </c>
      <c r="M533" s="158">
        <f t="shared" si="252"/>
        <v>0</v>
      </c>
      <c r="N533" s="158">
        <f t="shared" si="252"/>
        <v>0</v>
      </c>
      <c r="O533" s="158">
        <f t="shared" si="252"/>
        <v>0</v>
      </c>
      <c r="P533" s="158">
        <f t="shared" si="252"/>
        <v>0</v>
      </c>
      <c r="Q533" s="158">
        <f t="shared" si="252"/>
        <v>0</v>
      </c>
      <c r="R533" s="158">
        <f t="shared" si="252"/>
        <v>0</v>
      </c>
      <c r="S533" s="158">
        <f t="shared" si="252"/>
        <v>0</v>
      </c>
      <c r="T533" s="158">
        <f t="shared" si="252"/>
        <v>0</v>
      </c>
      <c r="U533" s="158">
        <f t="shared" si="252"/>
        <v>0</v>
      </c>
      <c r="V533" s="158">
        <f t="shared" si="252"/>
        <v>0</v>
      </c>
      <c r="W533" s="158">
        <f t="shared" si="252"/>
        <v>0</v>
      </c>
      <c r="X533" s="158">
        <f t="shared" si="252"/>
        <v>0</v>
      </c>
      <c r="Y533" s="158">
        <f t="shared" si="252"/>
        <v>0</v>
      </c>
      <c r="Z533" s="158">
        <f t="shared" si="252"/>
        <v>0</v>
      </c>
      <c r="AA533" s="158">
        <f t="shared" si="252"/>
        <v>0</v>
      </c>
      <c r="AB533" s="158">
        <f t="shared" si="252"/>
        <v>0</v>
      </c>
      <c r="AC533" s="158">
        <f t="shared" si="252"/>
        <v>0</v>
      </c>
      <c r="AD533" s="158">
        <f t="shared" si="252"/>
        <v>0</v>
      </c>
      <c r="AE533" s="158">
        <f t="shared" si="252"/>
        <v>0</v>
      </c>
      <c r="AF533" s="158">
        <f t="shared" si="252"/>
        <v>0</v>
      </c>
      <c r="AG533" s="158">
        <f t="shared" si="252"/>
        <v>0</v>
      </c>
      <c r="AH533" s="158">
        <f t="shared" si="252"/>
        <v>0</v>
      </c>
      <c r="AI533" s="158">
        <f t="shared" si="252"/>
        <v>0</v>
      </c>
      <c r="AJ533" s="158">
        <f t="shared" si="252"/>
        <v>0</v>
      </c>
      <c r="AK533" s="158">
        <f t="shared" si="252"/>
        <v>0</v>
      </c>
      <c r="AL533" s="158">
        <f t="shared" si="252"/>
        <v>0</v>
      </c>
      <c r="AM533" s="158">
        <f t="shared" si="252"/>
        <v>0</v>
      </c>
      <c r="AN533" s="158">
        <f t="shared" si="252"/>
        <v>0</v>
      </c>
      <c r="AO533" s="158">
        <f t="shared" si="252"/>
        <v>0</v>
      </c>
      <c r="AP533" s="158">
        <f t="shared" si="252"/>
        <v>0</v>
      </c>
    </row>
    <row r="534" spans="1:42" x14ac:dyDescent="0.2">
      <c r="A534" s="27"/>
      <c r="B534" s="15"/>
      <c r="C534" s="158"/>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5"/>
    </row>
    <row r="535" spans="1:42" x14ac:dyDescent="0.2">
      <c r="A535" s="18" t="s">
        <v>96</v>
      </c>
      <c r="C535" s="158"/>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5"/>
    </row>
    <row r="536" spans="1:42" x14ac:dyDescent="0.2">
      <c r="A536" s="22" t="s">
        <v>77</v>
      </c>
      <c r="C536" s="158"/>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row>
    <row r="537" spans="1:42" x14ac:dyDescent="0.2">
      <c r="A537" s="4">
        <v>1</v>
      </c>
      <c r="C537" s="158">
        <f t="shared" ref="C537:AP537" si="253">C400</f>
        <v>0</v>
      </c>
      <c r="D537" s="158">
        <f t="shared" si="253"/>
        <v>0</v>
      </c>
      <c r="E537" s="158">
        <f t="shared" si="253"/>
        <v>0</v>
      </c>
      <c r="F537" s="158">
        <f t="shared" si="253"/>
        <v>0</v>
      </c>
      <c r="G537" s="158">
        <f t="shared" si="253"/>
        <v>0</v>
      </c>
      <c r="H537" s="158">
        <f t="shared" si="253"/>
        <v>0</v>
      </c>
      <c r="I537" s="158">
        <f t="shared" si="253"/>
        <v>0</v>
      </c>
      <c r="J537" s="158">
        <f t="shared" si="253"/>
        <v>0</v>
      </c>
      <c r="K537" s="158">
        <f t="shared" si="253"/>
        <v>0</v>
      </c>
      <c r="L537" s="158">
        <f t="shared" si="253"/>
        <v>0</v>
      </c>
      <c r="M537" s="158">
        <f t="shared" si="253"/>
        <v>0</v>
      </c>
      <c r="N537" s="158">
        <f t="shared" si="253"/>
        <v>0</v>
      </c>
      <c r="O537" s="158">
        <f t="shared" si="253"/>
        <v>0</v>
      </c>
      <c r="P537" s="158">
        <f t="shared" si="253"/>
        <v>0</v>
      </c>
      <c r="Q537" s="158">
        <f t="shared" si="253"/>
        <v>0</v>
      </c>
      <c r="R537" s="158">
        <f t="shared" si="253"/>
        <v>0</v>
      </c>
      <c r="S537" s="158">
        <f t="shared" si="253"/>
        <v>0</v>
      </c>
      <c r="T537" s="158">
        <f t="shared" si="253"/>
        <v>0</v>
      </c>
      <c r="U537" s="158">
        <f t="shared" si="253"/>
        <v>0</v>
      </c>
      <c r="V537" s="158">
        <f t="shared" si="253"/>
        <v>0</v>
      </c>
      <c r="W537" s="158">
        <f t="shared" si="253"/>
        <v>0</v>
      </c>
      <c r="X537" s="158">
        <f t="shared" si="253"/>
        <v>0</v>
      </c>
      <c r="Y537" s="158">
        <f t="shared" si="253"/>
        <v>0</v>
      </c>
      <c r="Z537" s="158">
        <f t="shared" si="253"/>
        <v>0</v>
      </c>
      <c r="AA537" s="158">
        <f t="shared" si="253"/>
        <v>0</v>
      </c>
      <c r="AB537" s="158">
        <f t="shared" si="253"/>
        <v>0</v>
      </c>
      <c r="AC537" s="158">
        <f t="shared" si="253"/>
        <v>0</v>
      </c>
      <c r="AD537" s="158">
        <f t="shared" si="253"/>
        <v>0</v>
      </c>
      <c r="AE537" s="158">
        <f t="shared" si="253"/>
        <v>0</v>
      </c>
      <c r="AF537" s="158">
        <f t="shared" si="253"/>
        <v>0</v>
      </c>
      <c r="AG537" s="158">
        <f t="shared" si="253"/>
        <v>0</v>
      </c>
      <c r="AH537" s="158">
        <f t="shared" si="253"/>
        <v>0</v>
      </c>
      <c r="AI537" s="158">
        <f t="shared" si="253"/>
        <v>0</v>
      </c>
      <c r="AJ537" s="158">
        <f t="shared" si="253"/>
        <v>0</v>
      </c>
      <c r="AK537" s="158">
        <f t="shared" si="253"/>
        <v>0</v>
      </c>
      <c r="AL537" s="158">
        <f t="shared" si="253"/>
        <v>0</v>
      </c>
      <c r="AM537" s="158">
        <f t="shared" si="253"/>
        <v>0</v>
      </c>
      <c r="AN537" s="158">
        <f t="shared" si="253"/>
        <v>0</v>
      </c>
      <c r="AO537" s="158">
        <f t="shared" si="253"/>
        <v>0</v>
      </c>
      <c r="AP537" s="158">
        <f t="shared" si="253"/>
        <v>0</v>
      </c>
    </row>
    <row r="538" spans="1:42" x14ac:dyDescent="0.2">
      <c r="A538" s="4">
        <f>A537+1</f>
        <v>2</v>
      </c>
      <c r="C538" s="158">
        <f t="shared" ref="C538:AP538" si="254">C401</f>
        <v>0</v>
      </c>
      <c r="D538" s="158">
        <f t="shared" si="254"/>
        <v>0</v>
      </c>
      <c r="E538" s="158">
        <f t="shared" si="254"/>
        <v>0</v>
      </c>
      <c r="F538" s="158">
        <f t="shared" si="254"/>
        <v>0</v>
      </c>
      <c r="G538" s="158">
        <f t="shared" si="254"/>
        <v>0</v>
      </c>
      <c r="H538" s="158">
        <f t="shared" si="254"/>
        <v>0</v>
      </c>
      <c r="I538" s="158">
        <f t="shared" si="254"/>
        <v>0</v>
      </c>
      <c r="J538" s="158">
        <f t="shared" si="254"/>
        <v>0</v>
      </c>
      <c r="K538" s="158">
        <f t="shared" si="254"/>
        <v>0</v>
      </c>
      <c r="L538" s="158">
        <f t="shared" si="254"/>
        <v>0</v>
      </c>
      <c r="M538" s="158">
        <f t="shared" si="254"/>
        <v>0</v>
      </c>
      <c r="N538" s="158">
        <f t="shared" si="254"/>
        <v>0</v>
      </c>
      <c r="O538" s="158">
        <f t="shared" si="254"/>
        <v>0</v>
      </c>
      <c r="P538" s="158">
        <f t="shared" si="254"/>
        <v>0</v>
      </c>
      <c r="Q538" s="158">
        <f t="shared" si="254"/>
        <v>0</v>
      </c>
      <c r="R538" s="158">
        <f t="shared" si="254"/>
        <v>0</v>
      </c>
      <c r="S538" s="158">
        <f t="shared" si="254"/>
        <v>0</v>
      </c>
      <c r="T538" s="158">
        <f t="shared" si="254"/>
        <v>0</v>
      </c>
      <c r="U538" s="158">
        <f t="shared" si="254"/>
        <v>0</v>
      </c>
      <c r="V538" s="158">
        <f t="shared" si="254"/>
        <v>0</v>
      </c>
      <c r="W538" s="158">
        <f t="shared" si="254"/>
        <v>0</v>
      </c>
      <c r="X538" s="158">
        <f t="shared" si="254"/>
        <v>0</v>
      </c>
      <c r="Y538" s="158">
        <f t="shared" si="254"/>
        <v>0</v>
      </c>
      <c r="Z538" s="158">
        <f t="shared" si="254"/>
        <v>0</v>
      </c>
      <c r="AA538" s="158">
        <f t="shared" si="254"/>
        <v>0</v>
      </c>
      <c r="AB538" s="158">
        <f t="shared" si="254"/>
        <v>0</v>
      </c>
      <c r="AC538" s="158">
        <f t="shared" si="254"/>
        <v>0</v>
      </c>
      <c r="AD538" s="158">
        <f t="shared" si="254"/>
        <v>0</v>
      </c>
      <c r="AE538" s="158">
        <f t="shared" si="254"/>
        <v>0</v>
      </c>
      <c r="AF538" s="158">
        <f t="shared" si="254"/>
        <v>0</v>
      </c>
      <c r="AG538" s="158">
        <f t="shared" si="254"/>
        <v>0</v>
      </c>
      <c r="AH538" s="158">
        <f t="shared" si="254"/>
        <v>0</v>
      </c>
      <c r="AI538" s="158">
        <f t="shared" si="254"/>
        <v>0</v>
      </c>
      <c r="AJ538" s="158">
        <f t="shared" si="254"/>
        <v>0</v>
      </c>
      <c r="AK538" s="158">
        <f t="shared" si="254"/>
        <v>0</v>
      </c>
      <c r="AL538" s="158">
        <f t="shared" si="254"/>
        <v>0</v>
      </c>
      <c r="AM538" s="158">
        <f t="shared" si="254"/>
        <v>0</v>
      </c>
      <c r="AN538" s="158">
        <f t="shared" si="254"/>
        <v>0</v>
      </c>
      <c r="AO538" s="158">
        <f t="shared" si="254"/>
        <v>0</v>
      </c>
      <c r="AP538" s="158">
        <f t="shared" si="254"/>
        <v>0</v>
      </c>
    </row>
    <row r="539" spans="1:42" x14ac:dyDescent="0.2">
      <c r="A539" s="4">
        <f t="shared" ref="A539:A544" si="255">A538+1</f>
        <v>3</v>
      </c>
      <c r="C539" s="158">
        <f t="shared" ref="C539:AP539" si="256">C402</f>
        <v>0</v>
      </c>
      <c r="D539" s="158">
        <f t="shared" si="256"/>
        <v>0</v>
      </c>
      <c r="E539" s="158">
        <f t="shared" si="256"/>
        <v>0</v>
      </c>
      <c r="F539" s="158">
        <f t="shared" si="256"/>
        <v>0</v>
      </c>
      <c r="G539" s="158">
        <f t="shared" si="256"/>
        <v>0</v>
      </c>
      <c r="H539" s="158">
        <f t="shared" si="256"/>
        <v>0</v>
      </c>
      <c r="I539" s="158">
        <f t="shared" si="256"/>
        <v>0</v>
      </c>
      <c r="J539" s="158">
        <f t="shared" si="256"/>
        <v>0</v>
      </c>
      <c r="K539" s="158">
        <f t="shared" si="256"/>
        <v>0</v>
      </c>
      <c r="L539" s="158">
        <f t="shared" si="256"/>
        <v>0</v>
      </c>
      <c r="M539" s="158">
        <f t="shared" si="256"/>
        <v>0</v>
      </c>
      <c r="N539" s="158">
        <f t="shared" si="256"/>
        <v>0</v>
      </c>
      <c r="O539" s="158">
        <f t="shared" si="256"/>
        <v>0</v>
      </c>
      <c r="P539" s="158">
        <f t="shared" si="256"/>
        <v>0</v>
      </c>
      <c r="Q539" s="158">
        <f t="shared" si="256"/>
        <v>0</v>
      </c>
      <c r="R539" s="158">
        <f t="shared" si="256"/>
        <v>0</v>
      </c>
      <c r="S539" s="158">
        <f t="shared" si="256"/>
        <v>0</v>
      </c>
      <c r="T539" s="158">
        <f t="shared" si="256"/>
        <v>0</v>
      </c>
      <c r="U539" s="158">
        <f t="shared" si="256"/>
        <v>0</v>
      </c>
      <c r="V539" s="158">
        <f t="shared" si="256"/>
        <v>0</v>
      </c>
      <c r="W539" s="158">
        <f t="shared" si="256"/>
        <v>0</v>
      </c>
      <c r="X539" s="158">
        <f t="shared" si="256"/>
        <v>0</v>
      </c>
      <c r="Y539" s="158">
        <f t="shared" si="256"/>
        <v>0</v>
      </c>
      <c r="Z539" s="158">
        <f t="shared" si="256"/>
        <v>0</v>
      </c>
      <c r="AA539" s="158">
        <f t="shared" si="256"/>
        <v>0</v>
      </c>
      <c r="AB539" s="158">
        <f t="shared" si="256"/>
        <v>0</v>
      </c>
      <c r="AC539" s="158">
        <f t="shared" si="256"/>
        <v>0</v>
      </c>
      <c r="AD539" s="158">
        <f t="shared" si="256"/>
        <v>0</v>
      </c>
      <c r="AE539" s="158">
        <f t="shared" si="256"/>
        <v>0</v>
      </c>
      <c r="AF539" s="158">
        <f t="shared" si="256"/>
        <v>0</v>
      </c>
      <c r="AG539" s="158">
        <f t="shared" si="256"/>
        <v>0</v>
      </c>
      <c r="AH539" s="158">
        <f t="shared" si="256"/>
        <v>0</v>
      </c>
      <c r="AI539" s="158">
        <f t="shared" si="256"/>
        <v>0</v>
      </c>
      <c r="AJ539" s="158">
        <f t="shared" si="256"/>
        <v>0</v>
      </c>
      <c r="AK539" s="158">
        <f t="shared" si="256"/>
        <v>0</v>
      </c>
      <c r="AL539" s="158">
        <f t="shared" si="256"/>
        <v>0</v>
      </c>
      <c r="AM539" s="158">
        <f t="shared" si="256"/>
        <v>0</v>
      </c>
      <c r="AN539" s="158">
        <f t="shared" si="256"/>
        <v>0</v>
      </c>
      <c r="AO539" s="158">
        <f t="shared" si="256"/>
        <v>0</v>
      </c>
      <c r="AP539" s="158">
        <f t="shared" si="256"/>
        <v>0</v>
      </c>
    </row>
    <row r="540" spans="1:42" x14ac:dyDescent="0.2">
      <c r="A540" s="4">
        <f t="shared" si="255"/>
        <v>4</v>
      </c>
      <c r="C540" s="158">
        <f t="shared" ref="C540:AP540" si="257">C403</f>
        <v>0</v>
      </c>
      <c r="D540" s="158">
        <f t="shared" si="257"/>
        <v>0</v>
      </c>
      <c r="E540" s="158">
        <f t="shared" si="257"/>
        <v>0</v>
      </c>
      <c r="F540" s="158">
        <f t="shared" si="257"/>
        <v>0</v>
      </c>
      <c r="G540" s="158">
        <f t="shared" si="257"/>
        <v>0</v>
      </c>
      <c r="H540" s="158">
        <f t="shared" si="257"/>
        <v>0</v>
      </c>
      <c r="I540" s="158">
        <f t="shared" si="257"/>
        <v>0</v>
      </c>
      <c r="J540" s="158">
        <f t="shared" si="257"/>
        <v>0</v>
      </c>
      <c r="K540" s="158">
        <f t="shared" si="257"/>
        <v>0</v>
      </c>
      <c r="L540" s="158">
        <f t="shared" si="257"/>
        <v>0</v>
      </c>
      <c r="M540" s="158">
        <f t="shared" si="257"/>
        <v>0</v>
      </c>
      <c r="N540" s="158">
        <f t="shared" si="257"/>
        <v>0</v>
      </c>
      <c r="O540" s="158">
        <f t="shared" si="257"/>
        <v>0</v>
      </c>
      <c r="P540" s="158">
        <f t="shared" si="257"/>
        <v>0</v>
      </c>
      <c r="Q540" s="158">
        <f t="shared" si="257"/>
        <v>0</v>
      </c>
      <c r="R540" s="158">
        <f t="shared" si="257"/>
        <v>0</v>
      </c>
      <c r="S540" s="158">
        <f t="shared" si="257"/>
        <v>0</v>
      </c>
      <c r="T540" s="158">
        <f t="shared" si="257"/>
        <v>0</v>
      </c>
      <c r="U540" s="158">
        <f t="shared" si="257"/>
        <v>0</v>
      </c>
      <c r="V540" s="158">
        <f t="shared" si="257"/>
        <v>0</v>
      </c>
      <c r="W540" s="158">
        <f t="shared" si="257"/>
        <v>0</v>
      </c>
      <c r="X540" s="158">
        <f t="shared" si="257"/>
        <v>0</v>
      </c>
      <c r="Y540" s="158">
        <f t="shared" si="257"/>
        <v>0</v>
      </c>
      <c r="Z540" s="158">
        <f t="shared" si="257"/>
        <v>0</v>
      </c>
      <c r="AA540" s="158">
        <f t="shared" si="257"/>
        <v>0</v>
      </c>
      <c r="AB540" s="158">
        <f t="shared" si="257"/>
        <v>0</v>
      </c>
      <c r="AC540" s="158">
        <f t="shared" si="257"/>
        <v>0</v>
      </c>
      <c r="AD540" s="158">
        <f t="shared" si="257"/>
        <v>0</v>
      </c>
      <c r="AE540" s="158">
        <f t="shared" si="257"/>
        <v>0</v>
      </c>
      <c r="AF540" s="158">
        <f t="shared" si="257"/>
        <v>0</v>
      </c>
      <c r="AG540" s="158">
        <f t="shared" si="257"/>
        <v>0</v>
      </c>
      <c r="AH540" s="158">
        <f t="shared" si="257"/>
        <v>0</v>
      </c>
      <c r="AI540" s="158">
        <f t="shared" si="257"/>
        <v>0</v>
      </c>
      <c r="AJ540" s="158">
        <f t="shared" si="257"/>
        <v>0</v>
      </c>
      <c r="AK540" s="158">
        <f t="shared" si="257"/>
        <v>0</v>
      </c>
      <c r="AL540" s="158">
        <f t="shared" si="257"/>
        <v>0</v>
      </c>
      <c r="AM540" s="158">
        <f t="shared" si="257"/>
        <v>0</v>
      </c>
      <c r="AN540" s="158">
        <f t="shared" si="257"/>
        <v>0</v>
      </c>
      <c r="AO540" s="158">
        <f t="shared" si="257"/>
        <v>0</v>
      </c>
      <c r="AP540" s="158">
        <f t="shared" si="257"/>
        <v>0</v>
      </c>
    </row>
    <row r="541" spans="1:42" x14ac:dyDescent="0.2">
      <c r="A541" s="4">
        <f t="shared" si="255"/>
        <v>5</v>
      </c>
      <c r="C541" s="158">
        <f t="shared" ref="C541:AP541" si="258">C404</f>
        <v>0</v>
      </c>
      <c r="D541" s="158">
        <f t="shared" si="258"/>
        <v>0</v>
      </c>
      <c r="E541" s="158">
        <f t="shared" si="258"/>
        <v>0</v>
      </c>
      <c r="F541" s="158">
        <f t="shared" si="258"/>
        <v>0</v>
      </c>
      <c r="G541" s="158">
        <f t="shared" si="258"/>
        <v>0</v>
      </c>
      <c r="H541" s="158">
        <f t="shared" si="258"/>
        <v>0</v>
      </c>
      <c r="I541" s="158">
        <f t="shared" si="258"/>
        <v>0</v>
      </c>
      <c r="J541" s="158">
        <f t="shared" si="258"/>
        <v>0</v>
      </c>
      <c r="K541" s="158">
        <f t="shared" si="258"/>
        <v>0</v>
      </c>
      <c r="L541" s="158">
        <f t="shared" si="258"/>
        <v>0</v>
      </c>
      <c r="M541" s="158">
        <f t="shared" si="258"/>
        <v>0</v>
      </c>
      <c r="N541" s="158">
        <f t="shared" si="258"/>
        <v>0</v>
      </c>
      <c r="O541" s="158">
        <f t="shared" si="258"/>
        <v>0</v>
      </c>
      <c r="P541" s="158">
        <f t="shared" si="258"/>
        <v>0</v>
      </c>
      <c r="Q541" s="158">
        <f t="shared" si="258"/>
        <v>0</v>
      </c>
      <c r="R541" s="158">
        <f t="shared" si="258"/>
        <v>0</v>
      </c>
      <c r="S541" s="158">
        <f t="shared" si="258"/>
        <v>0</v>
      </c>
      <c r="T541" s="158">
        <f t="shared" si="258"/>
        <v>0</v>
      </c>
      <c r="U541" s="158">
        <f t="shared" si="258"/>
        <v>0</v>
      </c>
      <c r="V541" s="158">
        <f t="shared" si="258"/>
        <v>0</v>
      </c>
      <c r="W541" s="158">
        <f t="shared" si="258"/>
        <v>0</v>
      </c>
      <c r="X541" s="158">
        <f t="shared" si="258"/>
        <v>0</v>
      </c>
      <c r="Y541" s="158">
        <f t="shared" si="258"/>
        <v>0</v>
      </c>
      <c r="Z541" s="158">
        <f t="shared" si="258"/>
        <v>0</v>
      </c>
      <c r="AA541" s="158">
        <f t="shared" si="258"/>
        <v>0</v>
      </c>
      <c r="AB541" s="158">
        <f t="shared" si="258"/>
        <v>0</v>
      </c>
      <c r="AC541" s="158">
        <f t="shared" si="258"/>
        <v>0</v>
      </c>
      <c r="AD541" s="158">
        <f t="shared" si="258"/>
        <v>0</v>
      </c>
      <c r="AE541" s="158">
        <f t="shared" si="258"/>
        <v>0</v>
      </c>
      <c r="AF541" s="158">
        <f t="shared" si="258"/>
        <v>0</v>
      </c>
      <c r="AG541" s="158">
        <f t="shared" si="258"/>
        <v>0</v>
      </c>
      <c r="AH541" s="158">
        <f t="shared" si="258"/>
        <v>0</v>
      </c>
      <c r="AI541" s="158">
        <f t="shared" si="258"/>
        <v>0</v>
      </c>
      <c r="AJ541" s="158">
        <f t="shared" si="258"/>
        <v>0</v>
      </c>
      <c r="AK541" s="158">
        <f t="shared" si="258"/>
        <v>0</v>
      </c>
      <c r="AL541" s="158">
        <f t="shared" si="258"/>
        <v>0</v>
      </c>
      <c r="AM541" s="158">
        <f t="shared" si="258"/>
        <v>0</v>
      </c>
      <c r="AN541" s="158">
        <f t="shared" si="258"/>
        <v>0</v>
      </c>
      <c r="AO541" s="158">
        <f t="shared" si="258"/>
        <v>0</v>
      </c>
      <c r="AP541" s="158">
        <f t="shared" si="258"/>
        <v>0</v>
      </c>
    </row>
    <row r="542" spans="1:42" x14ac:dyDescent="0.2">
      <c r="A542" s="4">
        <f t="shared" si="255"/>
        <v>6</v>
      </c>
      <c r="C542" s="158">
        <f t="shared" ref="C542:AP542" si="259">C405</f>
        <v>0</v>
      </c>
      <c r="D542" s="158">
        <f t="shared" si="259"/>
        <v>0</v>
      </c>
      <c r="E542" s="158">
        <f t="shared" si="259"/>
        <v>0</v>
      </c>
      <c r="F542" s="158">
        <f t="shared" si="259"/>
        <v>0</v>
      </c>
      <c r="G542" s="158">
        <f t="shared" si="259"/>
        <v>0</v>
      </c>
      <c r="H542" s="158">
        <f t="shared" si="259"/>
        <v>0</v>
      </c>
      <c r="I542" s="158">
        <f t="shared" si="259"/>
        <v>0</v>
      </c>
      <c r="J542" s="158">
        <f t="shared" si="259"/>
        <v>0</v>
      </c>
      <c r="K542" s="158">
        <f t="shared" si="259"/>
        <v>0</v>
      </c>
      <c r="L542" s="158">
        <f t="shared" si="259"/>
        <v>0</v>
      </c>
      <c r="M542" s="158">
        <f t="shared" si="259"/>
        <v>0</v>
      </c>
      <c r="N542" s="158">
        <f t="shared" si="259"/>
        <v>0</v>
      </c>
      <c r="O542" s="158">
        <f t="shared" si="259"/>
        <v>0</v>
      </c>
      <c r="P542" s="158">
        <f t="shared" si="259"/>
        <v>0</v>
      </c>
      <c r="Q542" s="158">
        <f t="shared" si="259"/>
        <v>0</v>
      </c>
      <c r="R542" s="158">
        <f t="shared" si="259"/>
        <v>0</v>
      </c>
      <c r="S542" s="158">
        <f t="shared" si="259"/>
        <v>0</v>
      </c>
      <c r="T542" s="158">
        <f t="shared" si="259"/>
        <v>0</v>
      </c>
      <c r="U542" s="158">
        <f t="shared" si="259"/>
        <v>0</v>
      </c>
      <c r="V542" s="158">
        <f t="shared" si="259"/>
        <v>0</v>
      </c>
      <c r="W542" s="158">
        <f t="shared" si="259"/>
        <v>0</v>
      </c>
      <c r="X542" s="158">
        <f t="shared" si="259"/>
        <v>0</v>
      </c>
      <c r="Y542" s="158">
        <f t="shared" si="259"/>
        <v>0</v>
      </c>
      <c r="Z542" s="158">
        <f t="shared" si="259"/>
        <v>0</v>
      </c>
      <c r="AA542" s="158">
        <f t="shared" si="259"/>
        <v>0</v>
      </c>
      <c r="AB542" s="158">
        <f t="shared" si="259"/>
        <v>0</v>
      </c>
      <c r="AC542" s="158">
        <f t="shared" si="259"/>
        <v>0</v>
      </c>
      <c r="AD542" s="158">
        <f t="shared" si="259"/>
        <v>0</v>
      </c>
      <c r="AE542" s="158">
        <f t="shared" si="259"/>
        <v>0</v>
      </c>
      <c r="AF542" s="158">
        <f t="shared" si="259"/>
        <v>0</v>
      </c>
      <c r="AG542" s="158">
        <f t="shared" si="259"/>
        <v>0</v>
      </c>
      <c r="AH542" s="158">
        <f t="shared" si="259"/>
        <v>0</v>
      </c>
      <c r="AI542" s="158">
        <f t="shared" si="259"/>
        <v>0</v>
      </c>
      <c r="AJ542" s="158">
        <f t="shared" si="259"/>
        <v>0</v>
      </c>
      <c r="AK542" s="158">
        <f t="shared" si="259"/>
        <v>0</v>
      </c>
      <c r="AL542" s="158">
        <f t="shared" si="259"/>
        <v>0</v>
      </c>
      <c r="AM542" s="158">
        <f t="shared" si="259"/>
        <v>0</v>
      </c>
      <c r="AN542" s="158">
        <f t="shared" si="259"/>
        <v>0</v>
      </c>
      <c r="AO542" s="158">
        <f t="shared" si="259"/>
        <v>0</v>
      </c>
      <c r="AP542" s="158">
        <f t="shared" si="259"/>
        <v>0</v>
      </c>
    </row>
    <row r="543" spans="1:42" x14ac:dyDescent="0.2">
      <c r="A543" s="4">
        <f t="shared" si="255"/>
        <v>7</v>
      </c>
      <c r="C543" s="158">
        <f t="shared" ref="C543:AP543" si="260">C406</f>
        <v>0</v>
      </c>
      <c r="D543" s="158">
        <f t="shared" si="260"/>
        <v>0</v>
      </c>
      <c r="E543" s="158">
        <f t="shared" si="260"/>
        <v>0</v>
      </c>
      <c r="F543" s="158">
        <f t="shared" si="260"/>
        <v>0</v>
      </c>
      <c r="G543" s="158">
        <f t="shared" si="260"/>
        <v>0</v>
      </c>
      <c r="H543" s="158">
        <f t="shared" si="260"/>
        <v>0</v>
      </c>
      <c r="I543" s="158">
        <f t="shared" si="260"/>
        <v>0</v>
      </c>
      <c r="J543" s="158">
        <f t="shared" si="260"/>
        <v>0</v>
      </c>
      <c r="K543" s="158">
        <f t="shared" si="260"/>
        <v>0</v>
      </c>
      <c r="L543" s="158">
        <f t="shared" si="260"/>
        <v>0</v>
      </c>
      <c r="M543" s="158">
        <f t="shared" si="260"/>
        <v>0</v>
      </c>
      <c r="N543" s="158">
        <f t="shared" si="260"/>
        <v>0</v>
      </c>
      <c r="O543" s="158">
        <f t="shared" si="260"/>
        <v>0</v>
      </c>
      <c r="P543" s="158">
        <f t="shared" si="260"/>
        <v>0</v>
      </c>
      <c r="Q543" s="158">
        <f t="shared" si="260"/>
        <v>0</v>
      </c>
      <c r="R543" s="158">
        <f t="shared" si="260"/>
        <v>0</v>
      </c>
      <c r="S543" s="158">
        <f t="shared" si="260"/>
        <v>0</v>
      </c>
      <c r="T543" s="158">
        <f t="shared" si="260"/>
        <v>0</v>
      </c>
      <c r="U543" s="158">
        <f t="shared" si="260"/>
        <v>0</v>
      </c>
      <c r="V543" s="158">
        <f t="shared" si="260"/>
        <v>0</v>
      </c>
      <c r="W543" s="158">
        <f t="shared" si="260"/>
        <v>0</v>
      </c>
      <c r="X543" s="158">
        <f t="shared" si="260"/>
        <v>0</v>
      </c>
      <c r="Y543" s="158">
        <f t="shared" si="260"/>
        <v>0</v>
      </c>
      <c r="Z543" s="158">
        <f t="shared" si="260"/>
        <v>0</v>
      </c>
      <c r="AA543" s="158">
        <f t="shared" si="260"/>
        <v>0</v>
      </c>
      <c r="AB543" s="158">
        <f t="shared" si="260"/>
        <v>0</v>
      </c>
      <c r="AC543" s="158">
        <f t="shared" si="260"/>
        <v>0</v>
      </c>
      <c r="AD543" s="158">
        <f t="shared" si="260"/>
        <v>0</v>
      </c>
      <c r="AE543" s="158">
        <f t="shared" si="260"/>
        <v>0</v>
      </c>
      <c r="AF543" s="158">
        <f t="shared" si="260"/>
        <v>0</v>
      </c>
      <c r="AG543" s="158">
        <f t="shared" si="260"/>
        <v>0</v>
      </c>
      <c r="AH543" s="158">
        <f t="shared" si="260"/>
        <v>0</v>
      </c>
      <c r="AI543" s="158">
        <f t="shared" si="260"/>
        <v>0</v>
      </c>
      <c r="AJ543" s="158">
        <f t="shared" si="260"/>
        <v>0</v>
      </c>
      <c r="AK543" s="158">
        <f t="shared" si="260"/>
        <v>0</v>
      </c>
      <c r="AL543" s="158">
        <f t="shared" si="260"/>
        <v>0</v>
      </c>
      <c r="AM543" s="158">
        <f t="shared" si="260"/>
        <v>0</v>
      </c>
      <c r="AN543" s="158">
        <f t="shared" si="260"/>
        <v>0</v>
      </c>
      <c r="AO543" s="158">
        <f t="shared" si="260"/>
        <v>0</v>
      </c>
      <c r="AP543" s="158">
        <f t="shared" si="260"/>
        <v>0</v>
      </c>
    </row>
    <row r="544" spans="1:42" x14ac:dyDescent="0.2">
      <c r="A544" s="4">
        <f t="shared" si="255"/>
        <v>8</v>
      </c>
      <c r="C544" s="158">
        <f t="shared" ref="C544:AP544" si="261">C407</f>
        <v>0</v>
      </c>
      <c r="D544" s="158">
        <f t="shared" si="261"/>
        <v>0</v>
      </c>
      <c r="E544" s="158">
        <f t="shared" si="261"/>
        <v>0</v>
      </c>
      <c r="F544" s="158">
        <f t="shared" si="261"/>
        <v>0</v>
      </c>
      <c r="G544" s="158">
        <f t="shared" si="261"/>
        <v>0</v>
      </c>
      <c r="H544" s="158">
        <f t="shared" si="261"/>
        <v>0</v>
      </c>
      <c r="I544" s="158">
        <f t="shared" si="261"/>
        <v>0</v>
      </c>
      <c r="J544" s="158">
        <f t="shared" si="261"/>
        <v>0</v>
      </c>
      <c r="K544" s="158">
        <f t="shared" si="261"/>
        <v>0</v>
      </c>
      <c r="L544" s="158">
        <f t="shared" si="261"/>
        <v>0</v>
      </c>
      <c r="M544" s="158">
        <f t="shared" si="261"/>
        <v>0</v>
      </c>
      <c r="N544" s="158">
        <f t="shared" si="261"/>
        <v>0</v>
      </c>
      <c r="O544" s="158">
        <f t="shared" si="261"/>
        <v>0</v>
      </c>
      <c r="P544" s="158">
        <f t="shared" si="261"/>
        <v>0</v>
      </c>
      <c r="Q544" s="158">
        <f t="shared" si="261"/>
        <v>0</v>
      </c>
      <c r="R544" s="158">
        <f t="shared" si="261"/>
        <v>0</v>
      </c>
      <c r="S544" s="158">
        <f t="shared" si="261"/>
        <v>0</v>
      </c>
      <c r="T544" s="158">
        <f t="shared" si="261"/>
        <v>0</v>
      </c>
      <c r="U544" s="158">
        <f t="shared" si="261"/>
        <v>0</v>
      </c>
      <c r="V544" s="158">
        <f t="shared" si="261"/>
        <v>0</v>
      </c>
      <c r="W544" s="158">
        <f t="shared" si="261"/>
        <v>0</v>
      </c>
      <c r="X544" s="158">
        <f t="shared" si="261"/>
        <v>0</v>
      </c>
      <c r="Y544" s="158">
        <f t="shared" si="261"/>
        <v>0</v>
      </c>
      <c r="Z544" s="158">
        <f t="shared" si="261"/>
        <v>0</v>
      </c>
      <c r="AA544" s="158">
        <f t="shared" si="261"/>
        <v>0</v>
      </c>
      <c r="AB544" s="158">
        <f t="shared" si="261"/>
        <v>0</v>
      </c>
      <c r="AC544" s="158">
        <f t="shared" si="261"/>
        <v>0</v>
      </c>
      <c r="AD544" s="158">
        <f t="shared" si="261"/>
        <v>0</v>
      </c>
      <c r="AE544" s="158">
        <f t="shared" si="261"/>
        <v>0</v>
      </c>
      <c r="AF544" s="158">
        <f t="shared" si="261"/>
        <v>0</v>
      </c>
      <c r="AG544" s="158">
        <f t="shared" si="261"/>
        <v>0</v>
      </c>
      <c r="AH544" s="158">
        <f t="shared" si="261"/>
        <v>0</v>
      </c>
      <c r="AI544" s="158">
        <f t="shared" si="261"/>
        <v>0</v>
      </c>
      <c r="AJ544" s="158">
        <f t="shared" si="261"/>
        <v>0</v>
      </c>
      <c r="AK544" s="158">
        <f t="shared" si="261"/>
        <v>0</v>
      </c>
      <c r="AL544" s="158">
        <f t="shared" si="261"/>
        <v>0</v>
      </c>
      <c r="AM544" s="158">
        <f t="shared" si="261"/>
        <v>0</v>
      </c>
      <c r="AN544" s="158">
        <f t="shared" si="261"/>
        <v>0</v>
      </c>
      <c r="AO544" s="158">
        <f t="shared" si="261"/>
        <v>0</v>
      </c>
      <c r="AP544" s="158">
        <f t="shared" si="261"/>
        <v>0</v>
      </c>
    </row>
    <row r="545" spans="1:42" x14ac:dyDescent="0.2">
      <c r="A545" s="4">
        <f>A544+1</f>
        <v>9</v>
      </c>
      <c r="C545" s="158">
        <f t="shared" ref="C545:AP545" si="262">C408</f>
        <v>0</v>
      </c>
      <c r="D545" s="158">
        <f t="shared" si="262"/>
        <v>0</v>
      </c>
      <c r="E545" s="158">
        <f t="shared" si="262"/>
        <v>0</v>
      </c>
      <c r="F545" s="158">
        <f t="shared" si="262"/>
        <v>0</v>
      </c>
      <c r="G545" s="158">
        <f t="shared" si="262"/>
        <v>0</v>
      </c>
      <c r="H545" s="158">
        <f t="shared" si="262"/>
        <v>0</v>
      </c>
      <c r="I545" s="158">
        <f t="shared" si="262"/>
        <v>0</v>
      </c>
      <c r="J545" s="158">
        <f t="shared" si="262"/>
        <v>0</v>
      </c>
      <c r="K545" s="158">
        <f t="shared" si="262"/>
        <v>0</v>
      </c>
      <c r="L545" s="158">
        <f t="shared" si="262"/>
        <v>0</v>
      </c>
      <c r="M545" s="158">
        <f t="shared" si="262"/>
        <v>0</v>
      </c>
      <c r="N545" s="158">
        <f t="shared" si="262"/>
        <v>0</v>
      </c>
      <c r="O545" s="158">
        <f t="shared" si="262"/>
        <v>0</v>
      </c>
      <c r="P545" s="158">
        <f t="shared" si="262"/>
        <v>0</v>
      </c>
      <c r="Q545" s="158">
        <f t="shared" si="262"/>
        <v>0</v>
      </c>
      <c r="R545" s="158">
        <f t="shared" si="262"/>
        <v>0</v>
      </c>
      <c r="S545" s="158">
        <f t="shared" si="262"/>
        <v>0</v>
      </c>
      <c r="T545" s="158">
        <f t="shared" si="262"/>
        <v>0</v>
      </c>
      <c r="U545" s="158">
        <f t="shared" si="262"/>
        <v>0</v>
      </c>
      <c r="V545" s="158">
        <f t="shared" si="262"/>
        <v>0</v>
      </c>
      <c r="W545" s="158">
        <f t="shared" si="262"/>
        <v>0</v>
      </c>
      <c r="X545" s="158">
        <f t="shared" si="262"/>
        <v>0</v>
      </c>
      <c r="Y545" s="158">
        <f t="shared" si="262"/>
        <v>0</v>
      </c>
      <c r="Z545" s="158">
        <f t="shared" si="262"/>
        <v>0</v>
      </c>
      <c r="AA545" s="158">
        <f t="shared" si="262"/>
        <v>0</v>
      </c>
      <c r="AB545" s="158">
        <f t="shared" si="262"/>
        <v>0</v>
      </c>
      <c r="AC545" s="158">
        <f t="shared" si="262"/>
        <v>0</v>
      </c>
      <c r="AD545" s="158">
        <f t="shared" si="262"/>
        <v>0</v>
      </c>
      <c r="AE545" s="158">
        <f t="shared" si="262"/>
        <v>0</v>
      </c>
      <c r="AF545" s="158">
        <f t="shared" si="262"/>
        <v>0</v>
      </c>
      <c r="AG545" s="158">
        <f t="shared" si="262"/>
        <v>0</v>
      </c>
      <c r="AH545" s="158">
        <f t="shared" si="262"/>
        <v>0</v>
      </c>
      <c r="AI545" s="158">
        <f t="shared" si="262"/>
        <v>0</v>
      </c>
      <c r="AJ545" s="158">
        <f t="shared" si="262"/>
        <v>0</v>
      </c>
      <c r="AK545" s="158">
        <f t="shared" si="262"/>
        <v>0</v>
      </c>
      <c r="AL545" s="158">
        <f t="shared" si="262"/>
        <v>0</v>
      </c>
      <c r="AM545" s="158">
        <f t="shared" si="262"/>
        <v>0</v>
      </c>
      <c r="AN545" s="158">
        <f t="shared" si="262"/>
        <v>0</v>
      </c>
      <c r="AO545" s="158">
        <f t="shared" si="262"/>
        <v>0</v>
      </c>
      <c r="AP545" s="158">
        <f t="shared" si="262"/>
        <v>0</v>
      </c>
    </row>
    <row r="546" spans="1:42" x14ac:dyDescent="0.2">
      <c r="A546" s="4">
        <f t="shared" ref="A546" si="263">A545+1</f>
        <v>10</v>
      </c>
      <c r="C546" s="158">
        <f t="shared" ref="C546:AP546" si="264">C409</f>
        <v>0</v>
      </c>
      <c r="D546" s="158">
        <f t="shared" si="264"/>
        <v>0</v>
      </c>
      <c r="E546" s="158">
        <f t="shared" si="264"/>
        <v>0</v>
      </c>
      <c r="F546" s="158">
        <f t="shared" si="264"/>
        <v>0</v>
      </c>
      <c r="G546" s="158">
        <f t="shared" si="264"/>
        <v>0</v>
      </c>
      <c r="H546" s="158">
        <f t="shared" si="264"/>
        <v>0</v>
      </c>
      <c r="I546" s="158">
        <f t="shared" si="264"/>
        <v>0</v>
      </c>
      <c r="J546" s="158">
        <f t="shared" si="264"/>
        <v>0</v>
      </c>
      <c r="K546" s="158">
        <f t="shared" si="264"/>
        <v>0</v>
      </c>
      <c r="L546" s="158">
        <f t="shared" si="264"/>
        <v>0</v>
      </c>
      <c r="M546" s="158">
        <f t="shared" si="264"/>
        <v>0</v>
      </c>
      <c r="N546" s="158">
        <f t="shared" si="264"/>
        <v>0</v>
      </c>
      <c r="O546" s="158">
        <f t="shared" si="264"/>
        <v>0</v>
      </c>
      <c r="P546" s="158">
        <f t="shared" si="264"/>
        <v>0</v>
      </c>
      <c r="Q546" s="158">
        <f t="shared" si="264"/>
        <v>0</v>
      </c>
      <c r="R546" s="158">
        <f t="shared" si="264"/>
        <v>0</v>
      </c>
      <c r="S546" s="158">
        <f t="shared" si="264"/>
        <v>0</v>
      </c>
      <c r="T546" s="158">
        <f t="shared" si="264"/>
        <v>0</v>
      </c>
      <c r="U546" s="158">
        <f t="shared" si="264"/>
        <v>0</v>
      </c>
      <c r="V546" s="158">
        <f t="shared" si="264"/>
        <v>0</v>
      </c>
      <c r="W546" s="158">
        <f t="shared" si="264"/>
        <v>0</v>
      </c>
      <c r="X546" s="158">
        <f t="shared" si="264"/>
        <v>0</v>
      </c>
      <c r="Y546" s="158">
        <f t="shared" si="264"/>
        <v>0</v>
      </c>
      <c r="Z546" s="158">
        <f t="shared" si="264"/>
        <v>0</v>
      </c>
      <c r="AA546" s="158">
        <f t="shared" si="264"/>
        <v>0</v>
      </c>
      <c r="AB546" s="158">
        <f t="shared" si="264"/>
        <v>0</v>
      </c>
      <c r="AC546" s="158">
        <f t="shared" si="264"/>
        <v>0</v>
      </c>
      <c r="AD546" s="158">
        <f t="shared" si="264"/>
        <v>0</v>
      </c>
      <c r="AE546" s="158">
        <f t="shared" si="264"/>
        <v>0</v>
      </c>
      <c r="AF546" s="158">
        <f t="shared" si="264"/>
        <v>0</v>
      </c>
      <c r="AG546" s="158">
        <f t="shared" si="264"/>
        <v>0</v>
      </c>
      <c r="AH546" s="158">
        <f t="shared" si="264"/>
        <v>0</v>
      </c>
      <c r="AI546" s="158">
        <f t="shared" si="264"/>
        <v>0</v>
      </c>
      <c r="AJ546" s="158">
        <f t="shared" si="264"/>
        <v>0</v>
      </c>
      <c r="AK546" s="158">
        <f t="shared" si="264"/>
        <v>0</v>
      </c>
      <c r="AL546" s="158">
        <f t="shared" si="264"/>
        <v>0</v>
      </c>
      <c r="AM546" s="158">
        <f t="shared" si="264"/>
        <v>0</v>
      </c>
      <c r="AN546" s="158">
        <f t="shared" si="264"/>
        <v>0</v>
      </c>
      <c r="AO546" s="158">
        <f t="shared" si="264"/>
        <v>0</v>
      </c>
      <c r="AP546" s="158">
        <f t="shared" si="264"/>
        <v>0</v>
      </c>
    </row>
    <row r="547" spans="1:42" x14ac:dyDescent="0.2">
      <c r="A547" s="22"/>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row>
    <row r="548" spans="1:42" x14ac:dyDescent="0.2">
      <c r="A548" s="22" t="s">
        <v>81</v>
      </c>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row>
    <row r="549" spans="1:42" x14ac:dyDescent="0.2">
      <c r="A549" s="4">
        <v>1</v>
      </c>
      <c r="B549" s="176">
        <f t="shared" ref="B549:B558" si="265">SUM(C549:AP549)</f>
        <v>0</v>
      </c>
      <c r="C549" s="178">
        <f t="shared" ref="C549:AP549" si="266">LOOKUP(C537,$B$480:$AP$480,$B$481:$AP$481)*$B748/100</f>
        <v>0</v>
      </c>
      <c r="D549" s="178">
        <f t="shared" si="266"/>
        <v>0</v>
      </c>
      <c r="E549" s="178">
        <f t="shared" si="266"/>
        <v>0</v>
      </c>
      <c r="F549" s="178">
        <f t="shared" si="266"/>
        <v>0</v>
      </c>
      <c r="G549" s="178">
        <f t="shared" si="266"/>
        <v>0</v>
      </c>
      <c r="H549" s="178">
        <f t="shared" si="266"/>
        <v>0</v>
      </c>
      <c r="I549" s="178">
        <f t="shared" si="266"/>
        <v>0</v>
      </c>
      <c r="J549" s="178">
        <f t="shared" si="266"/>
        <v>0</v>
      </c>
      <c r="K549" s="178">
        <f t="shared" si="266"/>
        <v>0</v>
      </c>
      <c r="L549" s="178">
        <f t="shared" si="266"/>
        <v>0</v>
      </c>
      <c r="M549" s="178">
        <f t="shared" si="266"/>
        <v>0</v>
      </c>
      <c r="N549" s="178">
        <f t="shared" si="266"/>
        <v>0</v>
      </c>
      <c r="O549" s="178">
        <f t="shared" si="266"/>
        <v>0</v>
      </c>
      <c r="P549" s="178">
        <f t="shared" si="266"/>
        <v>0</v>
      </c>
      <c r="Q549" s="178">
        <f t="shared" si="266"/>
        <v>0</v>
      </c>
      <c r="R549" s="178">
        <f t="shared" si="266"/>
        <v>0</v>
      </c>
      <c r="S549" s="178">
        <f t="shared" si="266"/>
        <v>0</v>
      </c>
      <c r="T549" s="178">
        <f t="shared" si="266"/>
        <v>0</v>
      </c>
      <c r="U549" s="178">
        <f t="shared" si="266"/>
        <v>0</v>
      </c>
      <c r="V549" s="178">
        <f t="shared" si="266"/>
        <v>0</v>
      </c>
      <c r="W549" s="178">
        <f t="shared" si="266"/>
        <v>0</v>
      </c>
      <c r="X549" s="178">
        <f t="shared" si="266"/>
        <v>0</v>
      </c>
      <c r="Y549" s="178">
        <f t="shared" si="266"/>
        <v>0</v>
      </c>
      <c r="Z549" s="178">
        <f t="shared" si="266"/>
        <v>0</v>
      </c>
      <c r="AA549" s="178">
        <f t="shared" si="266"/>
        <v>0</v>
      </c>
      <c r="AB549" s="178">
        <f t="shared" si="266"/>
        <v>0</v>
      </c>
      <c r="AC549" s="178">
        <f t="shared" si="266"/>
        <v>0</v>
      </c>
      <c r="AD549" s="178">
        <f t="shared" si="266"/>
        <v>0</v>
      </c>
      <c r="AE549" s="178">
        <f t="shared" si="266"/>
        <v>0</v>
      </c>
      <c r="AF549" s="178">
        <f t="shared" si="266"/>
        <v>0</v>
      </c>
      <c r="AG549" s="178">
        <f t="shared" si="266"/>
        <v>0</v>
      </c>
      <c r="AH549" s="178">
        <f t="shared" si="266"/>
        <v>0</v>
      </c>
      <c r="AI549" s="178">
        <f t="shared" si="266"/>
        <v>0</v>
      </c>
      <c r="AJ549" s="178">
        <f t="shared" si="266"/>
        <v>0</v>
      </c>
      <c r="AK549" s="178">
        <f t="shared" si="266"/>
        <v>0</v>
      </c>
      <c r="AL549" s="178">
        <f t="shared" si="266"/>
        <v>0</v>
      </c>
      <c r="AM549" s="178">
        <f t="shared" si="266"/>
        <v>0</v>
      </c>
      <c r="AN549" s="178">
        <f t="shared" si="266"/>
        <v>0</v>
      </c>
      <c r="AO549" s="178">
        <f t="shared" si="266"/>
        <v>0</v>
      </c>
      <c r="AP549" s="178">
        <f t="shared" si="266"/>
        <v>0</v>
      </c>
    </row>
    <row r="550" spans="1:42" x14ac:dyDescent="0.2">
      <c r="A550" s="4">
        <f>A549+1</f>
        <v>2</v>
      </c>
      <c r="B550" s="176">
        <f t="shared" si="265"/>
        <v>0</v>
      </c>
      <c r="C550" s="178">
        <f t="shared" ref="C550:AP550" si="267">LOOKUP(C538,$B$480:$AP$480,$B$481:$AP$481)*$B749/100</f>
        <v>0</v>
      </c>
      <c r="D550" s="178">
        <f t="shared" si="267"/>
        <v>0</v>
      </c>
      <c r="E550" s="178">
        <f t="shared" si="267"/>
        <v>0</v>
      </c>
      <c r="F550" s="178">
        <f t="shared" si="267"/>
        <v>0</v>
      </c>
      <c r="G550" s="178">
        <f t="shared" si="267"/>
        <v>0</v>
      </c>
      <c r="H550" s="178">
        <f t="shared" si="267"/>
        <v>0</v>
      </c>
      <c r="I550" s="178">
        <f t="shared" si="267"/>
        <v>0</v>
      </c>
      <c r="J550" s="178">
        <f t="shared" si="267"/>
        <v>0</v>
      </c>
      <c r="K550" s="178">
        <f t="shared" si="267"/>
        <v>0</v>
      </c>
      <c r="L550" s="178">
        <f t="shared" si="267"/>
        <v>0</v>
      </c>
      <c r="M550" s="178">
        <f t="shared" si="267"/>
        <v>0</v>
      </c>
      <c r="N550" s="178">
        <f t="shared" si="267"/>
        <v>0</v>
      </c>
      <c r="O550" s="178">
        <f t="shared" si="267"/>
        <v>0</v>
      </c>
      <c r="P550" s="178">
        <f t="shared" si="267"/>
        <v>0</v>
      </c>
      <c r="Q550" s="178">
        <f t="shared" si="267"/>
        <v>0</v>
      </c>
      <c r="R550" s="178">
        <f t="shared" si="267"/>
        <v>0</v>
      </c>
      <c r="S550" s="178">
        <f t="shared" si="267"/>
        <v>0</v>
      </c>
      <c r="T550" s="178">
        <f t="shared" si="267"/>
        <v>0</v>
      </c>
      <c r="U550" s="178">
        <f t="shared" si="267"/>
        <v>0</v>
      </c>
      <c r="V550" s="178">
        <f t="shared" si="267"/>
        <v>0</v>
      </c>
      <c r="W550" s="178">
        <f t="shared" si="267"/>
        <v>0</v>
      </c>
      <c r="X550" s="178">
        <f t="shared" si="267"/>
        <v>0</v>
      </c>
      <c r="Y550" s="178">
        <f t="shared" si="267"/>
        <v>0</v>
      </c>
      <c r="Z550" s="178">
        <f t="shared" si="267"/>
        <v>0</v>
      </c>
      <c r="AA550" s="178">
        <f t="shared" si="267"/>
        <v>0</v>
      </c>
      <c r="AB550" s="178">
        <f t="shared" si="267"/>
        <v>0</v>
      </c>
      <c r="AC550" s="178">
        <f t="shared" si="267"/>
        <v>0</v>
      </c>
      <c r="AD550" s="178">
        <f t="shared" si="267"/>
        <v>0</v>
      </c>
      <c r="AE550" s="178">
        <f t="shared" si="267"/>
        <v>0</v>
      </c>
      <c r="AF550" s="178">
        <f t="shared" si="267"/>
        <v>0</v>
      </c>
      <c r="AG550" s="178">
        <f t="shared" si="267"/>
        <v>0</v>
      </c>
      <c r="AH550" s="178">
        <f t="shared" si="267"/>
        <v>0</v>
      </c>
      <c r="AI550" s="178">
        <f t="shared" si="267"/>
        <v>0</v>
      </c>
      <c r="AJ550" s="178">
        <f t="shared" si="267"/>
        <v>0</v>
      </c>
      <c r="AK550" s="178">
        <f t="shared" si="267"/>
        <v>0</v>
      </c>
      <c r="AL550" s="178">
        <f t="shared" si="267"/>
        <v>0</v>
      </c>
      <c r="AM550" s="178">
        <f t="shared" si="267"/>
        <v>0</v>
      </c>
      <c r="AN550" s="178">
        <f t="shared" si="267"/>
        <v>0</v>
      </c>
      <c r="AO550" s="178">
        <f t="shared" si="267"/>
        <v>0</v>
      </c>
      <c r="AP550" s="178">
        <f t="shared" si="267"/>
        <v>0</v>
      </c>
    </row>
    <row r="551" spans="1:42" x14ac:dyDescent="0.2">
      <c r="A551" s="4">
        <f t="shared" ref="A551:A556" si="268">A550+1</f>
        <v>3</v>
      </c>
      <c r="B551" s="176">
        <f t="shared" si="265"/>
        <v>0</v>
      </c>
      <c r="C551" s="178">
        <f t="shared" ref="C551:AP551" si="269">LOOKUP(C539,$B$480:$AP$480,$B$481:$AP$481)*$B750/100</f>
        <v>0</v>
      </c>
      <c r="D551" s="178">
        <f t="shared" si="269"/>
        <v>0</v>
      </c>
      <c r="E551" s="178">
        <f t="shared" si="269"/>
        <v>0</v>
      </c>
      <c r="F551" s="178">
        <f t="shared" si="269"/>
        <v>0</v>
      </c>
      <c r="G551" s="178">
        <f t="shared" si="269"/>
        <v>0</v>
      </c>
      <c r="H551" s="178">
        <f t="shared" si="269"/>
        <v>0</v>
      </c>
      <c r="I551" s="178">
        <f t="shared" si="269"/>
        <v>0</v>
      </c>
      <c r="J551" s="178">
        <f t="shared" si="269"/>
        <v>0</v>
      </c>
      <c r="K551" s="178">
        <f t="shared" si="269"/>
        <v>0</v>
      </c>
      <c r="L551" s="178">
        <f t="shared" si="269"/>
        <v>0</v>
      </c>
      <c r="M551" s="178">
        <f t="shared" si="269"/>
        <v>0</v>
      </c>
      <c r="N551" s="178">
        <f t="shared" si="269"/>
        <v>0</v>
      </c>
      <c r="O551" s="178">
        <f t="shared" si="269"/>
        <v>0</v>
      </c>
      <c r="P551" s="178">
        <f t="shared" si="269"/>
        <v>0</v>
      </c>
      <c r="Q551" s="178">
        <f t="shared" si="269"/>
        <v>0</v>
      </c>
      <c r="R551" s="178">
        <f t="shared" si="269"/>
        <v>0</v>
      </c>
      <c r="S551" s="178">
        <f t="shared" si="269"/>
        <v>0</v>
      </c>
      <c r="T551" s="178">
        <f t="shared" si="269"/>
        <v>0</v>
      </c>
      <c r="U551" s="178">
        <f t="shared" si="269"/>
        <v>0</v>
      </c>
      <c r="V551" s="178">
        <f t="shared" si="269"/>
        <v>0</v>
      </c>
      <c r="W551" s="178">
        <f t="shared" si="269"/>
        <v>0</v>
      </c>
      <c r="X551" s="178">
        <f t="shared" si="269"/>
        <v>0</v>
      </c>
      <c r="Y551" s="178">
        <f t="shared" si="269"/>
        <v>0</v>
      </c>
      <c r="Z551" s="178">
        <f t="shared" si="269"/>
        <v>0</v>
      </c>
      <c r="AA551" s="178">
        <f t="shared" si="269"/>
        <v>0</v>
      </c>
      <c r="AB551" s="178">
        <f t="shared" si="269"/>
        <v>0</v>
      </c>
      <c r="AC551" s="178">
        <f t="shared" si="269"/>
        <v>0</v>
      </c>
      <c r="AD551" s="178">
        <f t="shared" si="269"/>
        <v>0</v>
      </c>
      <c r="AE551" s="178">
        <f t="shared" si="269"/>
        <v>0</v>
      </c>
      <c r="AF551" s="178">
        <f t="shared" si="269"/>
        <v>0</v>
      </c>
      <c r="AG551" s="178">
        <f t="shared" si="269"/>
        <v>0</v>
      </c>
      <c r="AH551" s="178">
        <f t="shared" si="269"/>
        <v>0</v>
      </c>
      <c r="AI551" s="178">
        <f t="shared" si="269"/>
        <v>0</v>
      </c>
      <c r="AJ551" s="178">
        <f t="shared" si="269"/>
        <v>0</v>
      </c>
      <c r="AK551" s="178">
        <f t="shared" si="269"/>
        <v>0</v>
      </c>
      <c r="AL551" s="178">
        <f t="shared" si="269"/>
        <v>0</v>
      </c>
      <c r="AM551" s="178">
        <f t="shared" si="269"/>
        <v>0</v>
      </c>
      <c r="AN551" s="178">
        <f t="shared" si="269"/>
        <v>0</v>
      </c>
      <c r="AO551" s="178">
        <f t="shared" si="269"/>
        <v>0</v>
      </c>
      <c r="AP551" s="178">
        <f t="shared" si="269"/>
        <v>0</v>
      </c>
    </row>
    <row r="552" spans="1:42" x14ac:dyDescent="0.2">
      <c r="A552" s="4">
        <f t="shared" si="268"/>
        <v>4</v>
      </c>
      <c r="B552" s="176">
        <f t="shared" si="265"/>
        <v>0</v>
      </c>
      <c r="C552" s="178">
        <f t="shared" ref="C552:AP552" si="270">LOOKUP(C540,$B$480:$AP$480,$B$481:$AP$481)*$B751/100</f>
        <v>0</v>
      </c>
      <c r="D552" s="178">
        <f t="shared" si="270"/>
        <v>0</v>
      </c>
      <c r="E552" s="178">
        <f t="shared" si="270"/>
        <v>0</v>
      </c>
      <c r="F552" s="178">
        <f t="shared" si="270"/>
        <v>0</v>
      </c>
      <c r="G552" s="178">
        <f t="shared" si="270"/>
        <v>0</v>
      </c>
      <c r="H552" s="178">
        <f t="shared" si="270"/>
        <v>0</v>
      </c>
      <c r="I552" s="178">
        <f t="shared" si="270"/>
        <v>0</v>
      </c>
      <c r="J552" s="178">
        <f t="shared" si="270"/>
        <v>0</v>
      </c>
      <c r="K552" s="178">
        <f t="shared" si="270"/>
        <v>0</v>
      </c>
      <c r="L552" s="178">
        <f t="shared" si="270"/>
        <v>0</v>
      </c>
      <c r="M552" s="178">
        <f t="shared" si="270"/>
        <v>0</v>
      </c>
      <c r="N552" s="178">
        <f t="shared" si="270"/>
        <v>0</v>
      </c>
      <c r="O552" s="178">
        <f t="shared" si="270"/>
        <v>0</v>
      </c>
      <c r="P552" s="178">
        <f t="shared" si="270"/>
        <v>0</v>
      </c>
      <c r="Q552" s="178">
        <f t="shared" si="270"/>
        <v>0</v>
      </c>
      <c r="R552" s="178">
        <f t="shared" si="270"/>
        <v>0</v>
      </c>
      <c r="S552" s="178">
        <f t="shared" si="270"/>
        <v>0</v>
      </c>
      <c r="T552" s="178">
        <f t="shared" si="270"/>
        <v>0</v>
      </c>
      <c r="U552" s="178">
        <f t="shared" si="270"/>
        <v>0</v>
      </c>
      <c r="V552" s="178">
        <f t="shared" si="270"/>
        <v>0</v>
      </c>
      <c r="W552" s="178">
        <f t="shared" si="270"/>
        <v>0</v>
      </c>
      <c r="X552" s="178">
        <f t="shared" si="270"/>
        <v>0</v>
      </c>
      <c r="Y552" s="178">
        <f t="shared" si="270"/>
        <v>0</v>
      </c>
      <c r="Z552" s="178">
        <f t="shared" si="270"/>
        <v>0</v>
      </c>
      <c r="AA552" s="178">
        <f t="shared" si="270"/>
        <v>0</v>
      </c>
      <c r="AB552" s="178">
        <f t="shared" si="270"/>
        <v>0</v>
      </c>
      <c r="AC552" s="178">
        <f t="shared" si="270"/>
        <v>0</v>
      </c>
      <c r="AD552" s="178">
        <f t="shared" si="270"/>
        <v>0</v>
      </c>
      <c r="AE552" s="178">
        <f t="shared" si="270"/>
        <v>0</v>
      </c>
      <c r="AF552" s="178">
        <f t="shared" si="270"/>
        <v>0</v>
      </c>
      <c r="AG552" s="178">
        <f t="shared" si="270"/>
        <v>0</v>
      </c>
      <c r="AH552" s="178">
        <f t="shared" si="270"/>
        <v>0</v>
      </c>
      <c r="AI552" s="178">
        <f t="shared" si="270"/>
        <v>0</v>
      </c>
      <c r="AJ552" s="178">
        <f t="shared" si="270"/>
        <v>0</v>
      </c>
      <c r="AK552" s="178">
        <f t="shared" si="270"/>
        <v>0</v>
      </c>
      <c r="AL552" s="178">
        <f t="shared" si="270"/>
        <v>0</v>
      </c>
      <c r="AM552" s="178">
        <f t="shared" si="270"/>
        <v>0</v>
      </c>
      <c r="AN552" s="178">
        <f t="shared" si="270"/>
        <v>0</v>
      </c>
      <c r="AO552" s="178">
        <f t="shared" si="270"/>
        <v>0</v>
      </c>
      <c r="AP552" s="178">
        <f t="shared" si="270"/>
        <v>0</v>
      </c>
    </row>
    <row r="553" spans="1:42" x14ac:dyDescent="0.2">
      <c r="A553" s="4">
        <f t="shared" si="268"/>
        <v>5</v>
      </c>
      <c r="B553" s="176">
        <f t="shared" si="265"/>
        <v>0</v>
      </c>
      <c r="C553" s="178">
        <f t="shared" ref="C553:AP553" si="271">LOOKUP(C541,$B$480:$AP$480,$B$481:$AP$481)*$B752/100</f>
        <v>0</v>
      </c>
      <c r="D553" s="178">
        <f t="shared" si="271"/>
        <v>0</v>
      </c>
      <c r="E553" s="178">
        <f t="shared" si="271"/>
        <v>0</v>
      </c>
      <c r="F553" s="178">
        <f t="shared" si="271"/>
        <v>0</v>
      </c>
      <c r="G553" s="178">
        <f t="shared" si="271"/>
        <v>0</v>
      </c>
      <c r="H553" s="178">
        <f t="shared" si="271"/>
        <v>0</v>
      </c>
      <c r="I553" s="178">
        <f t="shared" si="271"/>
        <v>0</v>
      </c>
      <c r="J553" s="178">
        <f t="shared" si="271"/>
        <v>0</v>
      </c>
      <c r="K553" s="178">
        <f t="shared" si="271"/>
        <v>0</v>
      </c>
      <c r="L553" s="178">
        <f t="shared" si="271"/>
        <v>0</v>
      </c>
      <c r="M553" s="178">
        <f t="shared" si="271"/>
        <v>0</v>
      </c>
      <c r="N553" s="178">
        <f t="shared" si="271"/>
        <v>0</v>
      </c>
      <c r="O553" s="178">
        <f t="shared" si="271"/>
        <v>0</v>
      </c>
      <c r="P553" s="178">
        <f t="shared" si="271"/>
        <v>0</v>
      </c>
      <c r="Q553" s="178">
        <f t="shared" si="271"/>
        <v>0</v>
      </c>
      <c r="R553" s="178">
        <f t="shared" si="271"/>
        <v>0</v>
      </c>
      <c r="S553" s="178">
        <f t="shared" si="271"/>
        <v>0</v>
      </c>
      <c r="T553" s="178">
        <f t="shared" si="271"/>
        <v>0</v>
      </c>
      <c r="U553" s="178">
        <f t="shared" si="271"/>
        <v>0</v>
      </c>
      <c r="V553" s="178">
        <f t="shared" si="271"/>
        <v>0</v>
      </c>
      <c r="W553" s="178">
        <f t="shared" si="271"/>
        <v>0</v>
      </c>
      <c r="X553" s="178">
        <f t="shared" si="271"/>
        <v>0</v>
      </c>
      <c r="Y553" s="178">
        <f t="shared" si="271"/>
        <v>0</v>
      </c>
      <c r="Z553" s="178">
        <f t="shared" si="271"/>
        <v>0</v>
      </c>
      <c r="AA553" s="178">
        <f t="shared" si="271"/>
        <v>0</v>
      </c>
      <c r="AB553" s="178">
        <f t="shared" si="271"/>
        <v>0</v>
      </c>
      <c r="AC553" s="178">
        <f t="shared" si="271"/>
        <v>0</v>
      </c>
      <c r="AD553" s="178">
        <f t="shared" si="271"/>
        <v>0</v>
      </c>
      <c r="AE553" s="178">
        <f t="shared" si="271"/>
        <v>0</v>
      </c>
      <c r="AF553" s="178">
        <f t="shared" si="271"/>
        <v>0</v>
      </c>
      <c r="AG553" s="178">
        <f t="shared" si="271"/>
        <v>0</v>
      </c>
      <c r="AH553" s="178">
        <f t="shared" si="271"/>
        <v>0</v>
      </c>
      <c r="AI553" s="178">
        <f t="shared" si="271"/>
        <v>0</v>
      </c>
      <c r="AJ553" s="178">
        <f t="shared" si="271"/>
        <v>0</v>
      </c>
      <c r="AK553" s="178">
        <f t="shared" si="271"/>
        <v>0</v>
      </c>
      <c r="AL553" s="178">
        <f t="shared" si="271"/>
        <v>0</v>
      </c>
      <c r="AM553" s="178">
        <f t="shared" si="271"/>
        <v>0</v>
      </c>
      <c r="AN553" s="178">
        <f t="shared" si="271"/>
        <v>0</v>
      </c>
      <c r="AO553" s="178">
        <f t="shared" si="271"/>
        <v>0</v>
      </c>
      <c r="AP553" s="178">
        <f t="shared" si="271"/>
        <v>0</v>
      </c>
    </row>
    <row r="554" spans="1:42" x14ac:dyDescent="0.2">
      <c r="A554" s="4">
        <f t="shared" si="268"/>
        <v>6</v>
      </c>
      <c r="B554" s="176">
        <f t="shared" si="265"/>
        <v>0</v>
      </c>
      <c r="C554" s="178">
        <f t="shared" ref="C554:AP554" si="272">LOOKUP(C542,$B$480:$AP$480,$B$481:$AP$481)*$B753/100</f>
        <v>0</v>
      </c>
      <c r="D554" s="178">
        <f t="shared" si="272"/>
        <v>0</v>
      </c>
      <c r="E554" s="178">
        <f t="shared" si="272"/>
        <v>0</v>
      </c>
      <c r="F554" s="178">
        <f t="shared" si="272"/>
        <v>0</v>
      </c>
      <c r="G554" s="178">
        <f t="shared" si="272"/>
        <v>0</v>
      </c>
      <c r="H554" s="178">
        <f t="shared" si="272"/>
        <v>0</v>
      </c>
      <c r="I554" s="178">
        <f t="shared" si="272"/>
        <v>0</v>
      </c>
      <c r="J554" s="178">
        <f t="shared" si="272"/>
        <v>0</v>
      </c>
      <c r="K554" s="178">
        <f t="shared" si="272"/>
        <v>0</v>
      </c>
      <c r="L554" s="178">
        <f t="shared" si="272"/>
        <v>0</v>
      </c>
      <c r="M554" s="178">
        <f t="shared" si="272"/>
        <v>0</v>
      </c>
      <c r="N554" s="178">
        <f t="shared" si="272"/>
        <v>0</v>
      </c>
      <c r="O554" s="178">
        <f t="shared" si="272"/>
        <v>0</v>
      </c>
      <c r="P554" s="178">
        <f t="shared" si="272"/>
        <v>0</v>
      </c>
      <c r="Q554" s="178">
        <f t="shared" si="272"/>
        <v>0</v>
      </c>
      <c r="R554" s="178">
        <f t="shared" si="272"/>
        <v>0</v>
      </c>
      <c r="S554" s="178">
        <f t="shared" si="272"/>
        <v>0</v>
      </c>
      <c r="T554" s="178">
        <f t="shared" si="272"/>
        <v>0</v>
      </c>
      <c r="U554" s="178">
        <f t="shared" si="272"/>
        <v>0</v>
      </c>
      <c r="V554" s="178">
        <f t="shared" si="272"/>
        <v>0</v>
      </c>
      <c r="W554" s="178">
        <f t="shared" si="272"/>
        <v>0</v>
      </c>
      <c r="X554" s="178">
        <f t="shared" si="272"/>
        <v>0</v>
      </c>
      <c r="Y554" s="178">
        <f t="shared" si="272"/>
        <v>0</v>
      </c>
      <c r="Z554" s="178">
        <f t="shared" si="272"/>
        <v>0</v>
      </c>
      <c r="AA554" s="178">
        <f t="shared" si="272"/>
        <v>0</v>
      </c>
      <c r="AB554" s="178">
        <f t="shared" si="272"/>
        <v>0</v>
      </c>
      <c r="AC554" s="178">
        <f t="shared" si="272"/>
        <v>0</v>
      </c>
      <c r="AD554" s="178">
        <f t="shared" si="272"/>
        <v>0</v>
      </c>
      <c r="AE554" s="178">
        <f t="shared" si="272"/>
        <v>0</v>
      </c>
      <c r="AF554" s="178">
        <f t="shared" si="272"/>
        <v>0</v>
      </c>
      <c r="AG554" s="178">
        <f t="shared" si="272"/>
        <v>0</v>
      </c>
      <c r="AH554" s="178">
        <f t="shared" si="272"/>
        <v>0</v>
      </c>
      <c r="AI554" s="178">
        <f t="shared" si="272"/>
        <v>0</v>
      </c>
      <c r="AJ554" s="178">
        <f t="shared" si="272"/>
        <v>0</v>
      </c>
      <c r="AK554" s="178">
        <f t="shared" si="272"/>
        <v>0</v>
      </c>
      <c r="AL554" s="178">
        <f t="shared" si="272"/>
        <v>0</v>
      </c>
      <c r="AM554" s="178">
        <f t="shared" si="272"/>
        <v>0</v>
      </c>
      <c r="AN554" s="178">
        <f t="shared" si="272"/>
        <v>0</v>
      </c>
      <c r="AO554" s="178">
        <f t="shared" si="272"/>
        <v>0</v>
      </c>
      <c r="AP554" s="178">
        <f t="shared" si="272"/>
        <v>0</v>
      </c>
    </row>
    <row r="555" spans="1:42" x14ac:dyDescent="0.2">
      <c r="A555" s="4">
        <f t="shared" si="268"/>
        <v>7</v>
      </c>
      <c r="B555" s="176">
        <f t="shared" si="265"/>
        <v>0</v>
      </c>
      <c r="C555" s="178">
        <f t="shared" ref="C555:AP555" si="273">LOOKUP(C543,$B$480:$AP$480,$B$481:$AP$481)*$B754/100</f>
        <v>0</v>
      </c>
      <c r="D555" s="178">
        <f t="shared" si="273"/>
        <v>0</v>
      </c>
      <c r="E555" s="178">
        <f t="shared" si="273"/>
        <v>0</v>
      </c>
      <c r="F555" s="178">
        <f t="shared" si="273"/>
        <v>0</v>
      </c>
      <c r="G555" s="178">
        <f t="shared" si="273"/>
        <v>0</v>
      </c>
      <c r="H555" s="178">
        <f t="shared" si="273"/>
        <v>0</v>
      </c>
      <c r="I555" s="178">
        <f t="shared" si="273"/>
        <v>0</v>
      </c>
      <c r="J555" s="178">
        <f t="shared" si="273"/>
        <v>0</v>
      </c>
      <c r="K555" s="178">
        <f t="shared" si="273"/>
        <v>0</v>
      </c>
      <c r="L555" s="178">
        <f t="shared" si="273"/>
        <v>0</v>
      </c>
      <c r="M555" s="178">
        <f t="shared" si="273"/>
        <v>0</v>
      </c>
      <c r="N555" s="178">
        <f t="shared" si="273"/>
        <v>0</v>
      </c>
      <c r="O555" s="178">
        <f t="shared" si="273"/>
        <v>0</v>
      </c>
      <c r="P555" s="178">
        <f t="shared" si="273"/>
        <v>0</v>
      </c>
      <c r="Q555" s="178">
        <f t="shared" si="273"/>
        <v>0</v>
      </c>
      <c r="R555" s="178">
        <f t="shared" si="273"/>
        <v>0</v>
      </c>
      <c r="S555" s="178">
        <f t="shared" si="273"/>
        <v>0</v>
      </c>
      <c r="T555" s="178">
        <f t="shared" si="273"/>
        <v>0</v>
      </c>
      <c r="U555" s="178">
        <f t="shared" si="273"/>
        <v>0</v>
      </c>
      <c r="V555" s="178">
        <f t="shared" si="273"/>
        <v>0</v>
      </c>
      <c r="W555" s="178">
        <f t="shared" si="273"/>
        <v>0</v>
      </c>
      <c r="X555" s="178">
        <f t="shared" si="273"/>
        <v>0</v>
      </c>
      <c r="Y555" s="178">
        <f t="shared" si="273"/>
        <v>0</v>
      </c>
      <c r="Z555" s="178">
        <f t="shared" si="273"/>
        <v>0</v>
      </c>
      <c r="AA555" s="178">
        <f t="shared" si="273"/>
        <v>0</v>
      </c>
      <c r="AB555" s="178">
        <f t="shared" si="273"/>
        <v>0</v>
      </c>
      <c r="AC555" s="178">
        <f t="shared" si="273"/>
        <v>0</v>
      </c>
      <c r="AD555" s="178">
        <f t="shared" si="273"/>
        <v>0</v>
      </c>
      <c r="AE555" s="178">
        <f t="shared" si="273"/>
        <v>0</v>
      </c>
      <c r="AF555" s="178">
        <f t="shared" si="273"/>
        <v>0</v>
      </c>
      <c r="AG555" s="178">
        <f t="shared" si="273"/>
        <v>0</v>
      </c>
      <c r="AH555" s="178">
        <f t="shared" si="273"/>
        <v>0</v>
      </c>
      <c r="AI555" s="178">
        <f t="shared" si="273"/>
        <v>0</v>
      </c>
      <c r="AJ555" s="178">
        <f t="shared" si="273"/>
        <v>0</v>
      </c>
      <c r="AK555" s="178">
        <f t="shared" si="273"/>
        <v>0</v>
      </c>
      <c r="AL555" s="178">
        <f t="shared" si="273"/>
        <v>0</v>
      </c>
      <c r="AM555" s="178">
        <f t="shared" si="273"/>
        <v>0</v>
      </c>
      <c r="AN555" s="178">
        <f t="shared" si="273"/>
        <v>0</v>
      </c>
      <c r="AO555" s="178">
        <f t="shared" si="273"/>
        <v>0</v>
      </c>
      <c r="AP555" s="178">
        <f t="shared" si="273"/>
        <v>0</v>
      </c>
    </row>
    <row r="556" spans="1:42" x14ac:dyDescent="0.2">
      <c r="A556" s="4">
        <f t="shared" si="268"/>
        <v>8</v>
      </c>
      <c r="B556" s="176">
        <f t="shared" si="265"/>
        <v>0</v>
      </c>
      <c r="C556" s="178">
        <f t="shared" ref="C556:AP556" si="274">LOOKUP(C544,$B$480:$AP$480,$B$481:$AP$481)*$B755/100</f>
        <v>0</v>
      </c>
      <c r="D556" s="178">
        <f t="shared" si="274"/>
        <v>0</v>
      </c>
      <c r="E556" s="178">
        <f t="shared" si="274"/>
        <v>0</v>
      </c>
      <c r="F556" s="178">
        <f t="shared" si="274"/>
        <v>0</v>
      </c>
      <c r="G556" s="178">
        <f t="shared" si="274"/>
        <v>0</v>
      </c>
      <c r="H556" s="178">
        <f t="shared" si="274"/>
        <v>0</v>
      </c>
      <c r="I556" s="178">
        <f t="shared" si="274"/>
        <v>0</v>
      </c>
      <c r="J556" s="178">
        <f t="shared" si="274"/>
        <v>0</v>
      </c>
      <c r="K556" s="178">
        <f t="shared" si="274"/>
        <v>0</v>
      </c>
      <c r="L556" s="178">
        <f t="shared" si="274"/>
        <v>0</v>
      </c>
      <c r="M556" s="178">
        <f t="shared" si="274"/>
        <v>0</v>
      </c>
      <c r="N556" s="178">
        <f t="shared" si="274"/>
        <v>0</v>
      </c>
      <c r="O556" s="178">
        <f t="shared" si="274"/>
        <v>0</v>
      </c>
      <c r="P556" s="178">
        <f t="shared" si="274"/>
        <v>0</v>
      </c>
      <c r="Q556" s="178">
        <f t="shared" si="274"/>
        <v>0</v>
      </c>
      <c r="R556" s="178">
        <f t="shared" si="274"/>
        <v>0</v>
      </c>
      <c r="S556" s="178">
        <f t="shared" si="274"/>
        <v>0</v>
      </c>
      <c r="T556" s="178">
        <f t="shared" si="274"/>
        <v>0</v>
      </c>
      <c r="U556" s="178">
        <f t="shared" si="274"/>
        <v>0</v>
      </c>
      <c r="V556" s="178">
        <f t="shared" si="274"/>
        <v>0</v>
      </c>
      <c r="W556" s="178">
        <f t="shared" si="274"/>
        <v>0</v>
      </c>
      <c r="X556" s="178">
        <f t="shared" si="274"/>
        <v>0</v>
      </c>
      <c r="Y556" s="178">
        <f t="shared" si="274"/>
        <v>0</v>
      </c>
      <c r="Z556" s="178">
        <f t="shared" si="274"/>
        <v>0</v>
      </c>
      <c r="AA556" s="178">
        <f t="shared" si="274"/>
        <v>0</v>
      </c>
      <c r="AB556" s="178">
        <f t="shared" si="274"/>
        <v>0</v>
      </c>
      <c r="AC556" s="178">
        <f t="shared" si="274"/>
        <v>0</v>
      </c>
      <c r="AD556" s="178">
        <f t="shared" si="274"/>
        <v>0</v>
      </c>
      <c r="AE556" s="178">
        <f t="shared" si="274"/>
        <v>0</v>
      </c>
      <c r="AF556" s="178">
        <f t="shared" si="274"/>
        <v>0</v>
      </c>
      <c r="AG556" s="178">
        <f t="shared" si="274"/>
        <v>0</v>
      </c>
      <c r="AH556" s="178">
        <f t="shared" si="274"/>
        <v>0</v>
      </c>
      <c r="AI556" s="178">
        <f t="shared" si="274"/>
        <v>0</v>
      </c>
      <c r="AJ556" s="178">
        <f t="shared" si="274"/>
        <v>0</v>
      </c>
      <c r="AK556" s="178">
        <f t="shared" si="274"/>
        <v>0</v>
      </c>
      <c r="AL556" s="178">
        <f t="shared" si="274"/>
        <v>0</v>
      </c>
      <c r="AM556" s="178">
        <f t="shared" si="274"/>
        <v>0</v>
      </c>
      <c r="AN556" s="178">
        <f t="shared" si="274"/>
        <v>0</v>
      </c>
      <c r="AO556" s="178">
        <f t="shared" si="274"/>
        <v>0</v>
      </c>
      <c r="AP556" s="178">
        <f t="shared" si="274"/>
        <v>0</v>
      </c>
    </row>
    <row r="557" spans="1:42" x14ac:dyDescent="0.2">
      <c r="A557" s="4">
        <f>A556+1</f>
        <v>9</v>
      </c>
      <c r="B557" s="176">
        <f t="shared" si="265"/>
        <v>0</v>
      </c>
      <c r="C557" s="178">
        <f t="shared" ref="C557:AP557" si="275">LOOKUP(C545,$B$480:$AP$480,$B$481:$AP$481)*$B756/100</f>
        <v>0</v>
      </c>
      <c r="D557" s="178">
        <f t="shared" si="275"/>
        <v>0</v>
      </c>
      <c r="E557" s="178">
        <f t="shared" si="275"/>
        <v>0</v>
      </c>
      <c r="F557" s="178">
        <f t="shared" si="275"/>
        <v>0</v>
      </c>
      <c r="G557" s="178">
        <f t="shared" si="275"/>
        <v>0</v>
      </c>
      <c r="H557" s="178">
        <f t="shared" si="275"/>
        <v>0</v>
      </c>
      <c r="I557" s="178">
        <f t="shared" si="275"/>
        <v>0</v>
      </c>
      <c r="J557" s="178">
        <f t="shared" si="275"/>
        <v>0</v>
      </c>
      <c r="K557" s="178">
        <f t="shared" si="275"/>
        <v>0</v>
      </c>
      <c r="L557" s="178">
        <f t="shared" si="275"/>
        <v>0</v>
      </c>
      <c r="M557" s="178">
        <f t="shared" si="275"/>
        <v>0</v>
      </c>
      <c r="N557" s="178">
        <f t="shared" si="275"/>
        <v>0</v>
      </c>
      <c r="O557" s="178">
        <f t="shared" si="275"/>
        <v>0</v>
      </c>
      <c r="P557" s="178">
        <f t="shared" si="275"/>
        <v>0</v>
      </c>
      <c r="Q557" s="178">
        <f t="shared" si="275"/>
        <v>0</v>
      </c>
      <c r="R557" s="178">
        <f t="shared" si="275"/>
        <v>0</v>
      </c>
      <c r="S557" s="178">
        <f t="shared" si="275"/>
        <v>0</v>
      </c>
      <c r="T557" s="178">
        <f t="shared" si="275"/>
        <v>0</v>
      </c>
      <c r="U557" s="178">
        <f t="shared" si="275"/>
        <v>0</v>
      </c>
      <c r="V557" s="178">
        <f t="shared" si="275"/>
        <v>0</v>
      </c>
      <c r="W557" s="178">
        <f t="shared" si="275"/>
        <v>0</v>
      </c>
      <c r="X557" s="178">
        <f t="shared" si="275"/>
        <v>0</v>
      </c>
      <c r="Y557" s="178">
        <f t="shared" si="275"/>
        <v>0</v>
      </c>
      <c r="Z557" s="178">
        <f t="shared" si="275"/>
        <v>0</v>
      </c>
      <c r="AA557" s="178">
        <f t="shared" si="275"/>
        <v>0</v>
      </c>
      <c r="AB557" s="178">
        <f t="shared" si="275"/>
        <v>0</v>
      </c>
      <c r="AC557" s="178">
        <f t="shared" si="275"/>
        <v>0</v>
      </c>
      <c r="AD557" s="178">
        <f t="shared" si="275"/>
        <v>0</v>
      </c>
      <c r="AE557" s="178">
        <f t="shared" si="275"/>
        <v>0</v>
      </c>
      <c r="AF557" s="178">
        <f t="shared" si="275"/>
        <v>0</v>
      </c>
      <c r="AG557" s="178">
        <f t="shared" si="275"/>
        <v>0</v>
      </c>
      <c r="AH557" s="178">
        <f t="shared" si="275"/>
        <v>0</v>
      </c>
      <c r="AI557" s="178">
        <f t="shared" si="275"/>
        <v>0</v>
      </c>
      <c r="AJ557" s="178">
        <f t="shared" si="275"/>
        <v>0</v>
      </c>
      <c r="AK557" s="178">
        <f t="shared" si="275"/>
        <v>0</v>
      </c>
      <c r="AL557" s="178">
        <f t="shared" si="275"/>
        <v>0</v>
      </c>
      <c r="AM557" s="178">
        <f t="shared" si="275"/>
        <v>0</v>
      </c>
      <c r="AN557" s="178">
        <f t="shared" si="275"/>
        <v>0</v>
      </c>
      <c r="AO557" s="178">
        <f t="shared" si="275"/>
        <v>0</v>
      </c>
      <c r="AP557" s="178">
        <f t="shared" si="275"/>
        <v>0</v>
      </c>
    </row>
    <row r="558" spans="1:42" x14ac:dyDescent="0.2">
      <c r="A558" s="4">
        <f t="shared" ref="A558" si="276">A557+1</f>
        <v>10</v>
      </c>
      <c r="B558" s="176">
        <f t="shared" si="265"/>
        <v>0</v>
      </c>
      <c r="C558" s="178">
        <f t="shared" ref="C558:AP558" si="277">LOOKUP(C546,$B$480:$AP$480,$B$481:$AP$481)*$B757/100</f>
        <v>0</v>
      </c>
      <c r="D558" s="178">
        <f t="shared" si="277"/>
        <v>0</v>
      </c>
      <c r="E558" s="178">
        <f t="shared" si="277"/>
        <v>0</v>
      </c>
      <c r="F558" s="178">
        <f t="shared" si="277"/>
        <v>0</v>
      </c>
      <c r="G558" s="178">
        <f t="shared" si="277"/>
        <v>0</v>
      </c>
      <c r="H558" s="178">
        <f t="shared" si="277"/>
        <v>0</v>
      </c>
      <c r="I558" s="178">
        <f t="shared" si="277"/>
        <v>0</v>
      </c>
      <c r="J558" s="178">
        <f t="shared" si="277"/>
        <v>0</v>
      </c>
      <c r="K558" s="178">
        <f t="shared" si="277"/>
        <v>0</v>
      </c>
      <c r="L558" s="178">
        <f t="shared" si="277"/>
        <v>0</v>
      </c>
      <c r="M558" s="178">
        <f t="shared" si="277"/>
        <v>0</v>
      </c>
      <c r="N558" s="178">
        <f t="shared" si="277"/>
        <v>0</v>
      </c>
      <c r="O558" s="178">
        <f t="shared" si="277"/>
        <v>0</v>
      </c>
      <c r="P558" s="178">
        <f t="shared" si="277"/>
        <v>0</v>
      </c>
      <c r="Q558" s="178">
        <f t="shared" si="277"/>
        <v>0</v>
      </c>
      <c r="R558" s="178">
        <f t="shared" si="277"/>
        <v>0</v>
      </c>
      <c r="S558" s="178">
        <f t="shared" si="277"/>
        <v>0</v>
      </c>
      <c r="T558" s="178">
        <f t="shared" si="277"/>
        <v>0</v>
      </c>
      <c r="U558" s="178">
        <f t="shared" si="277"/>
        <v>0</v>
      </c>
      <c r="V558" s="178">
        <f t="shared" si="277"/>
        <v>0</v>
      </c>
      <c r="W558" s="178">
        <f t="shared" si="277"/>
        <v>0</v>
      </c>
      <c r="X558" s="178">
        <f t="shared" si="277"/>
        <v>0</v>
      </c>
      <c r="Y558" s="178">
        <f t="shared" si="277"/>
        <v>0</v>
      </c>
      <c r="Z558" s="178">
        <f t="shared" si="277"/>
        <v>0</v>
      </c>
      <c r="AA558" s="178">
        <f t="shared" si="277"/>
        <v>0</v>
      </c>
      <c r="AB558" s="178">
        <f t="shared" si="277"/>
        <v>0</v>
      </c>
      <c r="AC558" s="178">
        <f t="shared" si="277"/>
        <v>0</v>
      </c>
      <c r="AD558" s="178">
        <f t="shared" si="277"/>
        <v>0</v>
      </c>
      <c r="AE558" s="178">
        <f t="shared" si="277"/>
        <v>0</v>
      </c>
      <c r="AF558" s="178">
        <f t="shared" si="277"/>
        <v>0</v>
      </c>
      <c r="AG558" s="178">
        <f t="shared" si="277"/>
        <v>0</v>
      </c>
      <c r="AH558" s="178">
        <f t="shared" si="277"/>
        <v>0</v>
      </c>
      <c r="AI558" s="178">
        <f t="shared" si="277"/>
        <v>0</v>
      </c>
      <c r="AJ558" s="178">
        <f t="shared" si="277"/>
        <v>0</v>
      </c>
      <c r="AK558" s="178">
        <f t="shared" si="277"/>
        <v>0</v>
      </c>
      <c r="AL558" s="178">
        <f t="shared" si="277"/>
        <v>0</v>
      </c>
      <c r="AM558" s="178">
        <f t="shared" si="277"/>
        <v>0</v>
      </c>
      <c r="AN558" s="178">
        <f t="shared" si="277"/>
        <v>0</v>
      </c>
      <c r="AO558" s="178">
        <f t="shared" si="277"/>
        <v>0</v>
      </c>
      <c r="AP558" s="178">
        <f t="shared" si="277"/>
        <v>0</v>
      </c>
    </row>
    <row r="559" spans="1:42" x14ac:dyDescent="0.2">
      <c r="A559" s="27" t="s">
        <v>13</v>
      </c>
      <c r="B559" s="15"/>
      <c r="C559" s="158">
        <f>SUM(C549:C558)</f>
        <v>0</v>
      </c>
      <c r="D559" s="158">
        <f t="shared" ref="D559:AP559" si="278">SUM(D549:D558)</f>
        <v>0</v>
      </c>
      <c r="E559" s="158">
        <f t="shared" si="278"/>
        <v>0</v>
      </c>
      <c r="F559" s="158">
        <f t="shared" si="278"/>
        <v>0</v>
      </c>
      <c r="G559" s="158">
        <f t="shared" si="278"/>
        <v>0</v>
      </c>
      <c r="H559" s="158">
        <f t="shared" si="278"/>
        <v>0</v>
      </c>
      <c r="I559" s="158">
        <f t="shared" si="278"/>
        <v>0</v>
      </c>
      <c r="J559" s="158">
        <f t="shared" si="278"/>
        <v>0</v>
      </c>
      <c r="K559" s="158">
        <f t="shared" si="278"/>
        <v>0</v>
      </c>
      <c r="L559" s="158">
        <f t="shared" si="278"/>
        <v>0</v>
      </c>
      <c r="M559" s="158">
        <f t="shared" si="278"/>
        <v>0</v>
      </c>
      <c r="N559" s="158">
        <f t="shared" si="278"/>
        <v>0</v>
      </c>
      <c r="O559" s="158">
        <f t="shared" si="278"/>
        <v>0</v>
      </c>
      <c r="P559" s="158">
        <f t="shared" si="278"/>
        <v>0</v>
      </c>
      <c r="Q559" s="158">
        <f t="shared" si="278"/>
        <v>0</v>
      </c>
      <c r="R559" s="158">
        <f t="shared" si="278"/>
        <v>0</v>
      </c>
      <c r="S559" s="158">
        <f t="shared" si="278"/>
        <v>0</v>
      </c>
      <c r="T559" s="158">
        <f t="shared" si="278"/>
        <v>0</v>
      </c>
      <c r="U559" s="158">
        <f t="shared" si="278"/>
        <v>0</v>
      </c>
      <c r="V559" s="158">
        <f t="shared" si="278"/>
        <v>0</v>
      </c>
      <c r="W559" s="158">
        <f t="shared" si="278"/>
        <v>0</v>
      </c>
      <c r="X559" s="158">
        <f t="shared" si="278"/>
        <v>0</v>
      </c>
      <c r="Y559" s="158">
        <f t="shared" si="278"/>
        <v>0</v>
      </c>
      <c r="Z559" s="158">
        <f t="shared" si="278"/>
        <v>0</v>
      </c>
      <c r="AA559" s="158">
        <f t="shared" si="278"/>
        <v>0</v>
      </c>
      <c r="AB559" s="158">
        <f t="shared" si="278"/>
        <v>0</v>
      </c>
      <c r="AC559" s="158">
        <f t="shared" si="278"/>
        <v>0</v>
      </c>
      <c r="AD559" s="158">
        <f t="shared" si="278"/>
        <v>0</v>
      </c>
      <c r="AE559" s="158">
        <f t="shared" si="278"/>
        <v>0</v>
      </c>
      <c r="AF559" s="158">
        <f t="shared" si="278"/>
        <v>0</v>
      </c>
      <c r="AG559" s="158">
        <f t="shared" si="278"/>
        <v>0</v>
      </c>
      <c r="AH559" s="158">
        <f t="shared" si="278"/>
        <v>0</v>
      </c>
      <c r="AI559" s="158">
        <f t="shared" si="278"/>
        <v>0</v>
      </c>
      <c r="AJ559" s="158">
        <f t="shared" si="278"/>
        <v>0</v>
      </c>
      <c r="AK559" s="158">
        <f t="shared" si="278"/>
        <v>0</v>
      </c>
      <c r="AL559" s="158">
        <f t="shared" si="278"/>
        <v>0</v>
      </c>
      <c r="AM559" s="158">
        <f t="shared" si="278"/>
        <v>0</v>
      </c>
      <c r="AN559" s="158">
        <f t="shared" si="278"/>
        <v>0</v>
      </c>
      <c r="AO559" s="158">
        <f t="shared" si="278"/>
        <v>0</v>
      </c>
      <c r="AP559" s="158">
        <f t="shared" si="278"/>
        <v>0</v>
      </c>
    </row>
    <row r="560" spans="1:42" x14ac:dyDescent="0.2">
      <c r="A560" s="27"/>
      <c r="B560" s="15"/>
      <c r="C560" s="158"/>
      <c r="D560" s="158"/>
      <c r="E560" s="158"/>
      <c r="F560" s="158"/>
      <c r="G560" s="158"/>
      <c r="H560" s="158"/>
      <c r="I560" s="158"/>
      <c r="J560" s="158"/>
      <c r="K560" s="158"/>
      <c r="L560" s="158"/>
      <c r="M560" s="158"/>
      <c r="N560" s="158"/>
      <c r="O560" s="158"/>
      <c r="P560" s="158"/>
      <c r="Q560" s="158"/>
      <c r="R560" s="158"/>
      <c r="S560" s="158"/>
      <c r="T560" s="158"/>
      <c r="U560" s="158"/>
      <c r="V560" s="158"/>
      <c r="W560" s="158"/>
      <c r="X560" s="158"/>
      <c r="Y560" s="158"/>
      <c r="Z560" s="158"/>
      <c r="AA560" s="158"/>
      <c r="AB560" s="158"/>
      <c r="AC560" s="158"/>
      <c r="AD560" s="158"/>
      <c r="AE560" s="158"/>
      <c r="AF560" s="158"/>
      <c r="AG560" s="158"/>
      <c r="AH560" s="158"/>
      <c r="AI560" s="158"/>
      <c r="AJ560" s="158"/>
      <c r="AK560" s="158"/>
      <c r="AL560" s="158"/>
      <c r="AM560" s="158"/>
      <c r="AN560" s="158"/>
      <c r="AO560" s="158"/>
      <c r="AP560" s="158"/>
    </row>
    <row r="561" spans="1:42" x14ac:dyDescent="0.2">
      <c r="A561" s="84" t="s">
        <v>211</v>
      </c>
      <c r="B561" s="216"/>
      <c r="C561" s="216"/>
      <c r="D561" s="216"/>
      <c r="E561" s="216"/>
      <c r="F561" s="216"/>
      <c r="G561" s="216"/>
      <c r="H561" s="216"/>
      <c r="I561" s="216"/>
      <c r="J561" s="216"/>
      <c r="K561" s="216"/>
      <c r="L561" s="216"/>
      <c r="M561" s="216"/>
      <c r="N561" s="216"/>
      <c r="O561" s="216"/>
      <c r="P561" s="216"/>
      <c r="Q561" s="216"/>
      <c r="R561" s="216"/>
      <c r="S561" s="216"/>
      <c r="T561" s="216"/>
      <c r="U561" s="216"/>
      <c r="V561" s="216"/>
      <c r="W561" s="216"/>
      <c r="X561" s="216"/>
      <c r="Y561" s="216"/>
      <c r="Z561" s="216"/>
      <c r="AA561" s="216"/>
      <c r="AB561" s="216"/>
      <c r="AC561" s="216"/>
      <c r="AD561" s="216"/>
      <c r="AE561" s="216"/>
      <c r="AF561" s="216"/>
      <c r="AG561" s="216"/>
      <c r="AH561" s="216"/>
      <c r="AI561" s="216"/>
      <c r="AJ561" s="216"/>
      <c r="AK561" s="216"/>
      <c r="AL561" s="216"/>
      <c r="AM561" s="216"/>
      <c r="AN561" s="216"/>
      <c r="AO561" s="216"/>
      <c r="AP561" s="216"/>
    </row>
    <row r="562" spans="1:42" x14ac:dyDescent="0.2">
      <c r="A562" s="20" t="s">
        <v>462</v>
      </c>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119"/>
      <c r="AK562" s="119"/>
      <c r="AL562" s="119"/>
      <c r="AM562" s="119"/>
      <c r="AN562" s="119"/>
      <c r="AO562" s="119"/>
      <c r="AP562" s="119"/>
    </row>
    <row r="563" spans="1:42" x14ac:dyDescent="0.2">
      <c r="A563" s="18" t="s">
        <v>5</v>
      </c>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c r="AH563" s="119"/>
      <c r="AI563" s="119"/>
      <c r="AJ563" s="119"/>
      <c r="AK563" s="119"/>
      <c r="AL563" s="119"/>
      <c r="AM563" s="119"/>
      <c r="AN563" s="119"/>
      <c r="AO563" s="119"/>
      <c r="AP563" s="119"/>
    </row>
    <row r="564" spans="1:42" x14ac:dyDescent="0.2">
      <c r="A564" s="88" t="s">
        <v>463</v>
      </c>
      <c r="B564" s="119"/>
      <c r="C564" s="119">
        <f t="array" ref="C564:AP564">Inputs!D183:AQ183</f>
        <v>0</v>
      </c>
      <c r="D564" s="119">
        <v>0</v>
      </c>
      <c r="E564" s="119">
        <v>0</v>
      </c>
      <c r="F564" s="119">
        <v>0</v>
      </c>
      <c r="G564" s="119">
        <v>0</v>
      </c>
      <c r="H564" s="119">
        <v>0</v>
      </c>
      <c r="I564" s="119">
        <v>0</v>
      </c>
      <c r="J564" s="119">
        <v>0</v>
      </c>
      <c r="K564" s="119">
        <v>0</v>
      </c>
      <c r="L564" s="119">
        <v>0</v>
      </c>
      <c r="M564" s="119">
        <v>0</v>
      </c>
      <c r="N564" s="119">
        <v>0</v>
      </c>
      <c r="O564" s="119">
        <v>0</v>
      </c>
      <c r="P564" s="119">
        <v>0</v>
      </c>
      <c r="Q564" s="119">
        <v>0</v>
      </c>
      <c r="R564" s="119">
        <v>0</v>
      </c>
      <c r="S564" s="119">
        <v>0</v>
      </c>
      <c r="T564" s="119">
        <v>0</v>
      </c>
      <c r="U564" s="119">
        <v>0</v>
      </c>
      <c r="V564" s="119">
        <v>0</v>
      </c>
      <c r="W564" s="119">
        <v>0</v>
      </c>
      <c r="X564" s="119">
        <v>0</v>
      </c>
      <c r="Y564" s="119">
        <v>0</v>
      </c>
      <c r="Z564" s="119">
        <v>0</v>
      </c>
      <c r="AA564" s="119">
        <v>0</v>
      </c>
      <c r="AB564" s="119">
        <v>0</v>
      </c>
      <c r="AC564" s="119">
        <v>0</v>
      </c>
      <c r="AD564" s="119">
        <v>0</v>
      </c>
      <c r="AE564" s="119">
        <v>0</v>
      </c>
      <c r="AF564" s="119">
        <v>0</v>
      </c>
      <c r="AG564" s="119">
        <v>0</v>
      </c>
      <c r="AH564" s="119">
        <v>0</v>
      </c>
      <c r="AI564" s="119">
        <v>0</v>
      </c>
      <c r="AJ564" s="119">
        <v>0</v>
      </c>
      <c r="AK564" s="119">
        <v>0</v>
      </c>
      <c r="AL564" s="119">
        <v>0</v>
      </c>
      <c r="AM564" s="119">
        <v>0</v>
      </c>
      <c r="AN564" s="119">
        <v>0</v>
      </c>
      <c r="AO564" s="119">
        <v>0</v>
      </c>
      <c r="AP564" s="119">
        <v>0</v>
      </c>
    </row>
    <row r="565" spans="1:42" x14ac:dyDescent="0.2">
      <c r="A565" s="88" t="s">
        <v>464</v>
      </c>
      <c r="B565" s="119"/>
      <c r="C565" s="119">
        <f t="array" ref="C565:AP565">Inputs!D186:AQ186</f>
        <v>0</v>
      </c>
      <c r="D565" s="119">
        <v>0</v>
      </c>
      <c r="E565" s="119">
        <v>0</v>
      </c>
      <c r="F565" s="119">
        <v>0</v>
      </c>
      <c r="G565" s="119">
        <v>0</v>
      </c>
      <c r="H565" s="119">
        <v>0</v>
      </c>
      <c r="I565" s="119">
        <v>0</v>
      </c>
      <c r="J565" s="119">
        <v>0</v>
      </c>
      <c r="K565" s="119">
        <v>0</v>
      </c>
      <c r="L565" s="119">
        <v>0</v>
      </c>
      <c r="M565" s="119">
        <v>0</v>
      </c>
      <c r="N565" s="119">
        <v>0</v>
      </c>
      <c r="O565" s="119">
        <v>0</v>
      </c>
      <c r="P565" s="119">
        <v>0</v>
      </c>
      <c r="Q565" s="119">
        <v>0</v>
      </c>
      <c r="R565" s="119">
        <v>0</v>
      </c>
      <c r="S565" s="119">
        <v>0</v>
      </c>
      <c r="T565" s="119">
        <v>0</v>
      </c>
      <c r="U565" s="119">
        <v>0</v>
      </c>
      <c r="V565" s="119">
        <v>0</v>
      </c>
      <c r="W565" s="119">
        <v>0</v>
      </c>
      <c r="X565" s="119">
        <v>0</v>
      </c>
      <c r="Y565" s="119">
        <v>0</v>
      </c>
      <c r="Z565" s="119">
        <v>0</v>
      </c>
      <c r="AA565" s="119">
        <v>0</v>
      </c>
      <c r="AB565" s="119">
        <v>0</v>
      </c>
      <c r="AC565" s="119">
        <v>0</v>
      </c>
      <c r="AD565" s="119">
        <v>0</v>
      </c>
      <c r="AE565" s="119">
        <v>0</v>
      </c>
      <c r="AF565" s="119">
        <v>0</v>
      </c>
      <c r="AG565" s="119">
        <v>0</v>
      </c>
      <c r="AH565" s="119">
        <v>0</v>
      </c>
      <c r="AI565" s="119">
        <v>0</v>
      </c>
      <c r="AJ565" s="119">
        <v>0</v>
      </c>
      <c r="AK565" s="119">
        <v>0</v>
      </c>
      <c r="AL565" s="119">
        <v>0</v>
      </c>
      <c r="AM565" s="119">
        <v>0</v>
      </c>
      <c r="AN565" s="119">
        <v>0</v>
      </c>
      <c r="AO565" s="119">
        <v>0</v>
      </c>
      <c r="AP565" s="119">
        <v>0</v>
      </c>
    </row>
    <row r="566" spans="1:42" x14ac:dyDescent="0.2">
      <c r="A566" s="22" t="s">
        <v>465</v>
      </c>
      <c r="B566" s="333"/>
      <c r="C566" s="333">
        <f t="array" ref="C566:AP566">Inputs!D187:AQ187</f>
        <v>9.9999999999999998E+37</v>
      </c>
      <c r="D566" s="333">
        <v>9.9999999999999998E+37</v>
      </c>
      <c r="E566" s="333">
        <v>9.9999999999999998E+37</v>
      </c>
      <c r="F566" s="333">
        <v>9.9999999999999998E+37</v>
      </c>
      <c r="G566" s="333">
        <v>9.9999999999999998E+37</v>
      </c>
      <c r="H566" s="333">
        <v>9.9999999999999998E+37</v>
      </c>
      <c r="I566" s="333">
        <v>9.9999999999999998E+37</v>
      </c>
      <c r="J566" s="333">
        <v>9.9999999999999998E+37</v>
      </c>
      <c r="K566" s="333">
        <v>9.9999999999999998E+37</v>
      </c>
      <c r="L566" s="333">
        <v>9.9999999999999998E+37</v>
      </c>
      <c r="M566" s="333">
        <v>9.9999999999999998E+37</v>
      </c>
      <c r="N566" s="333">
        <v>9.9999999999999998E+37</v>
      </c>
      <c r="O566" s="333">
        <v>9.9999999999999998E+37</v>
      </c>
      <c r="P566" s="333">
        <v>9.9999999999999998E+37</v>
      </c>
      <c r="Q566" s="333">
        <v>9.9999999999999998E+37</v>
      </c>
      <c r="R566" s="333">
        <v>9.9999999999999998E+37</v>
      </c>
      <c r="S566" s="333">
        <v>9.9999999999999998E+37</v>
      </c>
      <c r="T566" s="333">
        <v>9.9999999999999998E+37</v>
      </c>
      <c r="U566" s="333">
        <v>9.9999999999999998E+37</v>
      </c>
      <c r="V566" s="333">
        <v>9.9999999999999998E+37</v>
      </c>
      <c r="W566" s="333">
        <v>9.9999999999999998E+37</v>
      </c>
      <c r="X566" s="333">
        <v>9.9999999999999998E+37</v>
      </c>
      <c r="Y566" s="333">
        <v>9.9999999999999998E+37</v>
      </c>
      <c r="Z566" s="333">
        <v>9.9999999999999998E+37</v>
      </c>
      <c r="AA566" s="333">
        <v>9.9999999999999998E+37</v>
      </c>
      <c r="AB566" s="333">
        <v>0</v>
      </c>
      <c r="AC566" s="333">
        <v>0</v>
      </c>
      <c r="AD566" s="333">
        <v>0</v>
      </c>
      <c r="AE566" s="333">
        <v>0</v>
      </c>
      <c r="AF566" s="333">
        <v>0</v>
      </c>
      <c r="AG566" s="333">
        <v>0</v>
      </c>
      <c r="AH566" s="333">
        <v>0</v>
      </c>
      <c r="AI566" s="333">
        <v>0</v>
      </c>
      <c r="AJ566" s="333">
        <v>0</v>
      </c>
      <c r="AK566" s="333">
        <v>0</v>
      </c>
      <c r="AL566" s="333">
        <v>0</v>
      </c>
      <c r="AM566" s="333">
        <v>0</v>
      </c>
      <c r="AN566" s="333">
        <v>0</v>
      </c>
      <c r="AO566" s="333">
        <v>0</v>
      </c>
      <c r="AP566" s="333">
        <v>0</v>
      </c>
    </row>
    <row r="567" spans="1:42" x14ac:dyDescent="0.2">
      <c r="A567" s="22" t="s">
        <v>466</v>
      </c>
      <c r="B567" s="119"/>
      <c r="C567" s="119">
        <f>MIN(C$566,C$565/100*$G$298)</f>
        <v>0</v>
      </c>
      <c r="D567" s="119">
        <f t="shared" ref="D567:AP567" si="279">MIN(D$566,D$565/100*$G$298)</f>
        <v>0</v>
      </c>
      <c r="E567" s="119">
        <f t="shared" si="279"/>
        <v>0</v>
      </c>
      <c r="F567" s="119">
        <f t="shared" si="279"/>
        <v>0</v>
      </c>
      <c r="G567" s="119">
        <f t="shared" si="279"/>
        <v>0</v>
      </c>
      <c r="H567" s="119">
        <f t="shared" si="279"/>
        <v>0</v>
      </c>
      <c r="I567" s="119">
        <f t="shared" si="279"/>
        <v>0</v>
      </c>
      <c r="J567" s="119">
        <f t="shared" si="279"/>
        <v>0</v>
      </c>
      <c r="K567" s="119">
        <f t="shared" si="279"/>
        <v>0</v>
      </c>
      <c r="L567" s="119">
        <f t="shared" si="279"/>
        <v>0</v>
      </c>
      <c r="M567" s="119">
        <f t="shared" si="279"/>
        <v>0</v>
      </c>
      <c r="N567" s="119">
        <f t="shared" si="279"/>
        <v>0</v>
      </c>
      <c r="O567" s="119">
        <f t="shared" si="279"/>
        <v>0</v>
      </c>
      <c r="P567" s="119">
        <f t="shared" si="279"/>
        <v>0</v>
      </c>
      <c r="Q567" s="119">
        <f t="shared" si="279"/>
        <v>0</v>
      </c>
      <c r="R567" s="119">
        <f t="shared" si="279"/>
        <v>0</v>
      </c>
      <c r="S567" s="119">
        <f t="shared" si="279"/>
        <v>0</v>
      </c>
      <c r="T567" s="119">
        <f t="shared" si="279"/>
        <v>0</v>
      </c>
      <c r="U567" s="119">
        <f t="shared" si="279"/>
        <v>0</v>
      </c>
      <c r="V567" s="119">
        <f t="shared" si="279"/>
        <v>0</v>
      </c>
      <c r="W567" s="119">
        <f t="shared" si="279"/>
        <v>0</v>
      </c>
      <c r="X567" s="119">
        <f t="shared" si="279"/>
        <v>0</v>
      </c>
      <c r="Y567" s="119">
        <f t="shared" si="279"/>
        <v>0</v>
      </c>
      <c r="Z567" s="119">
        <f t="shared" si="279"/>
        <v>0</v>
      </c>
      <c r="AA567" s="119">
        <f t="shared" si="279"/>
        <v>0</v>
      </c>
      <c r="AB567" s="119">
        <f t="shared" si="279"/>
        <v>0</v>
      </c>
      <c r="AC567" s="119">
        <f t="shared" si="279"/>
        <v>0</v>
      </c>
      <c r="AD567" s="119">
        <f t="shared" si="279"/>
        <v>0</v>
      </c>
      <c r="AE567" s="119">
        <f t="shared" si="279"/>
        <v>0</v>
      </c>
      <c r="AF567" s="119">
        <f t="shared" si="279"/>
        <v>0</v>
      </c>
      <c r="AG567" s="119">
        <f t="shared" si="279"/>
        <v>0</v>
      </c>
      <c r="AH567" s="119">
        <f t="shared" si="279"/>
        <v>0</v>
      </c>
      <c r="AI567" s="119">
        <f t="shared" si="279"/>
        <v>0</v>
      </c>
      <c r="AJ567" s="119">
        <f t="shared" si="279"/>
        <v>0</v>
      </c>
      <c r="AK567" s="119">
        <f t="shared" si="279"/>
        <v>0</v>
      </c>
      <c r="AL567" s="119">
        <f t="shared" si="279"/>
        <v>0</v>
      </c>
      <c r="AM567" s="119">
        <f t="shared" si="279"/>
        <v>0</v>
      </c>
      <c r="AN567" s="119">
        <f t="shared" si="279"/>
        <v>0</v>
      </c>
      <c r="AO567" s="119">
        <f t="shared" si="279"/>
        <v>0</v>
      </c>
      <c r="AP567" s="119">
        <f t="shared" si="279"/>
        <v>0</v>
      </c>
    </row>
    <row r="568" spans="1:42" x14ac:dyDescent="0.2">
      <c r="A568" s="88" t="s">
        <v>13</v>
      </c>
      <c r="B568" s="119"/>
      <c r="C568" s="119">
        <f>C$564+C$567</f>
        <v>0</v>
      </c>
      <c r="D568" s="119">
        <f t="shared" ref="D568:AP568" si="280">D$564+D$567</f>
        <v>0</v>
      </c>
      <c r="E568" s="119">
        <f t="shared" si="280"/>
        <v>0</v>
      </c>
      <c r="F568" s="119">
        <f t="shared" si="280"/>
        <v>0</v>
      </c>
      <c r="G568" s="119">
        <f t="shared" si="280"/>
        <v>0</v>
      </c>
      <c r="H568" s="119">
        <f t="shared" si="280"/>
        <v>0</v>
      </c>
      <c r="I568" s="119">
        <f t="shared" si="280"/>
        <v>0</v>
      </c>
      <c r="J568" s="119">
        <f t="shared" si="280"/>
        <v>0</v>
      </c>
      <c r="K568" s="119">
        <f t="shared" si="280"/>
        <v>0</v>
      </c>
      <c r="L568" s="119">
        <f t="shared" si="280"/>
        <v>0</v>
      </c>
      <c r="M568" s="119">
        <f t="shared" si="280"/>
        <v>0</v>
      </c>
      <c r="N568" s="119">
        <f t="shared" si="280"/>
        <v>0</v>
      </c>
      <c r="O568" s="119">
        <f t="shared" si="280"/>
        <v>0</v>
      </c>
      <c r="P568" s="119">
        <f t="shared" si="280"/>
        <v>0</v>
      </c>
      <c r="Q568" s="119">
        <f t="shared" si="280"/>
        <v>0</v>
      </c>
      <c r="R568" s="119">
        <f t="shared" si="280"/>
        <v>0</v>
      </c>
      <c r="S568" s="119">
        <f t="shared" si="280"/>
        <v>0</v>
      </c>
      <c r="T568" s="119">
        <f t="shared" si="280"/>
        <v>0</v>
      </c>
      <c r="U568" s="119">
        <f t="shared" si="280"/>
        <v>0</v>
      </c>
      <c r="V568" s="119">
        <f t="shared" si="280"/>
        <v>0</v>
      </c>
      <c r="W568" s="119">
        <f t="shared" si="280"/>
        <v>0</v>
      </c>
      <c r="X568" s="119">
        <f t="shared" si="280"/>
        <v>0</v>
      </c>
      <c r="Y568" s="119">
        <f t="shared" si="280"/>
        <v>0</v>
      </c>
      <c r="Z568" s="119">
        <f t="shared" si="280"/>
        <v>0</v>
      </c>
      <c r="AA568" s="119">
        <f t="shared" si="280"/>
        <v>0</v>
      </c>
      <c r="AB568" s="119">
        <f t="shared" si="280"/>
        <v>0</v>
      </c>
      <c r="AC568" s="119">
        <f t="shared" si="280"/>
        <v>0</v>
      </c>
      <c r="AD568" s="119">
        <f t="shared" si="280"/>
        <v>0</v>
      </c>
      <c r="AE568" s="119">
        <f t="shared" si="280"/>
        <v>0</v>
      </c>
      <c r="AF568" s="119">
        <f t="shared" si="280"/>
        <v>0</v>
      </c>
      <c r="AG568" s="119">
        <f t="shared" si="280"/>
        <v>0</v>
      </c>
      <c r="AH568" s="119">
        <f t="shared" si="280"/>
        <v>0</v>
      </c>
      <c r="AI568" s="119">
        <f t="shared" si="280"/>
        <v>0</v>
      </c>
      <c r="AJ568" s="119">
        <f t="shared" si="280"/>
        <v>0</v>
      </c>
      <c r="AK568" s="119">
        <f t="shared" si="280"/>
        <v>0</v>
      </c>
      <c r="AL568" s="119">
        <f t="shared" si="280"/>
        <v>0</v>
      </c>
      <c r="AM568" s="119">
        <f t="shared" si="280"/>
        <v>0</v>
      </c>
      <c r="AN568" s="119">
        <f t="shared" si="280"/>
        <v>0</v>
      </c>
      <c r="AO568" s="119">
        <f t="shared" si="280"/>
        <v>0</v>
      </c>
      <c r="AP568" s="119">
        <f t="shared" si="280"/>
        <v>0</v>
      </c>
    </row>
    <row r="569" spans="1:42" x14ac:dyDescent="0.2">
      <c r="A569" s="18" t="s">
        <v>4</v>
      </c>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5"/>
    </row>
    <row r="570" spans="1:42" x14ac:dyDescent="0.2">
      <c r="A570" s="88" t="s">
        <v>463</v>
      </c>
      <c r="B570" s="119"/>
      <c r="C570" s="119">
        <f t="array" ref="C570:AP570">Inputs!D182:AQ182</f>
        <v>0</v>
      </c>
      <c r="D570" s="119">
        <v>0</v>
      </c>
      <c r="E570" s="119">
        <v>0</v>
      </c>
      <c r="F570" s="119">
        <v>0</v>
      </c>
      <c r="G570" s="119">
        <v>0</v>
      </c>
      <c r="H570" s="119">
        <v>0</v>
      </c>
      <c r="I570" s="119">
        <v>0</v>
      </c>
      <c r="J570" s="119">
        <v>0</v>
      </c>
      <c r="K570" s="119">
        <v>0</v>
      </c>
      <c r="L570" s="119">
        <v>0</v>
      </c>
      <c r="M570" s="119">
        <v>0</v>
      </c>
      <c r="N570" s="119">
        <v>0</v>
      </c>
      <c r="O570" s="119">
        <v>0</v>
      </c>
      <c r="P570" s="119">
        <v>0</v>
      </c>
      <c r="Q570" s="119">
        <v>0</v>
      </c>
      <c r="R570" s="119">
        <v>0</v>
      </c>
      <c r="S570" s="119">
        <v>0</v>
      </c>
      <c r="T570" s="119">
        <v>0</v>
      </c>
      <c r="U570" s="119">
        <v>0</v>
      </c>
      <c r="V570" s="119">
        <v>0</v>
      </c>
      <c r="W570" s="119">
        <v>0</v>
      </c>
      <c r="X570" s="119">
        <v>0</v>
      </c>
      <c r="Y570" s="119">
        <v>0</v>
      </c>
      <c r="Z570" s="119">
        <v>0</v>
      </c>
      <c r="AA570" s="119">
        <v>0</v>
      </c>
      <c r="AB570" s="119">
        <v>0</v>
      </c>
      <c r="AC570" s="119">
        <v>0</v>
      </c>
      <c r="AD570" s="119">
        <v>0</v>
      </c>
      <c r="AE570" s="119">
        <v>0</v>
      </c>
      <c r="AF570" s="119">
        <v>0</v>
      </c>
      <c r="AG570" s="119">
        <v>0</v>
      </c>
      <c r="AH570" s="119">
        <v>0</v>
      </c>
      <c r="AI570" s="119">
        <v>0</v>
      </c>
      <c r="AJ570" s="119">
        <v>0</v>
      </c>
      <c r="AK570" s="119">
        <v>0</v>
      </c>
      <c r="AL570" s="119">
        <v>0</v>
      </c>
      <c r="AM570" s="119">
        <v>0</v>
      </c>
      <c r="AN570" s="119">
        <v>0</v>
      </c>
      <c r="AO570" s="119">
        <v>0</v>
      </c>
      <c r="AP570" s="119">
        <v>0</v>
      </c>
    </row>
    <row r="571" spans="1:42" x14ac:dyDescent="0.2">
      <c r="A571" s="88" t="s">
        <v>467</v>
      </c>
      <c r="B571" s="119"/>
      <c r="C571" s="119">
        <f t="array" ref="C571:AP571">Inputs!D184:AQ184</f>
        <v>30</v>
      </c>
      <c r="D571" s="119">
        <v>0</v>
      </c>
      <c r="E571" s="119">
        <v>0</v>
      </c>
      <c r="F571" s="119">
        <v>0</v>
      </c>
      <c r="G571" s="119">
        <v>0</v>
      </c>
      <c r="H571" s="119">
        <v>0</v>
      </c>
      <c r="I571" s="119">
        <v>0</v>
      </c>
      <c r="J571" s="119">
        <v>0</v>
      </c>
      <c r="K571" s="119">
        <v>0</v>
      </c>
      <c r="L571" s="119">
        <v>0</v>
      </c>
      <c r="M571" s="119">
        <v>0</v>
      </c>
      <c r="N571" s="119">
        <v>0</v>
      </c>
      <c r="O571" s="119">
        <v>0</v>
      </c>
      <c r="P571" s="119">
        <v>0</v>
      </c>
      <c r="Q571" s="119">
        <v>0</v>
      </c>
      <c r="R571" s="119">
        <v>0</v>
      </c>
      <c r="S571" s="119">
        <v>0</v>
      </c>
      <c r="T571" s="119">
        <v>0</v>
      </c>
      <c r="U571" s="119">
        <v>0</v>
      </c>
      <c r="V571" s="119">
        <v>0</v>
      </c>
      <c r="W571" s="119">
        <v>0</v>
      </c>
      <c r="X571" s="119">
        <v>0</v>
      </c>
      <c r="Y571" s="119">
        <v>0</v>
      </c>
      <c r="Z571" s="119">
        <v>0</v>
      </c>
      <c r="AA571" s="119">
        <v>0</v>
      </c>
      <c r="AB571" s="119">
        <v>0</v>
      </c>
      <c r="AC571" s="119">
        <v>0</v>
      </c>
      <c r="AD571" s="119">
        <v>0</v>
      </c>
      <c r="AE571" s="119">
        <v>0</v>
      </c>
      <c r="AF571" s="119">
        <v>0</v>
      </c>
      <c r="AG571" s="119">
        <v>0</v>
      </c>
      <c r="AH571" s="119">
        <v>0</v>
      </c>
      <c r="AI571" s="119">
        <v>0</v>
      </c>
      <c r="AJ571" s="119">
        <v>0</v>
      </c>
      <c r="AK571" s="119">
        <v>0</v>
      </c>
      <c r="AL571" s="119">
        <v>0</v>
      </c>
      <c r="AM571" s="119">
        <v>0</v>
      </c>
      <c r="AN571" s="119">
        <v>0</v>
      </c>
      <c r="AO571" s="119">
        <v>0</v>
      </c>
      <c r="AP571" s="119">
        <v>0</v>
      </c>
    </row>
    <row r="572" spans="1:42" x14ac:dyDescent="0.2">
      <c r="A572" s="22" t="s">
        <v>465</v>
      </c>
      <c r="B572" s="333"/>
      <c r="C572" s="333">
        <f t="array" ref="C572:AP572">Inputs!D185:AQ185</f>
        <v>9.9999999999999998E+37</v>
      </c>
      <c r="D572" s="333">
        <v>9.9999999999999998E+37</v>
      </c>
      <c r="E572" s="333">
        <v>9.9999999999999998E+37</v>
      </c>
      <c r="F572" s="333">
        <v>9.9999999999999998E+37</v>
      </c>
      <c r="G572" s="333">
        <v>9.9999999999999998E+37</v>
      </c>
      <c r="H572" s="333">
        <v>9.9999999999999998E+37</v>
      </c>
      <c r="I572" s="333">
        <v>9.9999999999999998E+37</v>
      </c>
      <c r="J572" s="333">
        <v>9.9999999999999998E+37</v>
      </c>
      <c r="K572" s="333">
        <v>9.9999999999999998E+37</v>
      </c>
      <c r="L572" s="333">
        <v>9.9999999999999998E+37</v>
      </c>
      <c r="M572" s="333">
        <v>9.9999999999999998E+37</v>
      </c>
      <c r="N572" s="333">
        <v>9.9999999999999998E+37</v>
      </c>
      <c r="O572" s="333">
        <v>9.9999999999999998E+37</v>
      </c>
      <c r="P572" s="333">
        <v>9.9999999999999998E+37</v>
      </c>
      <c r="Q572" s="333">
        <v>9.9999999999999998E+37</v>
      </c>
      <c r="R572" s="333">
        <v>9.9999999999999998E+37</v>
      </c>
      <c r="S572" s="333">
        <v>9.9999999999999998E+37</v>
      </c>
      <c r="T572" s="333">
        <v>9.9999999999999998E+37</v>
      </c>
      <c r="U572" s="333">
        <v>9.9999999999999998E+37</v>
      </c>
      <c r="V572" s="333">
        <v>9.9999999999999998E+37</v>
      </c>
      <c r="W572" s="333">
        <v>9.9999999999999998E+37</v>
      </c>
      <c r="X572" s="333">
        <v>9.9999999999999998E+37</v>
      </c>
      <c r="Y572" s="333">
        <v>9.9999999999999998E+37</v>
      </c>
      <c r="Z572" s="333">
        <v>9.9999999999999998E+37</v>
      </c>
      <c r="AA572" s="333">
        <v>9.9999999999999998E+37</v>
      </c>
      <c r="AB572" s="333">
        <v>0</v>
      </c>
      <c r="AC572" s="333">
        <v>0</v>
      </c>
      <c r="AD572" s="333">
        <v>0</v>
      </c>
      <c r="AE572" s="333">
        <v>0</v>
      </c>
      <c r="AF572" s="333">
        <v>0</v>
      </c>
      <c r="AG572" s="333">
        <v>0</v>
      </c>
      <c r="AH572" s="333">
        <v>0</v>
      </c>
      <c r="AI572" s="333">
        <v>0</v>
      </c>
      <c r="AJ572" s="333">
        <v>0</v>
      </c>
      <c r="AK572" s="333">
        <v>0</v>
      </c>
      <c r="AL572" s="333">
        <v>0</v>
      </c>
      <c r="AM572" s="333">
        <v>0</v>
      </c>
      <c r="AN572" s="333">
        <v>0</v>
      </c>
      <c r="AO572" s="333">
        <v>0</v>
      </c>
      <c r="AP572" s="333">
        <v>0</v>
      </c>
    </row>
    <row r="573" spans="1:42" x14ac:dyDescent="0.2">
      <c r="A573" s="88" t="s">
        <v>466</v>
      </c>
      <c r="B573" s="119"/>
      <c r="C573" s="119">
        <f>MIN(C$572,C$571/100*$G$434)</f>
        <v>30439739.924999997</v>
      </c>
      <c r="D573" s="119">
        <f t="shared" ref="D573:AP573" si="281">MIN(D$572,D$571/100*$G$434)</f>
        <v>0</v>
      </c>
      <c r="E573" s="119">
        <f t="shared" si="281"/>
        <v>0</v>
      </c>
      <c r="F573" s="119">
        <f t="shared" si="281"/>
        <v>0</v>
      </c>
      <c r="G573" s="119">
        <f t="shared" si="281"/>
        <v>0</v>
      </c>
      <c r="H573" s="119">
        <f t="shared" si="281"/>
        <v>0</v>
      </c>
      <c r="I573" s="119">
        <f t="shared" si="281"/>
        <v>0</v>
      </c>
      <c r="J573" s="119">
        <f t="shared" si="281"/>
        <v>0</v>
      </c>
      <c r="K573" s="119">
        <f t="shared" si="281"/>
        <v>0</v>
      </c>
      <c r="L573" s="119">
        <f t="shared" si="281"/>
        <v>0</v>
      </c>
      <c r="M573" s="119">
        <f t="shared" si="281"/>
        <v>0</v>
      </c>
      <c r="N573" s="119">
        <f t="shared" si="281"/>
        <v>0</v>
      </c>
      <c r="O573" s="119">
        <f t="shared" si="281"/>
        <v>0</v>
      </c>
      <c r="P573" s="119">
        <f t="shared" si="281"/>
        <v>0</v>
      </c>
      <c r="Q573" s="119">
        <f t="shared" si="281"/>
        <v>0</v>
      </c>
      <c r="R573" s="119">
        <f t="shared" si="281"/>
        <v>0</v>
      </c>
      <c r="S573" s="119">
        <f t="shared" si="281"/>
        <v>0</v>
      </c>
      <c r="T573" s="119">
        <f t="shared" si="281"/>
        <v>0</v>
      </c>
      <c r="U573" s="119">
        <f t="shared" si="281"/>
        <v>0</v>
      </c>
      <c r="V573" s="119">
        <f t="shared" si="281"/>
        <v>0</v>
      </c>
      <c r="W573" s="119">
        <f t="shared" si="281"/>
        <v>0</v>
      </c>
      <c r="X573" s="119">
        <f t="shared" si="281"/>
        <v>0</v>
      </c>
      <c r="Y573" s="119">
        <f t="shared" si="281"/>
        <v>0</v>
      </c>
      <c r="Z573" s="119">
        <f t="shared" si="281"/>
        <v>0</v>
      </c>
      <c r="AA573" s="119">
        <f t="shared" si="281"/>
        <v>0</v>
      </c>
      <c r="AB573" s="119">
        <f t="shared" si="281"/>
        <v>0</v>
      </c>
      <c r="AC573" s="119">
        <f t="shared" si="281"/>
        <v>0</v>
      </c>
      <c r="AD573" s="119">
        <f t="shared" si="281"/>
        <v>0</v>
      </c>
      <c r="AE573" s="119">
        <f t="shared" si="281"/>
        <v>0</v>
      </c>
      <c r="AF573" s="119">
        <f t="shared" si="281"/>
        <v>0</v>
      </c>
      <c r="AG573" s="119">
        <f t="shared" si="281"/>
        <v>0</v>
      </c>
      <c r="AH573" s="119">
        <f t="shared" si="281"/>
        <v>0</v>
      </c>
      <c r="AI573" s="119">
        <f t="shared" si="281"/>
        <v>0</v>
      </c>
      <c r="AJ573" s="119">
        <f t="shared" si="281"/>
        <v>0</v>
      </c>
      <c r="AK573" s="119">
        <f t="shared" si="281"/>
        <v>0</v>
      </c>
      <c r="AL573" s="119">
        <f t="shared" si="281"/>
        <v>0</v>
      </c>
      <c r="AM573" s="119">
        <f t="shared" si="281"/>
        <v>0</v>
      </c>
      <c r="AN573" s="119">
        <f t="shared" si="281"/>
        <v>0</v>
      </c>
      <c r="AO573" s="119">
        <f t="shared" si="281"/>
        <v>0</v>
      </c>
      <c r="AP573" s="119">
        <f t="shared" si="281"/>
        <v>0</v>
      </c>
    </row>
    <row r="574" spans="1:42" x14ac:dyDescent="0.2">
      <c r="A574" s="88" t="s">
        <v>13</v>
      </c>
      <c r="B574" s="119"/>
      <c r="C574" s="119">
        <f>C$570+C$573</f>
        <v>30439739.924999997</v>
      </c>
      <c r="D574" s="119">
        <f t="shared" ref="D574:AP574" si="282">D$570+D$573</f>
        <v>0</v>
      </c>
      <c r="E574" s="119">
        <f t="shared" si="282"/>
        <v>0</v>
      </c>
      <c r="F574" s="119">
        <f t="shared" si="282"/>
        <v>0</v>
      </c>
      <c r="G574" s="119">
        <f t="shared" si="282"/>
        <v>0</v>
      </c>
      <c r="H574" s="119">
        <f t="shared" si="282"/>
        <v>0</v>
      </c>
      <c r="I574" s="119">
        <f t="shared" si="282"/>
        <v>0</v>
      </c>
      <c r="J574" s="119">
        <f t="shared" si="282"/>
        <v>0</v>
      </c>
      <c r="K574" s="119">
        <f t="shared" si="282"/>
        <v>0</v>
      </c>
      <c r="L574" s="119">
        <f t="shared" si="282"/>
        <v>0</v>
      </c>
      <c r="M574" s="119">
        <f t="shared" si="282"/>
        <v>0</v>
      </c>
      <c r="N574" s="119">
        <f t="shared" si="282"/>
        <v>0</v>
      </c>
      <c r="O574" s="119">
        <f t="shared" si="282"/>
        <v>0</v>
      </c>
      <c r="P574" s="119">
        <f t="shared" si="282"/>
        <v>0</v>
      </c>
      <c r="Q574" s="119">
        <f t="shared" si="282"/>
        <v>0</v>
      </c>
      <c r="R574" s="119">
        <f t="shared" si="282"/>
        <v>0</v>
      </c>
      <c r="S574" s="119">
        <f t="shared" si="282"/>
        <v>0</v>
      </c>
      <c r="T574" s="119">
        <f t="shared" si="282"/>
        <v>0</v>
      </c>
      <c r="U574" s="119">
        <f t="shared" si="282"/>
        <v>0</v>
      </c>
      <c r="V574" s="119">
        <f t="shared" si="282"/>
        <v>0</v>
      </c>
      <c r="W574" s="119">
        <f t="shared" si="282"/>
        <v>0</v>
      </c>
      <c r="X574" s="119">
        <f t="shared" si="282"/>
        <v>0</v>
      </c>
      <c r="Y574" s="119">
        <f t="shared" si="282"/>
        <v>0</v>
      </c>
      <c r="Z574" s="119">
        <f t="shared" si="282"/>
        <v>0</v>
      </c>
      <c r="AA574" s="119">
        <f t="shared" si="282"/>
        <v>0</v>
      </c>
      <c r="AB574" s="119">
        <f t="shared" si="282"/>
        <v>0</v>
      </c>
      <c r="AC574" s="119">
        <f t="shared" si="282"/>
        <v>0</v>
      </c>
      <c r="AD574" s="119">
        <f t="shared" si="282"/>
        <v>0</v>
      </c>
      <c r="AE574" s="119">
        <f t="shared" si="282"/>
        <v>0</v>
      </c>
      <c r="AF574" s="119">
        <f t="shared" si="282"/>
        <v>0</v>
      </c>
      <c r="AG574" s="119">
        <f t="shared" si="282"/>
        <v>0</v>
      </c>
      <c r="AH574" s="119">
        <f t="shared" si="282"/>
        <v>0</v>
      </c>
      <c r="AI574" s="119">
        <f t="shared" si="282"/>
        <v>0</v>
      </c>
      <c r="AJ574" s="119">
        <f t="shared" si="282"/>
        <v>0</v>
      </c>
      <c r="AK574" s="119">
        <f t="shared" si="282"/>
        <v>0</v>
      </c>
      <c r="AL574" s="119">
        <f t="shared" si="282"/>
        <v>0</v>
      </c>
      <c r="AM574" s="119">
        <f t="shared" si="282"/>
        <v>0</v>
      </c>
      <c r="AN574" s="119">
        <f t="shared" si="282"/>
        <v>0</v>
      </c>
      <c r="AO574" s="119">
        <f t="shared" si="282"/>
        <v>0</v>
      </c>
      <c r="AP574" s="119">
        <f t="shared" si="282"/>
        <v>0</v>
      </c>
    </row>
    <row r="575" spans="1:42" x14ac:dyDescent="0.2">
      <c r="A575" s="20"/>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row>
    <row r="576" spans="1:42" x14ac:dyDescent="0.2">
      <c r="A576" s="20" t="s">
        <v>71</v>
      </c>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5"/>
    </row>
    <row r="577" spans="1:42" x14ac:dyDescent="0.2">
      <c r="A577" s="18" t="s">
        <v>5</v>
      </c>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row>
    <row r="578" spans="1:42" x14ac:dyDescent="0.2">
      <c r="A578" s="22" t="s">
        <v>283</v>
      </c>
      <c r="C578" s="203">
        <f>IF(ptc_sta_amount="n/a",Inputs!D195,IF(C$2&lt;=ptc_sta_term,ptc_sta_amount*(1+ptc_sta_escal/100)^B$2,0))</f>
        <v>0</v>
      </c>
      <c r="D578" s="203">
        <f>IF(ptc_sta_amount="n/a",Inputs!E195,IF(D$2&lt;=ptc_sta_term,ptc_sta_amount*(1+ptc_sta_escal/100)^C$2,0))</f>
        <v>0</v>
      </c>
      <c r="E578" s="203">
        <f>IF(ptc_sta_amount="n/a",Inputs!F195,IF(E$2&lt;=ptc_sta_term,ptc_sta_amount*(1+ptc_sta_escal/100)^D$2,0))</f>
        <v>0</v>
      </c>
      <c r="F578" s="203">
        <f>IF(ptc_sta_amount="n/a",Inputs!G195,IF(F$2&lt;=ptc_sta_term,ptc_sta_amount*(1+ptc_sta_escal/100)^E$2,0))</f>
        <v>0</v>
      </c>
      <c r="G578" s="203">
        <f>IF(ptc_sta_amount="n/a",Inputs!H195,IF(G$2&lt;=ptc_sta_term,ptc_sta_amount*(1+ptc_sta_escal/100)^F$2,0))</f>
        <v>0</v>
      </c>
      <c r="H578" s="203">
        <f>IF(ptc_sta_amount="n/a",Inputs!I195,IF(H$2&lt;=ptc_sta_term,ptc_sta_amount*(1+ptc_sta_escal/100)^G$2,0))</f>
        <v>0</v>
      </c>
      <c r="I578" s="203">
        <f>IF(ptc_sta_amount="n/a",Inputs!J195,IF(I$2&lt;=ptc_sta_term,ptc_sta_amount*(1+ptc_sta_escal/100)^H$2,0))</f>
        <v>0</v>
      </c>
      <c r="J578" s="203">
        <f>IF(ptc_sta_amount="n/a",Inputs!K195,IF(J$2&lt;=ptc_sta_term,ptc_sta_amount*(1+ptc_sta_escal/100)^I$2,0))</f>
        <v>0</v>
      </c>
      <c r="K578" s="203">
        <f>IF(ptc_sta_amount="n/a",Inputs!L195,IF(K$2&lt;=ptc_sta_term,ptc_sta_amount*(1+ptc_sta_escal/100)^J$2,0))</f>
        <v>0</v>
      </c>
      <c r="L578" s="203">
        <f>IF(ptc_sta_amount="n/a",Inputs!M195,IF(L$2&lt;=ptc_sta_term,ptc_sta_amount*(1+ptc_sta_escal/100)^K$2,0))</f>
        <v>0</v>
      </c>
      <c r="M578" s="203">
        <f>IF(ptc_sta_amount="n/a",Inputs!N195,IF(M$2&lt;=ptc_sta_term,ptc_sta_amount*(1+ptc_sta_escal/100)^L$2,0))</f>
        <v>0</v>
      </c>
      <c r="N578" s="203">
        <f>IF(ptc_sta_amount="n/a",Inputs!O195,IF(N$2&lt;=ptc_sta_term,ptc_sta_amount*(1+ptc_sta_escal/100)^M$2,0))</f>
        <v>0</v>
      </c>
      <c r="O578" s="203">
        <f>IF(ptc_sta_amount="n/a",Inputs!P195,IF(O$2&lt;=ptc_sta_term,ptc_sta_amount*(1+ptc_sta_escal/100)^N$2,0))</f>
        <v>0</v>
      </c>
      <c r="P578" s="203">
        <f>IF(ptc_sta_amount="n/a",Inputs!Q195,IF(P$2&lt;=ptc_sta_term,ptc_sta_amount*(1+ptc_sta_escal/100)^O$2,0))</f>
        <v>0</v>
      </c>
      <c r="Q578" s="203">
        <f>IF(ptc_sta_amount="n/a",Inputs!R195,IF(Q$2&lt;=ptc_sta_term,ptc_sta_amount*(1+ptc_sta_escal/100)^P$2,0))</f>
        <v>0</v>
      </c>
      <c r="R578" s="203">
        <f>IF(ptc_sta_amount="n/a",Inputs!S195,IF(R$2&lt;=ptc_sta_term,ptc_sta_amount*(1+ptc_sta_escal/100)^Q$2,0))</f>
        <v>0</v>
      </c>
      <c r="S578" s="203">
        <f>IF(ptc_sta_amount="n/a",Inputs!T195,IF(S$2&lt;=ptc_sta_term,ptc_sta_amount*(1+ptc_sta_escal/100)^R$2,0))</f>
        <v>0</v>
      </c>
      <c r="T578" s="203">
        <f>IF(ptc_sta_amount="n/a",Inputs!U195,IF(T$2&lt;=ptc_sta_term,ptc_sta_amount*(1+ptc_sta_escal/100)^S$2,0))</f>
        <v>0</v>
      </c>
      <c r="U578" s="203">
        <f>IF(ptc_sta_amount="n/a",Inputs!V195,IF(U$2&lt;=ptc_sta_term,ptc_sta_amount*(1+ptc_sta_escal/100)^T$2,0))</f>
        <v>0</v>
      </c>
      <c r="V578" s="203">
        <f>IF(ptc_sta_amount="n/a",Inputs!W195,IF(V$2&lt;=ptc_sta_term,ptc_sta_amount*(1+ptc_sta_escal/100)^U$2,0))</f>
        <v>0</v>
      </c>
      <c r="W578" s="203">
        <f>IF(ptc_sta_amount="n/a",Inputs!X195,IF(W$2&lt;=ptc_sta_term,ptc_sta_amount*(1+ptc_sta_escal/100)^V$2,0))</f>
        <v>0</v>
      </c>
      <c r="X578" s="203">
        <f>IF(ptc_sta_amount="n/a",Inputs!Y195,IF(X$2&lt;=ptc_sta_term,ptc_sta_amount*(1+ptc_sta_escal/100)^W$2,0))</f>
        <v>0</v>
      </c>
      <c r="Y578" s="203">
        <f>IF(ptc_sta_amount="n/a",Inputs!Z195,IF(Y$2&lt;=ptc_sta_term,ptc_sta_amount*(1+ptc_sta_escal/100)^X$2,0))</f>
        <v>0</v>
      </c>
      <c r="Z578" s="203">
        <f>IF(ptc_sta_amount="n/a",Inputs!AA195,IF(Z$2&lt;=ptc_sta_term,ptc_sta_amount*(1+ptc_sta_escal/100)^Y$2,0))</f>
        <v>0</v>
      </c>
      <c r="AA578" s="203">
        <f>IF(ptc_sta_amount="n/a",Inputs!AB195,IF(AA$2&lt;=ptc_sta_term,ptc_sta_amount*(1+ptc_sta_escal/100)^Z$2,0))</f>
        <v>0</v>
      </c>
      <c r="AB578" s="203">
        <f>IF(ptc_sta_amount="n/a",Inputs!AC195,IF(AB$2&lt;=ptc_sta_term,ptc_sta_amount*(1+ptc_sta_escal/100)^AA$2,0))</f>
        <v>0</v>
      </c>
      <c r="AC578" s="203">
        <f>IF(ptc_sta_amount="n/a",Inputs!AD195,IF(AC$2&lt;=ptc_sta_term,ptc_sta_amount*(1+ptc_sta_escal/100)^AB$2,0))</f>
        <v>0</v>
      </c>
      <c r="AD578" s="203">
        <f>IF(ptc_sta_amount="n/a",Inputs!AE195,IF(AD$2&lt;=ptc_sta_term,ptc_sta_amount*(1+ptc_sta_escal/100)^AC$2,0))</f>
        <v>0</v>
      </c>
      <c r="AE578" s="203">
        <f>IF(ptc_sta_amount="n/a",Inputs!AF195,IF(AE$2&lt;=ptc_sta_term,ptc_sta_amount*(1+ptc_sta_escal/100)^AD$2,0))</f>
        <v>0</v>
      </c>
      <c r="AF578" s="203">
        <f>IF(ptc_sta_amount="n/a",Inputs!AG195,IF(AF$2&lt;=ptc_sta_term,ptc_sta_amount*(1+ptc_sta_escal/100)^AE$2,0))</f>
        <v>0</v>
      </c>
      <c r="AG578" s="203">
        <f>IF(ptc_sta_amount="n/a",Inputs!AH195,IF(AG$2&lt;=ptc_sta_term,ptc_sta_amount*(1+ptc_sta_escal/100)^AF$2,0))</f>
        <v>0</v>
      </c>
      <c r="AH578" s="203">
        <f>IF(ptc_sta_amount="n/a",Inputs!AI195,IF(AH$2&lt;=ptc_sta_term,ptc_sta_amount*(1+ptc_sta_escal/100)^AG$2,0))</f>
        <v>0</v>
      </c>
      <c r="AI578" s="203">
        <f>IF(ptc_sta_amount="n/a",Inputs!AJ195,IF(AI$2&lt;=ptc_sta_term,ptc_sta_amount*(1+ptc_sta_escal/100)^AH$2,0))</f>
        <v>0</v>
      </c>
      <c r="AJ578" s="203">
        <f>IF(ptc_sta_amount="n/a",Inputs!AK195,IF(AJ$2&lt;=ptc_sta_term,ptc_sta_amount*(1+ptc_sta_escal/100)^AI$2,0))</f>
        <v>0</v>
      </c>
      <c r="AK578" s="203">
        <f>IF(ptc_sta_amount="n/a",Inputs!AL195,IF(AK$2&lt;=ptc_sta_term,ptc_sta_amount*(1+ptc_sta_escal/100)^AJ$2,0))</f>
        <v>0</v>
      </c>
      <c r="AL578" s="203">
        <f>IF(ptc_sta_amount="n/a",Inputs!AM195,IF(AL$2&lt;=ptc_sta_term,ptc_sta_amount*(1+ptc_sta_escal/100)^AK$2,0))</f>
        <v>0</v>
      </c>
      <c r="AM578" s="203">
        <f>IF(ptc_sta_amount="n/a",Inputs!AN195,IF(AM$2&lt;=ptc_sta_term,ptc_sta_amount*(1+ptc_sta_escal/100)^AL$2,0))</f>
        <v>0</v>
      </c>
      <c r="AN578" s="203">
        <f>IF(ptc_sta_amount="n/a",Inputs!AO195,IF(AN$2&lt;=ptc_sta_term,ptc_sta_amount*(1+ptc_sta_escal/100)^AM$2,0))</f>
        <v>0</v>
      </c>
      <c r="AO578" s="203">
        <f>IF(ptc_sta_amount="n/a",Inputs!AP195,IF(AO$2&lt;=ptc_sta_term,ptc_sta_amount*(1+ptc_sta_escal/100)^AN$2,0))</f>
        <v>0</v>
      </c>
      <c r="AP578" s="203">
        <f>IF(ptc_sta_amount="n/a",Inputs!AQ195,IF(AP$2&lt;=ptc_sta_term,ptc_sta_amount*(1+ptc_sta_escal/100)^AO$2,0))</f>
        <v>0</v>
      </c>
    </row>
    <row r="579" spans="1:42" x14ac:dyDescent="0.2">
      <c r="A579" s="22" t="s">
        <v>284</v>
      </c>
      <c r="C579" s="203">
        <f>ROUND(C578*1000,0)</f>
        <v>0</v>
      </c>
      <c r="D579" s="203">
        <f>ROUND(D578*1000,0)</f>
        <v>0</v>
      </c>
      <c r="E579" s="203">
        <f t="shared" ref="E579:AP579" si="283">ROUND(E578*1000,0)</f>
        <v>0</v>
      </c>
      <c r="F579" s="203">
        <f t="shared" si="283"/>
        <v>0</v>
      </c>
      <c r="G579" s="203">
        <f t="shared" si="283"/>
        <v>0</v>
      </c>
      <c r="H579" s="203">
        <f t="shared" si="283"/>
        <v>0</v>
      </c>
      <c r="I579" s="203">
        <f t="shared" si="283"/>
        <v>0</v>
      </c>
      <c r="J579" s="203">
        <f t="shared" si="283"/>
        <v>0</v>
      </c>
      <c r="K579" s="203">
        <f t="shared" si="283"/>
        <v>0</v>
      </c>
      <c r="L579" s="203">
        <f t="shared" si="283"/>
        <v>0</v>
      </c>
      <c r="M579" s="203">
        <f t="shared" si="283"/>
        <v>0</v>
      </c>
      <c r="N579" s="203">
        <f t="shared" si="283"/>
        <v>0</v>
      </c>
      <c r="O579" s="203">
        <f t="shared" si="283"/>
        <v>0</v>
      </c>
      <c r="P579" s="203">
        <f t="shared" si="283"/>
        <v>0</v>
      </c>
      <c r="Q579" s="203">
        <f t="shared" si="283"/>
        <v>0</v>
      </c>
      <c r="R579" s="203">
        <f t="shared" si="283"/>
        <v>0</v>
      </c>
      <c r="S579" s="203">
        <f t="shared" si="283"/>
        <v>0</v>
      </c>
      <c r="T579" s="203">
        <f t="shared" si="283"/>
        <v>0</v>
      </c>
      <c r="U579" s="203">
        <f t="shared" si="283"/>
        <v>0</v>
      </c>
      <c r="V579" s="203">
        <f t="shared" si="283"/>
        <v>0</v>
      </c>
      <c r="W579" s="203">
        <f t="shared" si="283"/>
        <v>0</v>
      </c>
      <c r="X579" s="203">
        <f t="shared" si="283"/>
        <v>0</v>
      </c>
      <c r="Y579" s="203">
        <f t="shared" si="283"/>
        <v>0</v>
      </c>
      <c r="Z579" s="203">
        <f t="shared" si="283"/>
        <v>0</v>
      </c>
      <c r="AA579" s="203">
        <f t="shared" si="283"/>
        <v>0</v>
      </c>
      <c r="AB579" s="203">
        <f t="shared" si="283"/>
        <v>0</v>
      </c>
      <c r="AC579" s="203">
        <f t="shared" si="283"/>
        <v>0</v>
      </c>
      <c r="AD579" s="203">
        <f t="shared" si="283"/>
        <v>0</v>
      </c>
      <c r="AE579" s="203">
        <f t="shared" si="283"/>
        <v>0</v>
      </c>
      <c r="AF579" s="203">
        <f t="shared" si="283"/>
        <v>0</v>
      </c>
      <c r="AG579" s="203">
        <f t="shared" si="283"/>
        <v>0</v>
      </c>
      <c r="AH579" s="203">
        <f t="shared" si="283"/>
        <v>0</v>
      </c>
      <c r="AI579" s="203">
        <f t="shared" si="283"/>
        <v>0</v>
      </c>
      <c r="AJ579" s="203">
        <f t="shared" si="283"/>
        <v>0</v>
      </c>
      <c r="AK579" s="203">
        <f t="shared" si="283"/>
        <v>0</v>
      </c>
      <c r="AL579" s="203">
        <f t="shared" si="283"/>
        <v>0</v>
      </c>
      <c r="AM579" s="203">
        <f t="shared" si="283"/>
        <v>0</v>
      </c>
      <c r="AN579" s="203">
        <f t="shared" si="283"/>
        <v>0</v>
      </c>
      <c r="AO579" s="203">
        <f t="shared" si="283"/>
        <v>0</v>
      </c>
      <c r="AP579" s="203">
        <f t="shared" si="283"/>
        <v>0</v>
      </c>
    </row>
    <row r="580" spans="1:42" x14ac:dyDescent="0.2">
      <c r="A580" s="22" t="s">
        <v>439</v>
      </c>
      <c r="C580" s="120">
        <f>C$5/1000</f>
        <v>211907</v>
      </c>
      <c r="D580" s="120">
        <f t="shared" ref="D580:AP580" si="284">D$5/1000</f>
        <v>210848</v>
      </c>
      <c r="E580" s="120">
        <f t="shared" si="284"/>
        <v>209794</v>
      </c>
      <c r="F580" s="120">
        <f t="shared" si="284"/>
        <v>208745</v>
      </c>
      <c r="G580" s="120">
        <f t="shared" si="284"/>
        <v>207701</v>
      </c>
      <c r="H580" s="120">
        <f t="shared" si="284"/>
        <v>206662</v>
      </c>
      <c r="I580" s="120">
        <f t="shared" si="284"/>
        <v>205629</v>
      </c>
      <c r="J580" s="120">
        <f t="shared" si="284"/>
        <v>204601</v>
      </c>
      <c r="K580" s="120">
        <f t="shared" si="284"/>
        <v>203578</v>
      </c>
      <c r="L580" s="120">
        <f t="shared" si="284"/>
        <v>202560</v>
      </c>
      <c r="M580" s="120">
        <f t="shared" si="284"/>
        <v>201547</v>
      </c>
      <c r="N580" s="120">
        <f t="shared" si="284"/>
        <v>200540</v>
      </c>
      <c r="O580" s="120">
        <f t="shared" si="284"/>
        <v>199537</v>
      </c>
      <c r="P580" s="120">
        <f t="shared" si="284"/>
        <v>198539</v>
      </c>
      <c r="Q580" s="120">
        <f t="shared" si="284"/>
        <v>197547</v>
      </c>
      <c r="R580" s="120">
        <f t="shared" si="284"/>
        <v>196559</v>
      </c>
      <c r="S580" s="120">
        <f t="shared" si="284"/>
        <v>195576</v>
      </c>
      <c r="T580" s="120">
        <f t="shared" si="284"/>
        <v>194598</v>
      </c>
      <c r="U580" s="120">
        <f t="shared" si="284"/>
        <v>193625</v>
      </c>
      <c r="V580" s="120">
        <f t="shared" si="284"/>
        <v>192657</v>
      </c>
      <c r="W580" s="120">
        <f t="shared" si="284"/>
        <v>191694</v>
      </c>
      <c r="X580" s="120">
        <f t="shared" si="284"/>
        <v>190735</v>
      </c>
      <c r="Y580" s="120">
        <f t="shared" si="284"/>
        <v>189782</v>
      </c>
      <c r="Z580" s="120">
        <f t="shared" si="284"/>
        <v>188833</v>
      </c>
      <c r="AA580" s="120">
        <f t="shared" si="284"/>
        <v>187888</v>
      </c>
      <c r="AB580" s="120">
        <f t="shared" si="284"/>
        <v>0</v>
      </c>
      <c r="AC580" s="120">
        <f t="shared" si="284"/>
        <v>0</v>
      </c>
      <c r="AD580" s="120">
        <f t="shared" si="284"/>
        <v>0</v>
      </c>
      <c r="AE580" s="120">
        <f t="shared" si="284"/>
        <v>0</v>
      </c>
      <c r="AF580" s="120">
        <f t="shared" si="284"/>
        <v>0</v>
      </c>
      <c r="AG580" s="120">
        <f t="shared" si="284"/>
        <v>0</v>
      </c>
      <c r="AH580" s="120">
        <f t="shared" si="284"/>
        <v>0</v>
      </c>
      <c r="AI580" s="120">
        <f t="shared" si="284"/>
        <v>0</v>
      </c>
      <c r="AJ580" s="120">
        <f t="shared" si="284"/>
        <v>0</v>
      </c>
      <c r="AK580" s="120">
        <f t="shared" si="284"/>
        <v>0</v>
      </c>
      <c r="AL580" s="120">
        <f t="shared" si="284"/>
        <v>0</v>
      </c>
      <c r="AM580" s="120">
        <f t="shared" si="284"/>
        <v>0</v>
      </c>
      <c r="AN580" s="120">
        <f t="shared" si="284"/>
        <v>0</v>
      </c>
      <c r="AO580" s="120">
        <f t="shared" si="284"/>
        <v>0</v>
      </c>
      <c r="AP580" s="120">
        <f t="shared" si="284"/>
        <v>0</v>
      </c>
    </row>
    <row r="581" spans="1:42" x14ac:dyDescent="0.2">
      <c r="A581" s="22" t="s">
        <v>13</v>
      </c>
      <c r="C581" s="119">
        <f>C579*C580</f>
        <v>0</v>
      </c>
      <c r="D581" s="119">
        <f>D579*D580</f>
        <v>0</v>
      </c>
      <c r="E581" s="119">
        <f t="shared" ref="E581:AP581" si="285">E579*E580</f>
        <v>0</v>
      </c>
      <c r="F581" s="119">
        <f t="shared" si="285"/>
        <v>0</v>
      </c>
      <c r="G581" s="119">
        <f t="shared" si="285"/>
        <v>0</v>
      </c>
      <c r="H581" s="119">
        <f t="shared" si="285"/>
        <v>0</v>
      </c>
      <c r="I581" s="119">
        <f t="shared" si="285"/>
        <v>0</v>
      </c>
      <c r="J581" s="119">
        <f t="shared" si="285"/>
        <v>0</v>
      </c>
      <c r="K581" s="119">
        <f t="shared" si="285"/>
        <v>0</v>
      </c>
      <c r="L581" s="119">
        <f t="shared" si="285"/>
        <v>0</v>
      </c>
      <c r="M581" s="119">
        <f t="shared" si="285"/>
        <v>0</v>
      </c>
      <c r="N581" s="119">
        <f t="shared" si="285"/>
        <v>0</v>
      </c>
      <c r="O581" s="119">
        <f t="shared" si="285"/>
        <v>0</v>
      </c>
      <c r="P581" s="119">
        <f t="shared" si="285"/>
        <v>0</v>
      </c>
      <c r="Q581" s="119">
        <f t="shared" si="285"/>
        <v>0</v>
      </c>
      <c r="R581" s="119">
        <f t="shared" si="285"/>
        <v>0</v>
      </c>
      <c r="S581" s="119">
        <f t="shared" si="285"/>
        <v>0</v>
      </c>
      <c r="T581" s="119">
        <f t="shared" si="285"/>
        <v>0</v>
      </c>
      <c r="U581" s="119">
        <f t="shared" si="285"/>
        <v>0</v>
      </c>
      <c r="V581" s="119">
        <f t="shared" si="285"/>
        <v>0</v>
      </c>
      <c r="W581" s="119">
        <f t="shared" si="285"/>
        <v>0</v>
      </c>
      <c r="X581" s="119">
        <f t="shared" si="285"/>
        <v>0</v>
      </c>
      <c r="Y581" s="119">
        <f t="shared" si="285"/>
        <v>0</v>
      </c>
      <c r="Z581" s="119">
        <f t="shared" si="285"/>
        <v>0</v>
      </c>
      <c r="AA581" s="119">
        <f t="shared" si="285"/>
        <v>0</v>
      </c>
      <c r="AB581" s="119">
        <f t="shared" si="285"/>
        <v>0</v>
      </c>
      <c r="AC581" s="119">
        <f t="shared" si="285"/>
        <v>0</v>
      </c>
      <c r="AD581" s="119">
        <f t="shared" si="285"/>
        <v>0</v>
      </c>
      <c r="AE581" s="119">
        <f t="shared" si="285"/>
        <v>0</v>
      </c>
      <c r="AF581" s="119">
        <f t="shared" si="285"/>
        <v>0</v>
      </c>
      <c r="AG581" s="119">
        <f t="shared" si="285"/>
        <v>0</v>
      </c>
      <c r="AH581" s="119">
        <f t="shared" si="285"/>
        <v>0</v>
      </c>
      <c r="AI581" s="119">
        <f t="shared" si="285"/>
        <v>0</v>
      </c>
      <c r="AJ581" s="119">
        <f t="shared" si="285"/>
        <v>0</v>
      </c>
      <c r="AK581" s="119">
        <f t="shared" si="285"/>
        <v>0</v>
      </c>
      <c r="AL581" s="119">
        <f t="shared" si="285"/>
        <v>0</v>
      </c>
      <c r="AM581" s="119">
        <f t="shared" si="285"/>
        <v>0</v>
      </c>
      <c r="AN581" s="119">
        <f t="shared" si="285"/>
        <v>0</v>
      </c>
      <c r="AO581" s="119">
        <f t="shared" si="285"/>
        <v>0</v>
      </c>
      <c r="AP581" s="119">
        <f t="shared" si="285"/>
        <v>0</v>
      </c>
    </row>
    <row r="582" spans="1:42" x14ac:dyDescent="0.2">
      <c r="A582" s="18"/>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5"/>
    </row>
    <row r="583" spans="1:42" x14ac:dyDescent="0.2">
      <c r="A583" s="18" t="s">
        <v>4</v>
      </c>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5"/>
    </row>
    <row r="584" spans="1:42" x14ac:dyDescent="0.2">
      <c r="A584" s="22" t="s">
        <v>283</v>
      </c>
      <c r="C584" s="203">
        <f>IF(ptc_fed_amount="n/a",Inputs!D194,IF(C$2&lt;=ptc_fed_term,ptc_fed_amount*(1+ptc_fed_escal/100)^B$2,0))</f>
        <v>0</v>
      </c>
      <c r="D584" s="203">
        <f>IF(ptc_fed_amount="n/a",Inputs!E194,IF(D$2&lt;=ptc_fed_term,ptc_fed_amount*(1+ptc_fed_escal/100)^C$2,0))</f>
        <v>0</v>
      </c>
      <c r="E584" s="203">
        <f>IF(ptc_fed_amount="n/a",Inputs!F194,IF(E$2&lt;=ptc_fed_term,ptc_fed_amount*(1+ptc_fed_escal/100)^D$2,0))</f>
        <v>0</v>
      </c>
      <c r="F584" s="203">
        <f>IF(ptc_fed_amount="n/a",Inputs!G194,IF(F$2&lt;=ptc_fed_term,ptc_fed_amount*(1+ptc_fed_escal/100)^E$2,0))</f>
        <v>0</v>
      </c>
      <c r="G584" s="203">
        <f>IF(ptc_fed_amount="n/a",Inputs!H194,IF(G$2&lt;=ptc_fed_term,ptc_fed_amount*(1+ptc_fed_escal/100)^F$2,0))</f>
        <v>0</v>
      </c>
      <c r="H584" s="203">
        <f>IF(ptc_fed_amount="n/a",Inputs!I194,IF(H$2&lt;=ptc_fed_term,ptc_fed_amount*(1+ptc_fed_escal/100)^G$2,0))</f>
        <v>0</v>
      </c>
      <c r="I584" s="203">
        <f>IF(ptc_fed_amount="n/a",Inputs!J194,IF(I$2&lt;=ptc_fed_term,ptc_fed_amount*(1+ptc_fed_escal/100)^H$2,0))</f>
        <v>0</v>
      </c>
      <c r="J584" s="203">
        <f>IF(ptc_fed_amount="n/a",Inputs!K194,IF(J$2&lt;=ptc_fed_term,ptc_fed_amount*(1+ptc_fed_escal/100)^I$2,0))</f>
        <v>0</v>
      </c>
      <c r="K584" s="203">
        <f>IF(ptc_fed_amount="n/a",Inputs!L194,IF(K$2&lt;=ptc_fed_term,ptc_fed_amount*(1+ptc_fed_escal/100)^J$2,0))</f>
        <v>0</v>
      </c>
      <c r="L584" s="203">
        <f>IF(ptc_fed_amount="n/a",Inputs!M194,IF(L$2&lt;=ptc_fed_term,ptc_fed_amount*(1+ptc_fed_escal/100)^K$2,0))</f>
        <v>0</v>
      </c>
      <c r="M584" s="203">
        <f>IF(ptc_fed_amount="n/a",Inputs!N194,IF(M$2&lt;=ptc_fed_term,ptc_fed_amount*(1+ptc_fed_escal/100)^L$2,0))</f>
        <v>0</v>
      </c>
      <c r="N584" s="203">
        <f>IF(ptc_fed_amount="n/a",Inputs!O194,IF(N$2&lt;=ptc_fed_term,ptc_fed_amount*(1+ptc_fed_escal/100)^M$2,0))</f>
        <v>0</v>
      </c>
      <c r="O584" s="203">
        <f>IF(ptc_fed_amount="n/a",Inputs!P194,IF(O$2&lt;=ptc_fed_term,ptc_fed_amount*(1+ptc_fed_escal/100)^N$2,0))</f>
        <v>0</v>
      </c>
      <c r="P584" s="203">
        <f>IF(ptc_fed_amount="n/a",Inputs!Q194,IF(P$2&lt;=ptc_fed_term,ptc_fed_amount*(1+ptc_fed_escal/100)^O$2,0))</f>
        <v>0</v>
      </c>
      <c r="Q584" s="203">
        <f>IF(ptc_fed_amount="n/a",Inputs!R194,IF(Q$2&lt;=ptc_fed_term,ptc_fed_amount*(1+ptc_fed_escal/100)^P$2,0))</f>
        <v>0</v>
      </c>
      <c r="R584" s="203">
        <f>IF(ptc_fed_amount="n/a",Inputs!S194,IF(R$2&lt;=ptc_fed_term,ptc_fed_amount*(1+ptc_fed_escal/100)^Q$2,0))</f>
        <v>0</v>
      </c>
      <c r="S584" s="203">
        <f>IF(ptc_fed_amount="n/a",Inputs!T194,IF(S$2&lt;=ptc_fed_term,ptc_fed_amount*(1+ptc_fed_escal/100)^R$2,0))</f>
        <v>0</v>
      </c>
      <c r="T584" s="203">
        <f>IF(ptc_fed_amount="n/a",Inputs!U194,IF(T$2&lt;=ptc_fed_term,ptc_fed_amount*(1+ptc_fed_escal/100)^S$2,0))</f>
        <v>0</v>
      </c>
      <c r="U584" s="203">
        <f>IF(ptc_fed_amount="n/a",Inputs!V194,IF(U$2&lt;=ptc_fed_term,ptc_fed_amount*(1+ptc_fed_escal/100)^T$2,0))</f>
        <v>0</v>
      </c>
      <c r="V584" s="203">
        <f>IF(ptc_fed_amount="n/a",Inputs!W194,IF(V$2&lt;=ptc_fed_term,ptc_fed_amount*(1+ptc_fed_escal/100)^U$2,0))</f>
        <v>0</v>
      </c>
      <c r="W584" s="203">
        <f>IF(ptc_fed_amount="n/a",Inputs!X194,IF(W$2&lt;=ptc_fed_term,ptc_fed_amount*(1+ptc_fed_escal/100)^V$2,0))</f>
        <v>0</v>
      </c>
      <c r="X584" s="203">
        <f>IF(ptc_fed_amount="n/a",Inputs!Y194,IF(X$2&lt;=ptc_fed_term,ptc_fed_amount*(1+ptc_fed_escal/100)^W$2,0))</f>
        <v>0</v>
      </c>
      <c r="Y584" s="203">
        <f>IF(ptc_fed_amount="n/a",Inputs!Z194,IF(Y$2&lt;=ptc_fed_term,ptc_fed_amount*(1+ptc_fed_escal/100)^X$2,0))</f>
        <v>0</v>
      </c>
      <c r="Z584" s="203">
        <f>IF(ptc_fed_amount="n/a",Inputs!AA194,IF(Z$2&lt;=ptc_fed_term,ptc_fed_amount*(1+ptc_fed_escal/100)^Y$2,0))</f>
        <v>0</v>
      </c>
      <c r="AA584" s="203">
        <f>IF(ptc_fed_amount="n/a",Inputs!AB194,IF(AA$2&lt;=ptc_fed_term,ptc_fed_amount*(1+ptc_fed_escal/100)^Z$2,0))</f>
        <v>0</v>
      </c>
      <c r="AB584" s="203">
        <f>IF(ptc_fed_amount="n/a",Inputs!AC194,IF(AB$2&lt;=ptc_fed_term,ptc_fed_amount*(1+ptc_fed_escal/100)^AA$2,0))</f>
        <v>0</v>
      </c>
      <c r="AC584" s="203">
        <f>IF(ptc_fed_amount="n/a",Inputs!AD194,IF(AC$2&lt;=ptc_fed_term,ptc_fed_amount*(1+ptc_fed_escal/100)^AB$2,0))</f>
        <v>0</v>
      </c>
      <c r="AD584" s="203">
        <f>IF(ptc_fed_amount="n/a",Inputs!AE194,IF(AD$2&lt;=ptc_fed_term,ptc_fed_amount*(1+ptc_fed_escal/100)^AC$2,0))</f>
        <v>0</v>
      </c>
      <c r="AE584" s="203">
        <f>IF(ptc_fed_amount="n/a",Inputs!AF194,IF(AE$2&lt;=ptc_fed_term,ptc_fed_amount*(1+ptc_fed_escal/100)^AD$2,0))</f>
        <v>0</v>
      </c>
      <c r="AF584" s="203">
        <f>IF(ptc_fed_amount="n/a",Inputs!AG194,IF(AF$2&lt;=ptc_fed_term,ptc_fed_amount*(1+ptc_fed_escal/100)^AE$2,0))</f>
        <v>0</v>
      </c>
      <c r="AG584" s="203">
        <f>IF(ptc_fed_amount="n/a",Inputs!AH194,IF(AG$2&lt;=ptc_fed_term,ptc_fed_amount*(1+ptc_fed_escal/100)^AF$2,0))</f>
        <v>0</v>
      </c>
      <c r="AH584" s="203">
        <f>IF(ptc_fed_amount="n/a",Inputs!AI194,IF(AH$2&lt;=ptc_fed_term,ptc_fed_amount*(1+ptc_fed_escal/100)^AG$2,0))</f>
        <v>0</v>
      </c>
      <c r="AI584" s="203">
        <f>IF(ptc_fed_amount="n/a",Inputs!AJ194,IF(AI$2&lt;=ptc_fed_term,ptc_fed_amount*(1+ptc_fed_escal/100)^AH$2,0))</f>
        <v>0</v>
      </c>
      <c r="AJ584" s="203">
        <f>IF(ptc_fed_amount="n/a",Inputs!AK194,IF(AJ$2&lt;=ptc_fed_term,ptc_fed_amount*(1+ptc_fed_escal/100)^AI$2,0))</f>
        <v>0</v>
      </c>
      <c r="AK584" s="203">
        <f>IF(ptc_fed_amount="n/a",Inputs!AL194,IF(AK$2&lt;=ptc_fed_term,ptc_fed_amount*(1+ptc_fed_escal/100)^AJ$2,0))</f>
        <v>0</v>
      </c>
      <c r="AL584" s="203">
        <f>IF(ptc_fed_amount="n/a",Inputs!AM194,IF(AL$2&lt;=ptc_fed_term,ptc_fed_amount*(1+ptc_fed_escal/100)^AK$2,0))</f>
        <v>0</v>
      </c>
      <c r="AM584" s="203">
        <f>IF(ptc_fed_amount="n/a",Inputs!AN194,IF(AM$2&lt;=ptc_fed_term,ptc_fed_amount*(1+ptc_fed_escal/100)^AL$2,0))</f>
        <v>0</v>
      </c>
      <c r="AN584" s="203">
        <f>IF(ptc_fed_amount="n/a",Inputs!AO194,IF(AN$2&lt;=ptc_fed_term,ptc_fed_amount*(1+ptc_fed_escal/100)^AM$2,0))</f>
        <v>0</v>
      </c>
      <c r="AO584" s="203">
        <f>IF(ptc_fed_amount="n/a",Inputs!AP194,IF(AO$2&lt;=ptc_fed_term,ptc_fed_amount*(1+ptc_fed_escal/100)^AN$2,0))</f>
        <v>0</v>
      </c>
      <c r="AP584" s="203">
        <f>IF(ptc_fed_amount="n/a",Inputs!AQ194,IF(AP$2&lt;=ptc_fed_term,ptc_fed_amount*(1+ptc_fed_escal/100)^AO$2,0))</f>
        <v>0</v>
      </c>
    </row>
    <row r="585" spans="1:42" x14ac:dyDescent="0.2">
      <c r="A585" s="22" t="s">
        <v>284</v>
      </c>
      <c r="C585" s="203">
        <f>ROUND(C584*1000,0)</f>
        <v>0</v>
      </c>
      <c r="D585" s="203">
        <f>ROUND(D584*1000,0)</f>
        <v>0</v>
      </c>
      <c r="E585" s="203">
        <f t="shared" ref="E585:AP585" si="286">ROUND(E584*1000,0)</f>
        <v>0</v>
      </c>
      <c r="F585" s="203">
        <f t="shared" si="286"/>
        <v>0</v>
      </c>
      <c r="G585" s="203">
        <f t="shared" si="286"/>
        <v>0</v>
      </c>
      <c r="H585" s="203">
        <f t="shared" si="286"/>
        <v>0</v>
      </c>
      <c r="I585" s="203">
        <f t="shared" si="286"/>
        <v>0</v>
      </c>
      <c r="J585" s="203">
        <f t="shared" si="286"/>
        <v>0</v>
      </c>
      <c r="K585" s="203">
        <f t="shared" si="286"/>
        <v>0</v>
      </c>
      <c r="L585" s="203">
        <f t="shared" si="286"/>
        <v>0</v>
      </c>
      <c r="M585" s="203">
        <f t="shared" si="286"/>
        <v>0</v>
      </c>
      <c r="N585" s="203">
        <f t="shared" si="286"/>
        <v>0</v>
      </c>
      <c r="O585" s="203">
        <f t="shared" si="286"/>
        <v>0</v>
      </c>
      <c r="P585" s="203">
        <f t="shared" si="286"/>
        <v>0</v>
      </c>
      <c r="Q585" s="203">
        <f t="shared" si="286"/>
        <v>0</v>
      </c>
      <c r="R585" s="203">
        <f t="shared" si="286"/>
        <v>0</v>
      </c>
      <c r="S585" s="203">
        <f t="shared" si="286"/>
        <v>0</v>
      </c>
      <c r="T585" s="203">
        <f t="shared" si="286"/>
        <v>0</v>
      </c>
      <c r="U585" s="203">
        <f t="shared" si="286"/>
        <v>0</v>
      </c>
      <c r="V585" s="203">
        <f t="shared" si="286"/>
        <v>0</v>
      </c>
      <c r="W585" s="203">
        <f t="shared" si="286"/>
        <v>0</v>
      </c>
      <c r="X585" s="203">
        <f t="shared" si="286"/>
        <v>0</v>
      </c>
      <c r="Y585" s="203">
        <f t="shared" si="286"/>
        <v>0</v>
      </c>
      <c r="Z585" s="203">
        <f t="shared" si="286"/>
        <v>0</v>
      </c>
      <c r="AA585" s="203">
        <f t="shared" si="286"/>
        <v>0</v>
      </c>
      <c r="AB585" s="203">
        <f t="shared" si="286"/>
        <v>0</v>
      </c>
      <c r="AC585" s="203">
        <f t="shared" si="286"/>
        <v>0</v>
      </c>
      <c r="AD585" s="203">
        <f t="shared" si="286"/>
        <v>0</v>
      </c>
      <c r="AE585" s="203">
        <f t="shared" si="286"/>
        <v>0</v>
      </c>
      <c r="AF585" s="203">
        <f t="shared" si="286"/>
        <v>0</v>
      </c>
      <c r="AG585" s="203">
        <f t="shared" si="286"/>
        <v>0</v>
      </c>
      <c r="AH585" s="203">
        <f t="shared" si="286"/>
        <v>0</v>
      </c>
      <c r="AI585" s="203">
        <f t="shared" si="286"/>
        <v>0</v>
      </c>
      <c r="AJ585" s="203">
        <f t="shared" si="286"/>
        <v>0</v>
      </c>
      <c r="AK585" s="203">
        <f t="shared" si="286"/>
        <v>0</v>
      </c>
      <c r="AL585" s="203">
        <f t="shared" si="286"/>
        <v>0</v>
      </c>
      <c r="AM585" s="203">
        <f t="shared" si="286"/>
        <v>0</v>
      </c>
      <c r="AN585" s="203">
        <f t="shared" si="286"/>
        <v>0</v>
      </c>
      <c r="AO585" s="203">
        <f t="shared" si="286"/>
        <v>0</v>
      </c>
      <c r="AP585" s="203">
        <f t="shared" si="286"/>
        <v>0</v>
      </c>
    </row>
    <row r="586" spans="1:42" x14ac:dyDescent="0.2">
      <c r="A586" s="22" t="s">
        <v>439</v>
      </c>
      <c r="C586" s="120">
        <f>C$5/1000</f>
        <v>211907</v>
      </c>
      <c r="D586" s="120">
        <f t="shared" ref="D586:AP586" si="287">D$5/1000</f>
        <v>210848</v>
      </c>
      <c r="E586" s="120">
        <f t="shared" si="287"/>
        <v>209794</v>
      </c>
      <c r="F586" s="120">
        <f t="shared" si="287"/>
        <v>208745</v>
      </c>
      <c r="G586" s="120">
        <f t="shared" si="287"/>
        <v>207701</v>
      </c>
      <c r="H586" s="120">
        <f t="shared" si="287"/>
        <v>206662</v>
      </c>
      <c r="I586" s="120">
        <f t="shared" si="287"/>
        <v>205629</v>
      </c>
      <c r="J586" s="120">
        <f t="shared" si="287"/>
        <v>204601</v>
      </c>
      <c r="K586" s="120">
        <f t="shared" si="287"/>
        <v>203578</v>
      </c>
      <c r="L586" s="120">
        <f t="shared" si="287"/>
        <v>202560</v>
      </c>
      <c r="M586" s="120">
        <f t="shared" si="287"/>
        <v>201547</v>
      </c>
      <c r="N586" s="120">
        <f t="shared" si="287"/>
        <v>200540</v>
      </c>
      <c r="O586" s="120">
        <f t="shared" si="287"/>
        <v>199537</v>
      </c>
      <c r="P586" s="120">
        <f t="shared" si="287"/>
        <v>198539</v>
      </c>
      <c r="Q586" s="120">
        <f t="shared" si="287"/>
        <v>197547</v>
      </c>
      <c r="R586" s="120">
        <f t="shared" si="287"/>
        <v>196559</v>
      </c>
      <c r="S586" s="120">
        <f t="shared" si="287"/>
        <v>195576</v>
      </c>
      <c r="T586" s="120">
        <f t="shared" si="287"/>
        <v>194598</v>
      </c>
      <c r="U586" s="120">
        <f t="shared" si="287"/>
        <v>193625</v>
      </c>
      <c r="V586" s="120">
        <f t="shared" si="287"/>
        <v>192657</v>
      </c>
      <c r="W586" s="120">
        <f t="shared" si="287"/>
        <v>191694</v>
      </c>
      <c r="X586" s="120">
        <f t="shared" si="287"/>
        <v>190735</v>
      </c>
      <c r="Y586" s="120">
        <f t="shared" si="287"/>
        <v>189782</v>
      </c>
      <c r="Z586" s="120">
        <f t="shared" si="287"/>
        <v>188833</v>
      </c>
      <c r="AA586" s="120">
        <f t="shared" si="287"/>
        <v>187888</v>
      </c>
      <c r="AB586" s="120">
        <f t="shared" si="287"/>
        <v>0</v>
      </c>
      <c r="AC586" s="120">
        <f t="shared" si="287"/>
        <v>0</v>
      </c>
      <c r="AD586" s="120">
        <f t="shared" si="287"/>
        <v>0</v>
      </c>
      <c r="AE586" s="120">
        <f t="shared" si="287"/>
        <v>0</v>
      </c>
      <c r="AF586" s="120">
        <f t="shared" si="287"/>
        <v>0</v>
      </c>
      <c r="AG586" s="120">
        <f t="shared" si="287"/>
        <v>0</v>
      </c>
      <c r="AH586" s="120">
        <f t="shared" si="287"/>
        <v>0</v>
      </c>
      <c r="AI586" s="120">
        <f t="shared" si="287"/>
        <v>0</v>
      </c>
      <c r="AJ586" s="120">
        <f t="shared" si="287"/>
        <v>0</v>
      </c>
      <c r="AK586" s="120">
        <f t="shared" si="287"/>
        <v>0</v>
      </c>
      <c r="AL586" s="120">
        <f t="shared" si="287"/>
        <v>0</v>
      </c>
      <c r="AM586" s="120">
        <f t="shared" si="287"/>
        <v>0</v>
      </c>
      <c r="AN586" s="120">
        <f t="shared" si="287"/>
        <v>0</v>
      </c>
      <c r="AO586" s="120">
        <f t="shared" si="287"/>
        <v>0</v>
      </c>
      <c r="AP586" s="120">
        <f t="shared" si="287"/>
        <v>0</v>
      </c>
    </row>
    <row r="587" spans="1:42" x14ac:dyDescent="0.2">
      <c r="A587" s="22" t="s">
        <v>13</v>
      </c>
      <c r="C587" s="119">
        <f>C585*C586</f>
        <v>0</v>
      </c>
      <c r="D587" s="119">
        <f>D585*D586</f>
        <v>0</v>
      </c>
      <c r="E587" s="119">
        <f t="shared" ref="E587:AP587" si="288">E585*E586</f>
        <v>0</v>
      </c>
      <c r="F587" s="119">
        <f t="shared" si="288"/>
        <v>0</v>
      </c>
      <c r="G587" s="119">
        <f t="shared" si="288"/>
        <v>0</v>
      </c>
      <c r="H587" s="119">
        <f t="shared" si="288"/>
        <v>0</v>
      </c>
      <c r="I587" s="119">
        <f t="shared" si="288"/>
        <v>0</v>
      </c>
      <c r="J587" s="119">
        <f t="shared" si="288"/>
        <v>0</v>
      </c>
      <c r="K587" s="119">
        <f t="shared" si="288"/>
        <v>0</v>
      </c>
      <c r="L587" s="119">
        <f t="shared" si="288"/>
        <v>0</v>
      </c>
      <c r="M587" s="119">
        <f t="shared" si="288"/>
        <v>0</v>
      </c>
      <c r="N587" s="119">
        <f t="shared" si="288"/>
        <v>0</v>
      </c>
      <c r="O587" s="119">
        <f t="shared" si="288"/>
        <v>0</v>
      </c>
      <c r="P587" s="119">
        <f t="shared" si="288"/>
        <v>0</v>
      </c>
      <c r="Q587" s="119">
        <f t="shared" si="288"/>
        <v>0</v>
      </c>
      <c r="R587" s="119">
        <f t="shared" si="288"/>
        <v>0</v>
      </c>
      <c r="S587" s="119">
        <f t="shared" si="288"/>
        <v>0</v>
      </c>
      <c r="T587" s="119">
        <f t="shared" si="288"/>
        <v>0</v>
      </c>
      <c r="U587" s="119">
        <f t="shared" si="288"/>
        <v>0</v>
      </c>
      <c r="V587" s="119">
        <f t="shared" si="288"/>
        <v>0</v>
      </c>
      <c r="W587" s="119">
        <f t="shared" si="288"/>
        <v>0</v>
      </c>
      <c r="X587" s="119">
        <f t="shared" si="288"/>
        <v>0</v>
      </c>
      <c r="Y587" s="119">
        <f t="shared" si="288"/>
        <v>0</v>
      </c>
      <c r="Z587" s="119">
        <f t="shared" si="288"/>
        <v>0</v>
      </c>
      <c r="AA587" s="119">
        <f t="shared" si="288"/>
        <v>0</v>
      </c>
      <c r="AB587" s="119">
        <f t="shared" si="288"/>
        <v>0</v>
      </c>
      <c r="AC587" s="119">
        <f t="shared" si="288"/>
        <v>0</v>
      </c>
      <c r="AD587" s="119">
        <f t="shared" si="288"/>
        <v>0</v>
      </c>
      <c r="AE587" s="119">
        <f t="shared" si="288"/>
        <v>0</v>
      </c>
      <c r="AF587" s="119">
        <f t="shared" si="288"/>
        <v>0</v>
      </c>
      <c r="AG587" s="119">
        <f t="shared" si="288"/>
        <v>0</v>
      </c>
      <c r="AH587" s="119">
        <f t="shared" si="288"/>
        <v>0</v>
      </c>
      <c r="AI587" s="119">
        <f t="shared" si="288"/>
        <v>0</v>
      </c>
      <c r="AJ587" s="119">
        <f t="shared" si="288"/>
        <v>0</v>
      </c>
      <c r="AK587" s="119">
        <f t="shared" si="288"/>
        <v>0</v>
      </c>
      <c r="AL587" s="119">
        <f t="shared" si="288"/>
        <v>0</v>
      </c>
      <c r="AM587" s="119">
        <f t="shared" si="288"/>
        <v>0</v>
      </c>
      <c r="AN587" s="119">
        <f t="shared" si="288"/>
        <v>0</v>
      </c>
      <c r="AO587" s="119">
        <f t="shared" si="288"/>
        <v>0</v>
      </c>
      <c r="AP587" s="119">
        <f t="shared" si="288"/>
        <v>0</v>
      </c>
    </row>
    <row r="588" spans="1:42" x14ac:dyDescent="0.2">
      <c r="A588" s="22"/>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5"/>
    </row>
    <row r="589" spans="1:42" x14ac:dyDescent="0.2">
      <c r="A589" s="20" t="s">
        <v>16</v>
      </c>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5"/>
    </row>
    <row r="590" spans="1:42" x14ac:dyDescent="0.2">
      <c r="A590" s="18" t="str">
        <f>Inputs!B127</f>
        <v>As fixed amount</v>
      </c>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5"/>
    </row>
    <row r="591" spans="1:42" x14ac:dyDescent="0.2">
      <c r="A591" s="22" t="str">
        <f>Inputs!B128</f>
        <v>Federal ($)</v>
      </c>
      <c r="C591" s="119">
        <f>ibi_fed_amount</f>
        <v>0</v>
      </c>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5"/>
    </row>
    <row r="592" spans="1:42" x14ac:dyDescent="0.2">
      <c r="A592" s="22" t="str">
        <f>Inputs!B129</f>
        <v>State ($)</v>
      </c>
      <c r="C592" s="119">
        <f>ibi_sta_amount</f>
        <v>0</v>
      </c>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5"/>
    </row>
    <row r="593" spans="1:42" x14ac:dyDescent="0.2">
      <c r="A593" s="22" t="str">
        <f>Inputs!B130</f>
        <v>Utility ($)</v>
      </c>
      <c r="C593" s="119">
        <f>ibi_uti_amount</f>
        <v>0</v>
      </c>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5"/>
    </row>
    <row r="594" spans="1:42" x14ac:dyDescent="0.2">
      <c r="A594" s="22" t="str">
        <f>Inputs!B131</f>
        <v>Other ($)</v>
      </c>
      <c r="C594" s="120">
        <f>ibi_oth_amount</f>
        <v>0</v>
      </c>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5"/>
    </row>
    <row r="595" spans="1:42" x14ac:dyDescent="0.2">
      <c r="A595" s="22" t="s">
        <v>13</v>
      </c>
      <c r="C595" s="119">
        <f>SUM(C591:C594)</f>
        <v>0</v>
      </c>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5"/>
    </row>
    <row r="596" spans="1:42" x14ac:dyDescent="0.2">
      <c r="A596" s="18" t="str">
        <f>Inputs!B132</f>
        <v>As percentage</v>
      </c>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5"/>
    </row>
    <row r="597" spans="1:42" x14ac:dyDescent="0.2">
      <c r="A597" s="22" t="str">
        <f>Inputs!B133</f>
        <v>Federal (% of total installed cost)</v>
      </c>
      <c r="C597" s="156">
        <f>MIN(ibi_fed_percent/100*total_installed_cost,Inputs!D133)</f>
        <v>0</v>
      </c>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5"/>
    </row>
    <row r="598" spans="1:42" x14ac:dyDescent="0.2">
      <c r="A598" s="22" t="str">
        <f>Inputs!B134</f>
        <v>State (% of total installed cost)</v>
      </c>
      <c r="C598" s="156">
        <f>MIN(ibi_sta_percent/100*total_installed_cost,Inputs!D134)</f>
        <v>0</v>
      </c>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5"/>
    </row>
    <row r="599" spans="1:42" x14ac:dyDescent="0.2">
      <c r="A599" s="22" t="str">
        <f>Inputs!B135</f>
        <v>Utility (% of total installed cost)</v>
      </c>
      <c r="C599" s="156">
        <f>MIN(ibi_uti_percent/100*total_installed_cost,Inputs!D135)</f>
        <v>0</v>
      </c>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5"/>
    </row>
    <row r="600" spans="1:42" x14ac:dyDescent="0.2">
      <c r="A600" s="22" t="str">
        <f>Inputs!B136</f>
        <v>Other (% of total installed cost)</v>
      </c>
      <c r="C600" s="156">
        <f>MIN(ibi_oth_percent/100*total_installed_cost,Inputs!D136)</f>
        <v>0</v>
      </c>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5"/>
    </row>
    <row r="601" spans="1:42" x14ac:dyDescent="0.2">
      <c r="A601" s="22" t="s">
        <v>13</v>
      </c>
      <c r="C601" s="125">
        <f>SUM(C597:C600)</f>
        <v>0</v>
      </c>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5"/>
    </row>
    <row r="602" spans="1:42" x14ac:dyDescent="0.2">
      <c r="A602" s="22"/>
      <c r="C602" s="119"/>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5"/>
    </row>
    <row r="603" spans="1:42" x14ac:dyDescent="0.2">
      <c r="A603" s="20" t="s">
        <v>39</v>
      </c>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5"/>
    </row>
    <row r="604" spans="1:42" x14ac:dyDescent="0.2">
      <c r="A604" s="18" t="str">
        <f>Inputs!B138</f>
        <v>Federal ($/W)</v>
      </c>
      <c r="C604" s="156">
        <f>MIN(cbi_fed_amount*system_capacity*1000,cbi_fed_maxvalue)</f>
        <v>0</v>
      </c>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5"/>
    </row>
    <row r="605" spans="1:42" x14ac:dyDescent="0.2">
      <c r="A605" s="18" t="str">
        <f>Inputs!B139</f>
        <v>State ($/W)</v>
      </c>
      <c r="C605" s="156">
        <f>MIN(cbi_sta_amount*system_capacity*1000,cbi_sta_maxvalue)</f>
        <v>0</v>
      </c>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5"/>
    </row>
    <row r="606" spans="1:42" x14ac:dyDescent="0.2">
      <c r="A606" s="18" t="str">
        <f>Inputs!B140</f>
        <v>Utility ($/W)</v>
      </c>
      <c r="C606" s="156">
        <f>MIN(cbi_uti_amount*system_capacity*1000,cbi_uti_maxvalue)</f>
        <v>0</v>
      </c>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5"/>
    </row>
    <row r="607" spans="1:42" x14ac:dyDescent="0.2">
      <c r="A607" s="18" t="str">
        <f>Inputs!B141</f>
        <v>Other ($/W)</v>
      </c>
      <c r="C607" s="156">
        <f>MIN(cbi_oth_amount*system_capacity*1000,cbi_oth_maxvalue)</f>
        <v>0</v>
      </c>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5"/>
    </row>
    <row r="608" spans="1:42" x14ac:dyDescent="0.2">
      <c r="A608" s="18" t="s">
        <v>13</v>
      </c>
      <c r="C608" s="125">
        <f>SUM(C604:C607)</f>
        <v>0</v>
      </c>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5"/>
    </row>
    <row r="609" spans="1:42" x14ac:dyDescent="0.2">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5"/>
    </row>
    <row r="610" spans="1:42" x14ac:dyDescent="0.2">
      <c r="A610" s="20" t="s">
        <v>37</v>
      </c>
    </row>
    <row r="611" spans="1:42" x14ac:dyDescent="0.2">
      <c r="A611" s="18" t="str">
        <f>Inputs!B143</f>
        <v>Federal ($/kWh)</v>
      </c>
    </row>
    <row r="612" spans="1:42" x14ac:dyDescent="0.2">
      <c r="A612" s="22" t="s">
        <v>38</v>
      </c>
      <c r="C612" s="108">
        <f>IF(pbi_fed_amount="n/a",Inputs!D189,IF(AND(C$2&lt;=pbi_fed_term,C$2&lt;=analysis_period),pbi_fed_amount*(1+pbi_fed_escal/100)^B$2,0))</f>
        <v>0</v>
      </c>
      <c r="D612" s="108">
        <f>IF(pbi_fed_amount="n/a",Inputs!E189,IF(AND(D$2&lt;=pbi_fed_term,D$2&lt;=analysis_period),pbi_fed_amount*(1+pbi_fed_escal/100)^C$2,0))</f>
        <v>0</v>
      </c>
      <c r="E612" s="108">
        <f>IF(pbi_fed_amount="n/a",Inputs!F189,IF(AND(E$2&lt;=pbi_fed_term,E$2&lt;=analysis_period),pbi_fed_amount*(1+pbi_fed_escal/100)^D$2,0))</f>
        <v>0</v>
      </c>
      <c r="F612" s="108">
        <f>IF(pbi_fed_amount="n/a",Inputs!G189,IF(AND(F$2&lt;=pbi_fed_term,F$2&lt;=analysis_period),pbi_fed_amount*(1+pbi_fed_escal/100)^E$2,0))</f>
        <v>0</v>
      </c>
      <c r="G612" s="108">
        <f>IF(pbi_fed_amount="n/a",Inputs!H189,IF(AND(G$2&lt;=pbi_fed_term,G$2&lt;=analysis_period),pbi_fed_amount*(1+pbi_fed_escal/100)^F$2,0))</f>
        <v>0</v>
      </c>
      <c r="H612" s="108">
        <f>IF(pbi_fed_amount="n/a",Inputs!I189,IF(AND(H$2&lt;=pbi_fed_term,H$2&lt;=analysis_period),pbi_fed_amount*(1+pbi_fed_escal/100)^G$2,0))</f>
        <v>0</v>
      </c>
      <c r="I612" s="108">
        <f>IF(pbi_fed_amount="n/a",Inputs!J189,IF(AND(I$2&lt;=pbi_fed_term,I$2&lt;=analysis_period),pbi_fed_amount*(1+pbi_fed_escal/100)^H$2,0))</f>
        <v>0</v>
      </c>
      <c r="J612" s="108">
        <f>IF(pbi_fed_amount="n/a",Inputs!K189,IF(AND(J$2&lt;=pbi_fed_term,J$2&lt;=analysis_period),pbi_fed_amount*(1+pbi_fed_escal/100)^I$2,0))</f>
        <v>0</v>
      </c>
      <c r="K612" s="108">
        <f>IF(pbi_fed_amount="n/a",Inputs!L189,IF(AND(K$2&lt;=pbi_fed_term,K$2&lt;=analysis_period),pbi_fed_amount*(1+pbi_fed_escal/100)^J$2,0))</f>
        <v>0</v>
      </c>
      <c r="L612" s="108">
        <f>IF(pbi_fed_amount="n/a",Inputs!M189,IF(AND(L$2&lt;=pbi_fed_term,L$2&lt;=analysis_period),pbi_fed_amount*(1+pbi_fed_escal/100)^K$2,0))</f>
        <v>0</v>
      </c>
      <c r="M612" s="108">
        <f>IF(pbi_fed_amount="n/a",Inputs!N189,IF(AND(M$2&lt;=pbi_fed_term,M$2&lt;=analysis_period),pbi_fed_amount*(1+pbi_fed_escal/100)^L$2,0))</f>
        <v>0</v>
      </c>
      <c r="N612" s="108">
        <f>IF(pbi_fed_amount="n/a",Inputs!O189,IF(AND(N$2&lt;=pbi_fed_term,N$2&lt;=analysis_period),pbi_fed_amount*(1+pbi_fed_escal/100)^M$2,0))</f>
        <v>0</v>
      </c>
      <c r="O612" s="108">
        <f>IF(pbi_fed_amount="n/a",Inputs!P189,IF(AND(O$2&lt;=pbi_fed_term,O$2&lt;=analysis_period),pbi_fed_amount*(1+pbi_fed_escal/100)^N$2,0))</f>
        <v>0</v>
      </c>
      <c r="P612" s="108">
        <f>IF(pbi_fed_amount="n/a",Inputs!Q189,IF(AND(P$2&lt;=pbi_fed_term,P$2&lt;=analysis_period),pbi_fed_amount*(1+pbi_fed_escal/100)^O$2,0))</f>
        <v>0</v>
      </c>
      <c r="Q612" s="108">
        <f>IF(pbi_fed_amount="n/a",Inputs!R189,IF(AND(Q$2&lt;=pbi_fed_term,Q$2&lt;=analysis_period),pbi_fed_amount*(1+pbi_fed_escal/100)^P$2,0))</f>
        <v>0</v>
      </c>
      <c r="R612" s="108">
        <f>IF(pbi_fed_amount="n/a",Inputs!S189,IF(AND(R$2&lt;=pbi_fed_term,R$2&lt;=analysis_period),pbi_fed_amount*(1+pbi_fed_escal/100)^Q$2,0))</f>
        <v>0</v>
      </c>
      <c r="S612" s="108">
        <f>IF(pbi_fed_amount="n/a",Inputs!T189,IF(AND(S$2&lt;=pbi_fed_term,S$2&lt;=analysis_period),pbi_fed_amount*(1+pbi_fed_escal/100)^R$2,0))</f>
        <v>0</v>
      </c>
      <c r="T612" s="108">
        <f>IF(pbi_fed_amount="n/a",Inputs!U189,IF(AND(T$2&lt;=pbi_fed_term,T$2&lt;=analysis_period),pbi_fed_amount*(1+pbi_fed_escal/100)^S$2,0))</f>
        <v>0</v>
      </c>
      <c r="U612" s="108">
        <f>IF(pbi_fed_amount="n/a",Inputs!V189,IF(AND(U$2&lt;=pbi_fed_term,U$2&lt;=analysis_period),pbi_fed_amount*(1+pbi_fed_escal/100)^T$2,0))</f>
        <v>0</v>
      </c>
      <c r="V612" s="108">
        <f>IF(pbi_fed_amount="n/a",Inputs!W189,IF(AND(V$2&lt;=pbi_fed_term,V$2&lt;=analysis_period),pbi_fed_amount*(1+pbi_fed_escal/100)^U$2,0))</f>
        <v>0</v>
      </c>
      <c r="W612" s="108">
        <f>IF(pbi_fed_amount="n/a",Inputs!X189,IF(AND(W$2&lt;=pbi_fed_term,W$2&lt;=analysis_period),pbi_fed_amount*(1+pbi_fed_escal/100)^V$2,0))</f>
        <v>0</v>
      </c>
      <c r="X612" s="108">
        <f>IF(pbi_fed_amount="n/a",Inputs!Y189,IF(AND(X$2&lt;=pbi_fed_term,X$2&lt;=analysis_period),pbi_fed_amount*(1+pbi_fed_escal/100)^W$2,0))</f>
        <v>0</v>
      </c>
      <c r="Y612" s="108">
        <f>IF(pbi_fed_amount="n/a",Inputs!Z189,IF(AND(Y$2&lt;=pbi_fed_term,Y$2&lt;=analysis_period),pbi_fed_amount*(1+pbi_fed_escal/100)^X$2,0))</f>
        <v>0</v>
      </c>
      <c r="Z612" s="108">
        <f>IF(pbi_fed_amount="n/a",Inputs!AA189,IF(AND(Z$2&lt;=pbi_fed_term,Z$2&lt;=analysis_period),pbi_fed_amount*(1+pbi_fed_escal/100)^Y$2,0))</f>
        <v>0</v>
      </c>
      <c r="AA612" s="108">
        <f>IF(pbi_fed_amount="n/a",Inputs!AB189,IF(AND(AA$2&lt;=pbi_fed_term,AA$2&lt;=analysis_period),pbi_fed_amount*(1+pbi_fed_escal/100)^Z$2,0))</f>
        <v>0</v>
      </c>
      <c r="AB612" s="108">
        <f>IF(pbi_fed_amount="n/a",Inputs!AC189,IF(AND(AB$2&lt;=pbi_fed_term,AB$2&lt;=analysis_period),pbi_fed_amount*(1+pbi_fed_escal/100)^AA$2,0))</f>
        <v>0</v>
      </c>
      <c r="AC612" s="108">
        <f>IF(pbi_fed_amount="n/a",Inputs!AD189,IF(AND(AC$2&lt;=pbi_fed_term,AC$2&lt;=analysis_period),pbi_fed_amount*(1+pbi_fed_escal/100)^AB$2,0))</f>
        <v>0</v>
      </c>
      <c r="AD612" s="108">
        <f>IF(pbi_fed_amount="n/a",Inputs!AE189,IF(AND(AD$2&lt;=pbi_fed_term,AD$2&lt;=analysis_period),pbi_fed_amount*(1+pbi_fed_escal/100)^AC$2,0))</f>
        <v>0</v>
      </c>
      <c r="AE612" s="108">
        <f>IF(pbi_fed_amount="n/a",Inputs!AF189,IF(AND(AE$2&lt;=pbi_fed_term,AE$2&lt;=analysis_period),pbi_fed_amount*(1+pbi_fed_escal/100)^AD$2,0))</f>
        <v>0</v>
      </c>
      <c r="AF612" s="108">
        <f>IF(pbi_fed_amount="n/a",Inputs!AG189,IF(AND(AF$2&lt;=pbi_fed_term,AF$2&lt;=analysis_period),pbi_fed_amount*(1+pbi_fed_escal/100)^AE$2,0))</f>
        <v>0</v>
      </c>
      <c r="AG612" s="108">
        <f>IF(pbi_fed_amount="n/a",Inputs!AH189,IF(AND(AG$2&lt;=pbi_fed_term,AG$2&lt;=analysis_period),pbi_fed_amount*(1+pbi_fed_escal/100)^AF$2,0))</f>
        <v>0</v>
      </c>
      <c r="AH612" s="108">
        <f>IF(pbi_fed_amount="n/a",Inputs!AI189,IF(AND(AH$2&lt;=pbi_fed_term,AH$2&lt;=analysis_period),pbi_fed_amount*(1+pbi_fed_escal/100)^AG$2,0))</f>
        <v>0</v>
      </c>
      <c r="AI612" s="108">
        <f>IF(pbi_fed_amount="n/a",Inputs!AJ189,IF(AND(AI$2&lt;=pbi_fed_term,AI$2&lt;=analysis_period),pbi_fed_amount*(1+pbi_fed_escal/100)^AH$2,0))</f>
        <v>0</v>
      </c>
      <c r="AJ612" s="108">
        <f>IF(pbi_fed_amount="n/a",Inputs!AK189,IF(AND(AJ$2&lt;=pbi_fed_term,AJ$2&lt;=analysis_period),pbi_fed_amount*(1+pbi_fed_escal/100)^AI$2,0))</f>
        <v>0</v>
      </c>
      <c r="AK612" s="108">
        <f>IF(pbi_fed_amount="n/a",Inputs!AL189,IF(AND(AK$2&lt;=pbi_fed_term,AK$2&lt;=analysis_period),pbi_fed_amount*(1+pbi_fed_escal/100)^AJ$2,0))</f>
        <v>0</v>
      </c>
      <c r="AL612" s="108">
        <f>IF(pbi_fed_amount="n/a",Inputs!AM189,IF(AND(AL$2&lt;=pbi_fed_term,AL$2&lt;=analysis_period),pbi_fed_amount*(1+pbi_fed_escal/100)^AK$2,0))</f>
        <v>0</v>
      </c>
      <c r="AM612" s="108">
        <f>IF(pbi_fed_amount="n/a",Inputs!AN189,IF(AND(AM$2&lt;=pbi_fed_term,AM$2&lt;=analysis_period),pbi_fed_amount*(1+pbi_fed_escal/100)^AL$2,0))</f>
        <v>0</v>
      </c>
      <c r="AN612" s="108">
        <f>IF(pbi_fed_amount="n/a",Inputs!AO189,IF(AND(AN$2&lt;=pbi_fed_term,AN$2&lt;=analysis_period),pbi_fed_amount*(1+pbi_fed_escal/100)^AM$2,0))</f>
        <v>0</v>
      </c>
      <c r="AO612" s="108">
        <f>IF(pbi_fed_amount="n/a",Inputs!AP189,IF(AND(AO$2&lt;=pbi_fed_term,AO$2&lt;=analysis_period),pbi_fed_amount*(1+pbi_fed_escal/100)^AN$2,0))</f>
        <v>0</v>
      </c>
      <c r="AP612" s="108">
        <f>IF(pbi_fed_amount="n/a",Inputs!AQ189,IF(AND(AP$2&lt;=pbi_fed_term,AP$2&lt;=analysis_period),pbi_fed_amount*(1+pbi_fed_escal/100)^AO$2,0))</f>
        <v>0</v>
      </c>
    </row>
    <row r="613" spans="1:42" x14ac:dyDescent="0.2">
      <c r="A613" s="22" t="s">
        <v>438</v>
      </c>
      <c r="C613" s="120">
        <f>C$5</f>
        <v>211907000</v>
      </c>
      <c r="D613" s="120">
        <f t="shared" ref="D613:AP613" si="289">D$5</f>
        <v>210848000</v>
      </c>
      <c r="E613" s="120">
        <f t="shared" si="289"/>
        <v>209794000</v>
      </c>
      <c r="F613" s="120">
        <f t="shared" si="289"/>
        <v>208745000</v>
      </c>
      <c r="G613" s="120">
        <f t="shared" si="289"/>
        <v>207701000</v>
      </c>
      <c r="H613" s="120">
        <f t="shared" si="289"/>
        <v>206662000</v>
      </c>
      <c r="I613" s="120">
        <f t="shared" si="289"/>
        <v>205629000</v>
      </c>
      <c r="J613" s="120">
        <f t="shared" si="289"/>
        <v>204601000</v>
      </c>
      <c r="K613" s="120">
        <f t="shared" si="289"/>
        <v>203578000</v>
      </c>
      <c r="L613" s="120">
        <f t="shared" si="289"/>
        <v>202560000</v>
      </c>
      <c r="M613" s="120">
        <f t="shared" si="289"/>
        <v>201547000</v>
      </c>
      <c r="N613" s="120">
        <f t="shared" si="289"/>
        <v>200540000</v>
      </c>
      <c r="O613" s="120">
        <f t="shared" si="289"/>
        <v>199537000</v>
      </c>
      <c r="P613" s="120">
        <f t="shared" si="289"/>
        <v>198539000</v>
      </c>
      <c r="Q613" s="120">
        <f t="shared" si="289"/>
        <v>197547000</v>
      </c>
      <c r="R613" s="120">
        <f t="shared" si="289"/>
        <v>196559000</v>
      </c>
      <c r="S613" s="120">
        <f t="shared" si="289"/>
        <v>195576000</v>
      </c>
      <c r="T613" s="120">
        <f t="shared" si="289"/>
        <v>194598000</v>
      </c>
      <c r="U613" s="120">
        <f t="shared" si="289"/>
        <v>193625000</v>
      </c>
      <c r="V613" s="120">
        <f t="shared" si="289"/>
        <v>192657000</v>
      </c>
      <c r="W613" s="120">
        <f t="shared" si="289"/>
        <v>191694000</v>
      </c>
      <c r="X613" s="120">
        <f t="shared" si="289"/>
        <v>190735000</v>
      </c>
      <c r="Y613" s="120">
        <f t="shared" si="289"/>
        <v>189782000</v>
      </c>
      <c r="Z613" s="120">
        <f t="shared" si="289"/>
        <v>188833000</v>
      </c>
      <c r="AA613" s="120">
        <f t="shared" si="289"/>
        <v>187888000</v>
      </c>
      <c r="AB613" s="120">
        <f t="shared" si="289"/>
        <v>0</v>
      </c>
      <c r="AC613" s="120">
        <f t="shared" si="289"/>
        <v>0</v>
      </c>
      <c r="AD613" s="120">
        <f t="shared" si="289"/>
        <v>0</v>
      </c>
      <c r="AE613" s="120">
        <f t="shared" si="289"/>
        <v>0</v>
      </c>
      <c r="AF613" s="120">
        <f t="shared" si="289"/>
        <v>0</v>
      </c>
      <c r="AG613" s="120">
        <f t="shared" si="289"/>
        <v>0</v>
      </c>
      <c r="AH613" s="120">
        <f t="shared" si="289"/>
        <v>0</v>
      </c>
      <c r="AI613" s="120">
        <f t="shared" si="289"/>
        <v>0</v>
      </c>
      <c r="AJ613" s="120">
        <f t="shared" si="289"/>
        <v>0</v>
      </c>
      <c r="AK613" s="120">
        <f t="shared" si="289"/>
        <v>0</v>
      </c>
      <c r="AL613" s="120">
        <f t="shared" si="289"/>
        <v>0</v>
      </c>
      <c r="AM613" s="120">
        <f t="shared" si="289"/>
        <v>0</v>
      </c>
      <c r="AN613" s="120">
        <f t="shared" si="289"/>
        <v>0</v>
      </c>
      <c r="AO613" s="120">
        <f t="shared" si="289"/>
        <v>0</v>
      </c>
      <c r="AP613" s="120">
        <f t="shared" si="289"/>
        <v>0</v>
      </c>
    </row>
    <row r="614" spans="1:42" x14ac:dyDescent="0.2">
      <c r="A614" s="22" t="s">
        <v>13</v>
      </c>
      <c r="C614" s="119">
        <f>C612*C613</f>
        <v>0</v>
      </c>
      <c r="D614" s="119">
        <f t="shared" ref="D614:AP614" si="290">D612*D613</f>
        <v>0</v>
      </c>
      <c r="E614" s="119">
        <f t="shared" si="290"/>
        <v>0</v>
      </c>
      <c r="F614" s="119">
        <f t="shared" si="290"/>
        <v>0</v>
      </c>
      <c r="G614" s="119">
        <f t="shared" si="290"/>
        <v>0</v>
      </c>
      <c r="H614" s="119">
        <f t="shared" si="290"/>
        <v>0</v>
      </c>
      <c r="I614" s="119">
        <f t="shared" si="290"/>
        <v>0</v>
      </c>
      <c r="J614" s="119">
        <f t="shared" si="290"/>
        <v>0</v>
      </c>
      <c r="K614" s="119">
        <f t="shared" si="290"/>
        <v>0</v>
      </c>
      <c r="L614" s="119">
        <f t="shared" si="290"/>
        <v>0</v>
      </c>
      <c r="M614" s="119">
        <f t="shared" si="290"/>
        <v>0</v>
      </c>
      <c r="N614" s="119">
        <f t="shared" si="290"/>
        <v>0</v>
      </c>
      <c r="O614" s="119">
        <f t="shared" si="290"/>
        <v>0</v>
      </c>
      <c r="P614" s="119">
        <f t="shared" si="290"/>
        <v>0</v>
      </c>
      <c r="Q614" s="119">
        <f t="shared" si="290"/>
        <v>0</v>
      </c>
      <c r="R614" s="119">
        <f t="shared" si="290"/>
        <v>0</v>
      </c>
      <c r="S614" s="119">
        <f t="shared" si="290"/>
        <v>0</v>
      </c>
      <c r="T614" s="119">
        <f t="shared" si="290"/>
        <v>0</v>
      </c>
      <c r="U614" s="119">
        <f t="shared" si="290"/>
        <v>0</v>
      </c>
      <c r="V614" s="119">
        <f t="shared" si="290"/>
        <v>0</v>
      </c>
      <c r="W614" s="119">
        <f t="shared" si="290"/>
        <v>0</v>
      </c>
      <c r="X614" s="119">
        <f t="shared" si="290"/>
        <v>0</v>
      </c>
      <c r="Y614" s="119">
        <f t="shared" si="290"/>
        <v>0</v>
      </c>
      <c r="Z614" s="119">
        <f t="shared" si="290"/>
        <v>0</v>
      </c>
      <c r="AA614" s="119">
        <f t="shared" si="290"/>
        <v>0</v>
      </c>
      <c r="AB614" s="119">
        <f t="shared" si="290"/>
        <v>0</v>
      </c>
      <c r="AC614" s="119">
        <f t="shared" si="290"/>
        <v>0</v>
      </c>
      <c r="AD614" s="119">
        <f t="shared" si="290"/>
        <v>0</v>
      </c>
      <c r="AE614" s="119">
        <f t="shared" si="290"/>
        <v>0</v>
      </c>
      <c r="AF614" s="119">
        <f t="shared" si="290"/>
        <v>0</v>
      </c>
      <c r="AG614" s="119">
        <f t="shared" si="290"/>
        <v>0</v>
      </c>
      <c r="AH614" s="119">
        <f t="shared" si="290"/>
        <v>0</v>
      </c>
      <c r="AI614" s="119">
        <f t="shared" si="290"/>
        <v>0</v>
      </c>
      <c r="AJ614" s="119">
        <f t="shared" si="290"/>
        <v>0</v>
      </c>
      <c r="AK614" s="119">
        <f t="shared" si="290"/>
        <v>0</v>
      </c>
      <c r="AL614" s="119">
        <f t="shared" si="290"/>
        <v>0</v>
      </c>
      <c r="AM614" s="119">
        <f t="shared" si="290"/>
        <v>0</v>
      </c>
      <c r="AN614" s="119">
        <f t="shared" si="290"/>
        <v>0</v>
      </c>
      <c r="AO614" s="119">
        <f t="shared" si="290"/>
        <v>0</v>
      </c>
      <c r="AP614" s="119">
        <f t="shared" si="290"/>
        <v>0</v>
      </c>
    </row>
    <row r="615" spans="1:42" x14ac:dyDescent="0.2">
      <c r="A615" s="18" t="str">
        <f>Inputs!B144</f>
        <v>State ($/kWh)</v>
      </c>
    </row>
    <row r="616" spans="1:42" x14ac:dyDescent="0.2">
      <c r="A616" s="22" t="s">
        <v>38</v>
      </c>
      <c r="C616" s="99">
        <f>IF(pbi_sta_amount="n/a",Inputs!D190,IF(AND(C$2&lt;=pbi_sta_term,C$2&lt;=analysis_period),pbi_sta_amount*(1+pbi_sta_escal/100)^B$2,0))</f>
        <v>0</v>
      </c>
      <c r="D616" s="99">
        <f>IF(pbi_sta_amount="n/a",Inputs!E190,IF(AND(D$2&lt;=pbi_sta_term,D$2&lt;=analysis_period),pbi_sta_amount*(1+pbi_sta_escal/100)^C$2,0))</f>
        <v>0</v>
      </c>
      <c r="E616" s="99">
        <f>IF(pbi_sta_amount="n/a",Inputs!F190,IF(AND(E$2&lt;=pbi_sta_term,E$2&lt;=analysis_period),pbi_sta_amount*(1+pbi_sta_escal/100)^D$2,0))</f>
        <v>0</v>
      </c>
      <c r="F616" s="99">
        <f>IF(pbi_sta_amount="n/a",Inputs!G190,IF(AND(F$2&lt;=pbi_sta_term,F$2&lt;=analysis_period),pbi_sta_amount*(1+pbi_sta_escal/100)^E$2,0))</f>
        <v>0</v>
      </c>
      <c r="G616" s="99">
        <f>IF(pbi_sta_amount="n/a",Inputs!H190,IF(AND(G$2&lt;=pbi_sta_term,G$2&lt;=analysis_period),pbi_sta_amount*(1+pbi_sta_escal/100)^F$2,0))</f>
        <v>0</v>
      </c>
      <c r="H616" s="99">
        <f>IF(pbi_sta_amount="n/a",Inputs!I190,IF(AND(H$2&lt;=pbi_sta_term,H$2&lt;=analysis_period),pbi_sta_amount*(1+pbi_sta_escal/100)^G$2,0))</f>
        <v>0</v>
      </c>
      <c r="I616" s="99">
        <f>IF(pbi_sta_amount="n/a",Inputs!J190,IF(AND(I$2&lt;=pbi_sta_term,I$2&lt;=analysis_period),pbi_sta_amount*(1+pbi_sta_escal/100)^H$2,0))</f>
        <v>0</v>
      </c>
      <c r="J616" s="99">
        <f>IF(pbi_sta_amount="n/a",Inputs!K190,IF(AND(J$2&lt;=pbi_sta_term,J$2&lt;=analysis_period),pbi_sta_amount*(1+pbi_sta_escal/100)^I$2,0))</f>
        <v>0</v>
      </c>
      <c r="K616" s="99">
        <f>IF(pbi_sta_amount="n/a",Inputs!L190,IF(AND(K$2&lt;=pbi_sta_term,K$2&lt;=analysis_period),pbi_sta_amount*(1+pbi_sta_escal/100)^J$2,0))</f>
        <v>0</v>
      </c>
      <c r="L616" s="99">
        <f>IF(pbi_sta_amount="n/a",Inputs!M190,IF(AND(L$2&lt;=pbi_sta_term,L$2&lt;=analysis_period),pbi_sta_amount*(1+pbi_sta_escal/100)^K$2,0))</f>
        <v>0</v>
      </c>
      <c r="M616" s="99">
        <f>IF(pbi_sta_amount="n/a",Inputs!N190,IF(AND(M$2&lt;=pbi_sta_term,M$2&lt;=analysis_period),pbi_sta_amount*(1+pbi_sta_escal/100)^L$2,0))</f>
        <v>0</v>
      </c>
      <c r="N616" s="99">
        <f>IF(pbi_sta_amount="n/a",Inputs!O190,IF(AND(N$2&lt;=pbi_sta_term,N$2&lt;=analysis_period),pbi_sta_amount*(1+pbi_sta_escal/100)^M$2,0))</f>
        <v>0</v>
      </c>
      <c r="O616" s="99">
        <f>IF(pbi_sta_amount="n/a",Inputs!P190,IF(AND(O$2&lt;=pbi_sta_term,O$2&lt;=analysis_period),pbi_sta_amount*(1+pbi_sta_escal/100)^N$2,0))</f>
        <v>0</v>
      </c>
      <c r="P616" s="99">
        <f>IF(pbi_sta_amount="n/a",Inputs!Q190,IF(AND(P$2&lt;=pbi_sta_term,P$2&lt;=analysis_period),pbi_sta_amount*(1+pbi_sta_escal/100)^O$2,0))</f>
        <v>0</v>
      </c>
      <c r="Q616" s="99">
        <f>IF(pbi_sta_amount="n/a",Inputs!R190,IF(AND(Q$2&lt;=pbi_sta_term,Q$2&lt;=analysis_period),pbi_sta_amount*(1+pbi_sta_escal/100)^P$2,0))</f>
        <v>0</v>
      </c>
      <c r="R616" s="99">
        <f>IF(pbi_sta_amount="n/a",Inputs!S190,IF(AND(R$2&lt;=pbi_sta_term,R$2&lt;=analysis_period),pbi_sta_amount*(1+pbi_sta_escal/100)^Q$2,0))</f>
        <v>0</v>
      </c>
      <c r="S616" s="99">
        <f>IF(pbi_sta_amount="n/a",Inputs!T190,IF(AND(S$2&lt;=pbi_sta_term,S$2&lt;=analysis_period),pbi_sta_amount*(1+pbi_sta_escal/100)^R$2,0))</f>
        <v>0</v>
      </c>
      <c r="T616" s="99">
        <f>IF(pbi_sta_amount="n/a",Inputs!U190,IF(AND(T$2&lt;=pbi_sta_term,T$2&lt;=analysis_period),pbi_sta_amount*(1+pbi_sta_escal/100)^S$2,0))</f>
        <v>0</v>
      </c>
      <c r="U616" s="99">
        <f>IF(pbi_sta_amount="n/a",Inputs!V190,IF(AND(U$2&lt;=pbi_sta_term,U$2&lt;=analysis_period),pbi_sta_amount*(1+pbi_sta_escal/100)^T$2,0))</f>
        <v>0</v>
      </c>
      <c r="V616" s="99">
        <f>IF(pbi_sta_amount="n/a",Inputs!W190,IF(AND(V$2&lt;=pbi_sta_term,V$2&lt;=analysis_period),pbi_sta_amount*(1+pbi_sta_escal/100)^U$2,0))</f>
        <v>0</v>
      </c>
      <c r="W616" s="99">
        <f>IF(pbi_sta_amount="n/a",Inputs!X190,IF(AND(W$2&lt;=pbi_sta_term,W$2&lt;=analysis_period),pbi_sta_amount*(1+pbi_sta_escal/100)^V$2,0))</f>
        <v>0</v>
      </c>
      <c r="X616" s="99">
        <f>IF(pbi_sta_amount="n/a",Inputs!Y190,IF(AND(X$2&lt;=pbi_sta_term,X$2&lt;=analysis_period),pbi_sta_amount*(1+pbi_sta_escal/100)^W$2,0))</f>
        <v>0</v>
      </c>
      <c r="Y616" s="99">
        <f>IF(pbi_sta_amount="n/a",Inputs!Z190,IF(AND(Y$2&lt;=pbi_sta_term,Y$2&lt;=analysis_period),pbi_sta_amount*(1+pbi_sta_escal/100)^X$2,0))</f>
        <v>0</v>
      </c>
      <c r="Z616" s="99">
        <f>IF(pbi_sta_amount="n/a",Inputs!AA190,IF(AND(Z$2&lt;=pbi_sta_term,Z$2&lt;=analysis_period),pbi_sta_amount*(1+pbi_sta_escal/100)^Y$2,0))</f>
        <v>0</v>
      </c>
      <c r="AA616" s="99">
        <f>IF(pbi_sta_amount="n/a",Inputs!AB190,IF(AND(AA$2&lt;=pbi_sta_term,AA$2&lt;=analysis_period),pbi_sta_amount*(1+pbi_sta_escal/100)^Z$2,0))</f>
        <v>0</v>
      </c>
      <c r="AB616" s="99">
        <f>IF(pbi_sta_amount="n/a",Inputs!AC190,IF(AND(AB$2&lt;=pbi_sta_term,AB$2&lt;=analysis_period),pbi_sta_amount*(1+pbi_sta_escal/100)^AA$2,0))</f>
        <v>0</v>
      </c>
      <c r="AC616" s="99">
        <f>IF(pbi_sta_amount="n/a",Inputs!AD190,IF(AND(AC$2&lt;=pbi_sta_term,AC$2&lt;=analysis_period),pbi_sta_amount*(1+pbi_sta_escal/100)^AB$2,0))</f>
        <v>0</v>
      </c>
      <c r="AD616" s="99">
        <f>IF(pbi_sta_amount="n/a",Inputs!AE190,IF(AND(AD$2&lt;=pbi_sta_term,AD$2&lt;=analysis_period),pbi_sta_amount*(1+pbi_sta_escal/100)^AC$2,0))</f>
        <v>0</v>
      </c>
      <c r="AE616" s="99">
        <f>IF(pbi_sta_amount="n/a",Inputs!AF190,IF(AND(AE$2&lt;=pbi_sta_term,AE$2&lt;=analysis_period),pbi_sta_amount*(1+pbi_sta_escal/100)^AD$2,0))</f>
        <v>0</v>
      </c>
      <c r="AF616" s="99">
        <f>IF(pbi_sta_amount="n/a",Inputs!AG190,IF(AND(AF$2&lt;=pbi_sta_term,AF$2&lt;=analysis_period),pbi_sta_amount*(1+pbi_sta_escal/100)^AE$2,0))</f>
        <v>0</v>
      </c>
      <c r="AG616" s="99">
        <f>IF(pbi_sta_amount="n/a",Inputs!AH190,IF(AND(AG$2&lt;=pbi_sta_term,AG$2&lt;=analysis_period),pbi_sta_amount*(1+pbi_sta_escal/100)^AF$2,0))</f>
        <v>0</v>
      </c>
      <c r="AH616" s="99">
        <f>IF(pbi_sta_amount="n/a",Inputs!AI190,IF(AND(AH$2&lt;=pbi_sta_term,AH$2&lt;=analysis_period),pbi_sta_amount*(1+pbi_sta_escal/100)^AG$2,0))</f>
        <v>0</v>
      </c>
      <c r="AI616" s="99">
        <f>IF(pbi_sta_amount="n/a",Inputs!AJ190,IF(AND(AI$2&lt;=pbi_sta_term,AI$2&lt;=analysis_period),pbi_sta_amount*(1+pbi_sta_escal/100)^AH$2,0))</f>
        <v>0</v>
      </c>
      <c r="AJ616" s="99">
        <f>IF(pbi_sta_amount="n/a",Inputs!AK190,IF(AND(AJ$2&lt;=pbi_sta_term,AJ$2&lt;=analysis_period),pbi_sta_amount*(1+pbi_sta_escal/100)^AI$2,0))</f>
        <v>0</v>
      </c>
      <c r="AK616" s="99">
        <f>IF(pbi_sta_amount="n/a",Inputs!AL190,IF(AND(AK$2&lt;=pbi_sta_term,AK$2&lt;=analysis_period),pbi_sta_amount*(1+pbi_sta_escal/100)^AJ$2,0))</f>
        <v>0</v>
      </c>
      <c r="AL616" s="99">
        <f>IF(pbi_sta_amount="n/a",Inputs!AM190,IF(AND(AL$2&lt;=pbi_sta_term,AL$2&lt;=analysis_period),pbi_sta_amount*(1+pbi_sta_escal/100)^AK$2,0))</f>
        <v>0</v>
      </c>
      <c r="AM616" s="99">
        <f>IF(pbi_sta_amount="n/a",Inputs!AN190,IF(AND(AM$2&lt;=pbi_sta_term,AM$2&lt;=analysis_period),pbi_sta_amount*(1+pbi_sta_escal/100)^AL$2,0))</f>
        <v>0</v>
      </c>
      <c r="AN616" s="99">
        <f>IF(pbi_sta_amount="n/a",Inputs!AO190,IF(AND(AN$2&lt;=pbi_sta_term,AN$2&lt;=analysis_period),pbi_sta_amount*(1+pbi_sta_escal/100)^AM$2,0))</f>
        <v>0</v>
      </c>
      <c r="AO616" s="99">
        <f>IF(pbi_sta_amount="n/a",Inputs!AP190,IF(AND(AO$2&lt;=pbi_sta_term,AO$2&lt;=analysis_period),pbi_sta_amount*(1+pbi_sta_escal/100)^AN$2,0))</f>
        <v>0</v>
      </c>
      <c r="AP616" s="99">
        <f>IF(pbi_sta_amount="n/a",Inputs!AQ190,IF(AND(AP$2&lt;=pbi_sta_term,AP$2&lt;=analysis_period),pbi_sta_amount*(1+pbi_sta_escal/100)^AO$2,0))</f>
        <v>0</v>
      </c>
    </row>
    <row r="617" spans="1:42" x14ac:dyDescent="0.2">
      <c r="A617" s="22" t="s">
        <v>438</v>
      </c>
      <c r="C617" s="120">
        <f>C$5</f>
        <v>211907000</v>
      </c>
      <c r="D617" s="120">
        <f t="shared" ref="D617:AP617" si="291">D$5</f>
        <v>210848000</v>
      </c>
      <c r="E617" s="120">
        <f t="shared" si="291"/>
        <v>209794000</v>
      </c>
      <c r="F617" s="120">
        <f t="shared" si="291"/>
        <v>208745000</v>
      </c>
      <c r="G617" s="120">
        <f t="shared" si="291"/>
        <v>207701000</v>
      </c>
      <c r="H617" s="120">
        <f t="shared" si="291"/>
        <v>206662000</v>
      </c>
      <c r="I617" s="120">
        <f t="shared" si="291"/>
        <v>205629000</v>
      </c>
      <c r="J617" s="120">
        <f t="shared" si="291"/>
        <v>204601000</v>
      </c>
      <c r="K617" s="120">
        <f t="shared" si="291"/>
        <v>203578000</v>
      </c>
      <c r="L617" s="120">
        <f t="shared" si="291"/>
        <v>202560000</v>
      </c>
      <c r="M617" s="120">
        <f t="shared" si="291"/>
        <v>201547000</v>
      </c>
      <c r="N617" s="120">
        <f t="shared" si="291"/>
        <v>200540000</v>
      </c>
      <c r="O617" s="120">
        <f t="shared" si="291"/>
        <v>199537000</v>
      </c>
      <c r="P617" s="120">
        <f t="shared" si="291"/>
        <v>198539000</v>
      </c>
      <c r="Q617" s="120">
        <f t="shared" si="291"/>
        <v>197547000</v>
      </c>
      <c r="R617" s="120">
        <f t="shared" si="291"/>
        <v>196559000</v>
      </c>
      <c r="S617" s="120">
        <f t="shared" si="291"/>
        <v>195576000</v>
      </c>
      <c r="T617" s="120">
        <f t="shared" si="291"/>
        <v>194598000</v>
      </c>
      <c r="U617" s="120">
        <f t="shared" si="291"/>
        <v>193625000</v>
      </c>
      <c r="V617" s="120">
        <f t="shared" si="291"/>
        <v>192657000</v>
      </c>
      <c r="W617" s="120">
        <f t="shared" si="291"/>
        <v>191694000</v>
      </c>
      <c r="X617" s="120">
        <f t="shared" si="291"/>
        <v>190735000</v>
      </c>
      <c r="Y617" s="120">
        <f t="shared" si="291"/>
        <v>189782000</v>
      </c>
      <c r="Z617" s="120">
        <f t="shared" si="291"/>
        <v>188833000</v>
      </c>
      <c r="AA617" s="120">
        <f t="shared" si="291"/>
        <v>187888000</v>
      </c>
      <c r="AB617" s="120">
        <f t="shared" si="291"/>
        <v>0</v>
      </c>
      <c r="AC617" s="120">
        <f t="shared" si="291"/>
        <v>0</v>
      </c>
      <c r="AD617" s="120">
        <f t="shared" si="291"/>
        <v>0</v>
      </c>
      <c r="AE617" s="120">
        <f t="shared" si="291"/>
        <v>0</v>
      </c>
      <c r="AF617" s="120">
        <f t="shared" si="291"/>
        <v>0</v>
      </c>
      <c r="AG617" s="120">
        <f t="shared" si="291"/>
        <v>0</v>
      </c>
      <c r="AH617" s="120">
        <f t="shared" si="291"/>
        <v>0</v>
      </c>
      <c r="AI617" s="120">
        <f t="shared" si="291"/>
        <v>0</v>
      </c>
      <c r="AJ617" s="120">
        <f t="shared" si="291"/>
        <v>0</v>
      </c>
      <c r="AK617" s="120">
        <f t="shared" si="291"/>
        <v>0</v>
      </c>
      <c r="AL617" s="120">
        <f t="shared" si="291"/>
        <v>0</v>
      </c>
      <c r="AM617" s="120">
        <f t="shared" si="291"/>
        <v>0</v>
      </c>
      <c r="AN617" s="120">
        <f t="shared" si="291"/>
        <v>0</v>
      </c>
      <c r="AO617" s="120">
        <f t="shared" si="291"/>
        <v>0</v>
      </c>
      <c r="AP617" s="120">
        <f t="shared" si="291"/>
        <v>0</v>
      </c>
    </row>
    <row r="618" spans="1:42" x14ac:dyDescent="0.2">
      <c r="A618" s="22" t="s">
        <v>13</v>
      </c>
      <c r="C618" s="119">
        <f>C616*C617</f>
        <v>0</v>
      </c>
      <c r="D618" s="119">
        <f t="shared" ref="D618:AP618" si="292">D616*D617</f>
        <v>0</v>
      </c>
      <c r="E618" s="119">
        <f t="shared" si="292"/>
        <v>0</v>
      </c>
      <c r="F618" s="119">
        <f t="shared" si="292"/>
        <v>0</v>
      </c>
      <c r="G618" s="119">
        <f t="shared" si="292"/>
        <v>0</v>
      </c>
      <c r="H618" s="119">
        <f t="shared" si="292"/>
        <v>0</v>
      </c>
      <c r="I618" s="119">
        <f t="shared" si="292"/>
        <v>0</v>
      </c>
      <c r="J618" s="119">
        <f t="shared" si="292"/>
        <v>0</v>
      </c>
      <c r="K618" s="119">
        <f t="shared" si="292"/>
        <v>0</v>
      </c>
      <c r="L618" s="119">
        <f t="shared" si="292"/>
        <v>0</v>
      </c>
      <c r="M618" s="119">
        <f t="shared" si="292"/>
        <v>0</v>
      </c>
      <c r="N618" s="119">
        <f t="shared" si="292"/>
        <v>0</v>
      </c>
      <c r="O618" s="119">
        <f t="shared" si="292"/>
        <v>0</v>
      </c>
      <c r="P618" s="119">
        <f t="shared" si="292"/>
        <v>0</v>
      </c>
      <c r="Q618" s="119">
        <f t="shared" si="292"/>
        <v>0</v>
      </c>
      <c r="R618" s="119">
        <f t="shared" si="292"/>
        <v>0</v>
      </c>
      <c r="S618" s="119">
        <f t="shared" si="292"/>
        <v>0</v>
      </c>
      <c r="T618" s="119">
        <f t="shared" si="292"/>
        <v>0</v>
      </c>
      <c r="U618" s="119">
        <f t="shared" si="292"/>
        <v>0</v>
      </c>
      <c r="V618" s="119">
        <f t="shared" si="292"/>
        <v>0</v>
      </c>
      <c r="W618" s="119">
        <f t="shared" si="292"/>
        <v>0</v>
      </c>
      <c r="X618" s="119">
        <f t="shared" si="292"/>
        <v>0</v>
      </c>
      <c r="Y618" s="119">
        <f t="shared" si="292"/>
        <v>0</v>
      </c>
      <c r="Z618" s="119">
        <f t="shared" si="292"/>
        <v>0</v>
      </c>
      <c r="AA618" s="119">
        <f t="shared" si="292"/>
        <v>0</v>
      </c>
      <c r="AB618" s="119">
        <f t="shared" si="292"/>
        <v>0</v>
      </c>
      <c r="AC618" s="119">
        <f t="shared" si="292"/>
        <v>0</v>
      </c>
      <c r="AD618" s="119">
        <f t="shared" si="292"/>
        <v>0</v>
      </c>
      <c r="AE618" s="119">
        <f t="shared" si="292"/>
        <v>0</v>
      </c>
      <c r="AF618" s="119">
        <f t="shared" si="292"/>
        <v>0</v>
      </c>
      <c r="AG618" s="119">
        <f t="shared" si="292"/>
        <v>0</v>
      </c>
      <c r="AH618" s="119">
        <f t="shared" si="292"/>
        <v>0</v>
      </c>
      <c r="AI618" s="119">
        <f t="shared" si="292"/>
        <v>0</v>
      </c>
      <c r="AJ618" s="119">
        <f t="shared" si="292"/>
        <v>0</v>
      </c>
      <c r="AK618" s="119">
        <f t="shared" si="292"/>
        <v>0</v>
      </c>
      <c r="AL618" s="119">
        <f t="shared" si="292"/>
        <v>0</v>
      </c>
      <c r="AM618" s="119">
        <f t="shared" si="292"/>
        <v>0</v>
      </c>
      <c r="AN618" s="119">
        <f t="shared" si="292"/>
        <v>0</v>
      </c>
      <c r="AO618" s="119">
        <f t="shared" si="292"/>
        <v>0</v>
      </c>
      <c r="AP618" s="119">
        <f t="shared" si="292"/>
        <v>0</v>
      </c>
    </row>
    <row r="619" spans="1:42" x14ac:dyDescent="0.2">
      <c r="A619" s="18" t="str">
        <f>Inputs!B145</f>
        <v>Utility ($/kWh)</v>
      </c>
    </row>
    <row r="620" spans="1:42" x14ac:dyDescent="0.2">
      <c r="A620" s="22" t="s">
        <v>38</v>
      </c>
      <c r="C620" s="99">
        <f>IF(pbi_uti_amount="n/a",Inputs!D191,IF(AND(C$2&lt;=pbi_uti_term,C$2&lt;=analysis_period),pbi_uti_amount*(1+pbi_uti_escal/100)^B$2,0))</f>
        <v>0</v>
      </c>
      <c r="D620" s="99">
        <f>IF(pbi_uti_amount="n/a",Inputs!E191,IF(AND(D$2&lt;=pbi_uti_term,D$2&lt;=analysis_period),pbi_uti_amount*(1+pbi_uti_escal/100)^C$2,0))</f>
        <v>0</v>
      </c>
      <c r="E620" s="99">
        <f>IF(pbi_uti_amount="n/a",Inputs!F191,IF(AND(E$2&lt;=pbi_uti_term,E$2&lt;=analysis_period),pbi_uti_amount*(1+pbi_uti_escal/100)^D$2,0))</f>
        <v>0</v>
      </c>
      <c r="F620" s="99">
        <f>IF(pbi_uti_amount="n/a",Inputs!G191,IF(AND(F$2&lt;=pbi_uti_term,F$2&lt;=analysis_period),pbi_uti_amount*(1+pbi_uti_escal/100)^E$2,0))</f>
        <v>0</v>
      </c>
      <c r="G620" s="99">
        <f>IF(pbi_uti_amount="n/a",Inputs!H191,IF(AND(G$2&lt;=pbi_uti_term,G$2&lt;=analysis_period),pbi_uti_amount*(1+pbi_uti_escal/100)^F$2,0))</f>
        <v>0</v>
      </c>
      <c r="H620" s="99">
        <f>IF(pbi_uti_amount="n/a",Inputs!I191,IF(AND(H$2&lt;=pbi_uti_term,H$2&lt;=analysis_period),pbi_uti_amount*(1+pbi_uti_escal/100)^G$2,0))</f>
        <v>0</v>
      </c>
      <c r="I620" s="99">
        <f>IF(pbi_uti_amount="n/a",Inputs!J191,IF(AND(I$2&lt;=pbi_uti_term,I$2&lt;=analysis_period),pbi_uti_amount*(1+pbi_uti_escal/100)^H$2,0))</f>
        <v>0</v>
      </c>
      <c r="J620" s="99">
        <f>IF(pbi_uti_amount="n/a",Inputs!K191,IF(AND(J$2&lt;=pbi_uti_term,J$2&lt;=analysis_period),pbi_uti_amount*(1+pbi_uti_escal/100)^I$2,0))</f>
        <v>0</v>
      </c>
      <c r="K620" s="99">
        <f>IF(pbi_uti_amount="n/a",Inputs!L191,IF(AND(K$2&lt;=pbi_uti_term,K$2&lt;=analysis_period),pbi_uti_amount*(1+pbi_uti_escal/100)^J$2,0))</f>
        <v>0</v>
      </c>
      <c r="L620" s="99">
        <f>IF(pbi_uti_amount="n/a",Inputs!M191,IF(AND(L$2&lt;=pbi_uti_term,L$2&lt;=analysis_period),pbi_uti_amount*(1+pbi_uti_escal/100)^K$2,0))</f>
        <v>0</v>
      </c>
      <c r="M620" s="99">
        <f>IF(pbi_uti_amount="n/a",Inputs!N191,IF(AND(M$2&lt;=pbi_uti_term,M$2&lt;=analysis_period),pbi_uti_amount*(1+pbi_uti_escal/100)^L$2,0))</f>
        <v>0</v>
      </c>
      <c r="N620" s="99">
        <f>IF(pbi_uti_amount="n/a",Inputs!O191,IF(AND(N$2&lt;=pbi_uti_term,N$2&lt;=analysis_period),pbi_uti_amount*(1+pbi_uti_escal/100)^M$2,0))</f>
        <v>0</v>
      </c>
      <c r="O620" s="99">
        <f>IF(pbi_uti_amount="n/a",Inputs!P191,IF(AND(O$2&lt;=pbi_uti_term,O$2&lt;=analysis_period),pbi_uti_amount*(1+pbi_uti_escal/100)^N$2,0))</f>
        <v>0</v>
      </c>
      <c r="P620" s="99">
        <f>IF(pbi_uti_amount="n/a",Inputs!Q191,IF(AND(P$2&lt;=pbi_uti_term,P$2&lt;=analysis_period),pbi_uti_amount*(1+pbi_uti_escal/100)^O$2,0))</f>
        <v>0</v>
      </c>
      <c r="Q620" s="99">
        <f>IF(pbi_uti_amount="n/a",Inputs!R191,IF(AND(Q$2&lt;=pbi_uti_term,Q$2&lt;=analysis_period),pbi_uti_amount*(1+pbi_uti_escal/100)^P$2,0))</f>
        <v>0</v>
      </c>
      <c r="R620" s="99">
        <f>IF(pbi_uti_amount="n/a",Inputs!S191,IF(AND(R$2&lt;=pbi_uti_term,R$2&lt;=analysis_period),pbi_uti_amount*(1+pbi_uti_escal/100)^Q$2,0))</f>
        <v>0</v>
      </c>
      <c r="S620" s="99">
        <f>IF(pbi_uti_amount="n/a",Inputs!T191,IF(AND(S$2&lt;=pbi_uti_term,S$2&lt;=analysis_period),pbi_uti_amount*(1+pbi_uti_escal/100)^R$2,0))</f>
        <v>0</v>
      </c>
      <c r="T620" s="99">
        <f>IF(pbi_uti_amount="n/a",Inputs!U191,IF(AND(T$2&lt;=pbi_uti_term,T$2&lt;=analysis_period),pbi_uti_amount*(1+pbi_uti_escal/100)^S$2,0))</f>
        <v>0</v>
      </c>
      <c r="U620" s="99">
        <f>IF(pbi_uti_amount="n/a",Inputs!V191,IF(AND(U$2&lt;=pbi_uti_term,U$2&lt;=analysis_period),pbi_uti_amount*(1+pbi_uti_escal/100)^T$2,0))</f>
        <v>0</v>
      </c>
      <c r="V620" s="99">
        <f>IF(pbi_uti_amount="n/a",Inputs!W191,IF(AND(V$2&lt;=pbi_uti_term,V$2&lt;=analysis_period),pbi_uti_amount*(1+pbi_uti_escal/100)^U$2,0))</f>
        <v>0</v>
      </c>
      <c r="W620" s="99">
        <f>IF(pbi_uti_amount="n/a",Inputs!X191,IF(AND(W$2&lt;=pbi_uti_term,W$2&lt;=analysis_period),pbi_uti_amount*(1+pbi_uti_escal/100)^V$2,0))</f>
        <v>0</v>
      </c>
      <c r="X620" s="99">
        <f>IF(pbi_uti_amount="n/a",Inputs!Y191,IF(AND(X$2&lt;=pbi_uti_term,X$2&lt;=analysis_period),pbi_uti_amount*(1+pbi_uti_escal/100)^W$2,0))</f>
        <v>0</v>
      </c>
      <c r="Y620" s="99">
        <f>IF(pbi_uti_amount="n/a",Inputs!Z191,IF(AND(Y$2&lt;=pbi_uti_term,Y$2&lt;=analysis_period),pbi_uti_amount*(1+pbi_uti_escal/100)^X$2,0))</f>
        <v>0</v>
      </c>
      <c r="Z620" s="99">
        <f>IF(pbi_uti_amount="n/a",Inputs!AA191,IF(AND(Z$2&lt;=pbi_uti_term,Z$2&lt;=analysis_period),pbi_uti_amount*(1+pbi_uti_escal/100)^Y$2,0))</f>
        <v>0</v>
      </c>
      <c r="AA620" s="99">
        <f>IF(pbi_uti_amount="n/a",Inputs!AB191,IF(AND(AA$2&lt;=pbi_uti_term,AA$2&lt;=analysis_period),pbi_uti_amount*(1+pbi_uti_escal/100)^Z$2,0))</f>
        <v>0</v>
      </c>
      <c r="AB620" s="99">
        <f>IF(pbi_uti_amount="n/a",Inputs!AC191,IF(AND(AB$2&lt;=pbi_uti_term,AB$2&lt;=analysis_period),pbi_uti_amount*(1+pbi_uti_escal/100)^AA$2,0))</f>
        <v>0</v>
      </c>
      <c r="AC620" s="99">
        <f>IF(pbi_uti_amount="n/a",Inputs!AD191,IF(AND(AC$2&lt;=pbi_uti_term,AC$2&lt;=analysis_period),pbi_uti_amount*(1+pbi_uti_escal/100)^AB$2,0))</f>
        <v>0</v>
      </c>
      <c r="AD620" s="99">
        <f>IF(pbi_uti_amount="n/a",Inputs!AE191,IF(AND(AD$2&lt;=pbi_uti_term,AD$2&lt;=analysis_period),pbi_uti_amount*(1+pbi_uti_escal/100)^AC$2,0))</f>
        <v>0</v>
      </c>
      <c r="AE620" s="99">
        <f>IF(pbi_uti_amount="n/a",Inputs!AF191,IF(AND(AE$2&lt;=pbi_uti_term,AE$2&lt;=analysis_period),pbi_uti_amount*(1+pbi_uti_escal/100)^AD$2,0))</f>
        <v>0</v>
      </c>
      <c r="AF620" s="99">
        <f>IF(pbi_uti_amount="n/a",Inputs!AG191,IF(AND(AF$2&lt;=pbi_uti_term,AF$2&lt;=analysis_period),pbi_uti_amount*(1+pbi_uti_escal/100)^AE$2,0))</f>
        <v>0</v>
      </c>
      <c r="AG620" s="99">
        <f>IF(pbi_uti_amount="n/a",Inputs!AH191,IF(AND(AG$2&lt;=pbi_uti_term,AG$2&lt;=analysis_period),pbi_uti_amount*(1+pbi_uti_escal/100)^AF$2,0))</f>
        <v>0</v>
      </c>
      <c r="AH620" s="99">
        <f>IF(pbi_uti_amount="n/a",Inputs!AI191,IF(AND(AH$2&lt;=pbi_uti_term,AH$2&lt;=analysis_period),pbi_uti_amount*(1+pbi_uti_escal/100)^AG$2,0))</f>
        <v>0</v>
      </c>
      <c r="AI620" s="99">
        <f>IF(pbi_uti_amount="n/a",Inputs!AJ191,IF(AND(AI$2&lt;=pbi_uti_term,AI$2&lt;=analysis_period),pbi_uti_amount*(1+pbi_uti_escal/100)^AH$2,0))</f>
        <v>0</v>
      </c>
      <c r="AJ620" s="99">
        <f>IF(pbi_uti_amount="n/a",Inputs!AK191,IF(AND(AJ$2&lt;=pbi_uti_term,AJ$2&lt;=analysis_period),pbi_uti_amount*(1+pbi_uti_escal/100)^AI$2,0))</f>
        <v>0</v>
      </c>
      <c r="AK620" s="99">
        <f>IF(pbi_uti_amount="n/a",Inputs!AL191,IF(AND(AK$2&lt;=pbi_uti_term,AK$2&lt;=analysis_period),pbi_uti_amount*(1+pbi_uti_escal/100)^AJ$2,0))</f>
        <v>0</v>
      </c>
      <c r="AL620" s="99">
        <f>IF(pbi_uti_amount="n/a",Inputs!AM191,IF(AND(AL$2&lt;=pbi_uti_term,AL$2&lt;=analysis_period),pbi_uti_amount*(1+pbi_uti_escal/100)^AK$2,0))</f>
        <v>0</v>
      </c>
      <c r="AM620" s="99">
        <f>IF(pbi_uti_amount="n/a",Inputs!AN191,IF(AND(AM$2&lt;=pbi_uti_term,AM$2&lt;=analysis_period),pbi_uti_amount*(1+pbi_uti_escal/100)^AL$2,0))</f>
        <v>0</v>
      </c>
      <c r="AN620" s="99">
        <f>IF(pbi_uti_amount="n/a",Inputs!AO191,IF(AND(AN$2&lt;=pbi_uti_term,AN$2&lt;=analysis_period),pbi_uti_amount*(1+pbi_uti_escal/100)^AM$2,0))</f>
        <v>0</v>
      </c>
      <c r="AO620" s="99">
        <f>IF(pbi_uti_amount="n/a",Inputs!AP191,IF(AND(AO$2&lt;=pbi_uti_term,AO$2&lt;=analysis_period),pbi_uti_amount*(1+pbi_uti_escal/100)^AN$2,0))</f>
        <v>0</v>
      </c>
      <c r="AP620" s="99">
        <f>IF(pbi_uti_amount="n/a",Inputs!AQ191,IF(AND(AP$2&lt;=pbi_uti_term,AP$2&lt;=analysis_period),pbi_uti_amount*(1+pbi_uti_escal/100)^AO$2,0))</f>
        <v>0</v>
      </c>
    </row>
    <row r="621" spans="1:42" x14ac:dyDescent="0.2">
      <c r="A621" s="22" t="s">
        <v>438</v>
      </c>
      <c r="C621" s="120">
        <f>C$5</f>
        <v>211907000</v>
      </c>
      <c r="D621" s="120">
        <f t="shared" ref="D621:AP621" si="293">D$5</f>
        <v>210848000</v>
      </c>
      <c r="E621" s="120">
        <f t="shared" si="293"/>
        <v>209794000</v>
      </c>
      <c r="F621" s="120">
        <f t="shared" si="293"/>
        <v>208745000</v>
      </c>
      <c r="G621" s="120">
        <f t="shared" si="293"/>
        <v>207701000</v>
      </c>
      <c r="H621" s="120">
        <f t="shared" si="293"/>
        <v>206662000</v>
      </c>
      <c r="I621" s="120">
        <f t="shared" si="293"/>
        <v>205629000</v>
      </c>
      <c r="J621" s="120">
        <f t="shared" si="293"/>
        <v>204601000</v>
      </c>
      <c r="K621" s="120">
        <f t="shared" si="293"/>
        <v>203578000</v>
      </c>
      <c r="L621" s="120">
        <f t="shared" si="293"/>
        <v>202560000</v>
      </c>
      <c r="M621" s="120">
        <f t="shared" si="293"/>
        <v>201547000</v>
      </c>
      <c r="N621" s="120">
        <f t="shared" si="293"/>
        <v>200540000</v>
      </c>
      <c r="O621" s="120">
        <f t="shared" si="293"/>
        <v>199537000</v>
      </c>
      <c r="P621" s="120">
        <f t="shared" si="293"/>
        <v>198539000</v>
      </c>
      <c r="Q621" s="120">
        <f t="shared" si="293"/>
        <v>197547000</v>
      </c>
      <c r="R621" s="120">
        <f t="shared" si="293"/>
        <v>196559000</v>
      </c>
      <c r="S621" s="120">
        <f t="shared" si="293"/>
        <v>195576000</v>
      </c>
      <c r="T621" s="120">
        <f t="shared" si="293"/>
        <v>194598000</v>
      </c>
      <c r="U621" s="120">
        <f t="shared" si="293"/>
        <v>193625000</v>
      </c>
      <c r="V621" s="120">
        <f t="shared" si="293"/>
        <v>192657000</v>
      </c>
      <c r="W621" s="120">
        <f t="shared" si="293"/>
        <v>191694000</v>
      </c>
      <c r="X621" s="120">
        <f t="shared" si="293"/>
        <v>190735000</v>
      </c>
      <c r="Y621" s="120">
        <f t="shared" si="293"/>
        <v>189782000</v>
      </c>
      <c r="Z621" s="120">
        <f t="shared" si="293"/>
        <v>188833000</v>
      </c>
      <c r="AA621" s="120">
        <f t="shared" si="293"/>
        <v>187888000</v>
      </c>
      <c r="AB621" s="120">
        <f t="shared" si="293"/>
        <v>0</v>
      </c>
      <c r="AC621" s="120">
        <f t="shared" si="293"/>
        <v>0</v>
      </c>
      <c r="AD621" s="120">
        <f t="shared" si="293"/>
        <v>0</v>
      </c>
      <c r="AE621" s="120">
        <f t="shared" si="293"/>
        <v>0</v>
      </c>
      <c r="AF621" s="120">
        <f t="shared" si="293"/>
        <v>0</v>
      </c>
      <c r="AG621" s="120">
        <f t="shared" si="293"/>
        <v>0</v>
      </c>
      <c r="AH621" s="120">
        <f t="shared" si="293"/>
        <v>0</v>
      </c>
      <c r="AI621" s="120">
        <f t="shared" si="293"/>
        <v>0</v>
      </c>
      <c r="AJ621" s="120">
        <f t="shared" si="293"/>
        <v>0</v>
      </c>
      <c r="AK621" s="120">
        <f t="shared" si="293"/>
        <v>0</v>
      </c>
      <c r="AL621" s="120">
        <f t="shared" si="293"/>
        <v>0</v>
      </c>
      <c r="AM621" s="120">
        <f t="shared" si="293"/>
        <v>0</v>
      </c>
      <c r="AN621" s="120">
        <f t="shared" si="293"/>
        <v>0</v>
      </c>
      <c r="AO621" s="120">
        <f t="shared" si="293"/>
        <v>0</v>
      </c>
      <c r="AP621" s="120">
        <f t="shared" si="293"/>
        <v>0</v>
      </c>
    </row>
    <row r="622" spans="1:42" x14ac:dyDescent="0.2">
      <c r="A622" s="22" t="s">
        <v>13</v>
      </c>
      <c r="C622" s="119">
        <f>C620*C621</f>
        <v>0</v>
      </c>
      <c r="D622" s="119">
        <f t="shared" ref="D622:AP622" si="294">D620*D621</f>
        <v>0</v>
      </c>
      <c r="E622" s="119">
        <f t="shared" si="294"/>
        <v>0</v>
      </c>
      <c r="F622" s="119">
        <f t="shared" si="294"/>
        <v>0</v>
      </c>
      <c r="G622" s="119">
        <f t="shared" si="294"/>
        <v>0</v>
      </c>
      <c r="H622" s="119">
        <f t="shared" si="294"/>
        <v>0</v>
      </c>
      <c r="I622" s="119">
        <f t="shared" si="294"/>
        <v>0</v>
      </c>
      <c r="J622" s="119">
        <f t="shared" si="294"/>
        <v>0</v>
      </c>
      <c r="K622" s="119">
        <f t="shared" si="294"/>
        <v>0</v>
      </c>
      <c r="L622" s="119">
        <f t="shared" si="294"/>
        <v>0</v>
      </c>
      <c r="M622" s="119">
        <f t="shared" si="294"/>
        <v>0</v>
      </c>
      <c r="N622" s="119">
        <f t="shared" si="294"/>
        <v>0</v>
      </c>
      <c r="O622" s="119">
        <f t="shared" si="294"/>
        <v>0</v>
      </c>
      <c r="P622" s="119">
        <f t="shared" si="294"/>
        <v>0</v>
      </c>
      <c r="Q622" s="119">
        <f t="shared" si="294"/>
        <v>0</v>
      </c>
      <c r="R622" s="119">
        <f t="shared" si="294"/>
        <v>0</v>
      </c>
      <c r="S622" s="119">
        <f t="shared" si="294"/>
        <v>0</v>
      </c>
      <c r="T622" s="119">
        <f t="shared" si="294"/>
        <v>0</v>
      </c>
      <c r="U622" s="119">
        <f t="shared" si="294"/>
        <v>0</v>
      </c>
      <c r="V622" s="119">
        <f t="shared" si="294"/>
        <v>0</v>
      </c>
      <c r="W622" s="119">
        <f t="shared" si="294"/>
        <v>0</v>
      </c>
      <c r="X622" s="119">
        <f t="shared" si="294"/>
        <v>0</v>
      </c>
      <c r="Y622" s="119">
        <f t="shared" si="294"/>
        <v>0</v>
      </c>
      <c r="Z622" s="119">
        <f t="shared" si="294"/>
        <v>0</v>
      </c>
      <c r="AA622" s="119">
        <f t="shared" si="294"/>
        <v>0</v>
      </c>
      <c r="AB622" s="119">
        <f t="shared" si="294"/>
        <v>0</v>
      </c>
      <c r="AC622" s="119">
        <f t="shared" si="294"/>
        <v>0</v>
      </c>
      <c r="AD622" s="119">
        <f t="shared" si="294"/>
        <v>0</v>
      </c>
      <c r="AE622" s="119">
        <f t="shared" si="294"/>
        <v>0</v>
      </c>
      <c r="AF622" s="119">
        <f t="shared" si="294"/>
        <v>0</v>
      </c>
      <c r="AG622" s="119">
        <f t="shared" si="294"/>
        <v>0</v>
      </c>
      <c r="AH622" s="119">
        <f t="shared" si="294"/>
        <v>0</v>
      </c>
      <c r="AI622" s="119">
        <f t="shared" si="294"/>
        <v>0</v>
      </c>
      <c r="AJ622" s="119">
        <f t="shared" si="294"/>
        <v>0</v>
      </c>
      <c r="AK622" s="119">
        <f t="shared" si="294"/>
        <v>0</v>
      </c>
      <c r="AL622" s="119">
        <f t="shared" si="294"/>
        <v>0</v>
      </c>
      <c r="AM622" s="119">
        <f t="shared" si="294"/>
        <v>0</v>
      </c>
      <c r="AN622" s="119">
        <f t="shared" si="294"/>
        <v>0</v>
      </c>
      <c r="AO622" s="119">
        <f t="shared" si="294"/>
        <v>0</v>
      </c>
      <c r="AP622" s="119">
        <f t="shared" si="294"/>
        <v>0</v>
      </c>
    </row>
    <row r="623" spans="1:42" x14ac:dyDescent="0.2">
      <c r="A623" s="18" t="str">
        <f>Inputs!B146</f>
        <v>Other ($/kWh)</v>
      </c>
    </row>
    <row r="624" spans="1:42" x14ac:dyDescent="0.2">
      <c r="A624" s="22" t="s">
        <v>38</v>
      </c>
      <c r="C624" s="99">
        <f>IF(pbi_oth_amount="n/a",Inputs!D192,IF(AND(C$2&lt;=pbi_oth_term,C$2&lt;=analysis_period),pbi_oth_amount*(1+pbi_oth_escal/100)^B$2,0))</f>
        <v>0</v>
      </c>
      <c r="D624" s="99">
        <f>IF(pbi_oth_amount="n/a",Inputs!E192,IF(AND(D$2&lt;=pbi_oth_term,D$2&lt;=analysis_period),pbi_oth_amount*(1+pbi_oth_escal/100)^C$2,0))</f>
        <v>0</v>
      </c>
      <c r="E624" s="99">
        <f>IF(pbi_oth_amount="n/a",Inputs!F192,IF(AND(E$2&lt;=pbi_oth_term,E$2&lt;=analysis_period),pbi_oth_amount*(1+pbi_oth_escal/100)^D$2,0))</f>
        <v>0</v>
      </c>
      <c r="F624" s="99">
        <f>IF(pbi_oth_amount="n/a",Inputs!G192,IF(AND(F$2&lt;=pbi_oth_term,F$2&lt;=analysis_period),pbi_oth_amount*(1+pbi_oth_escal/100)^E$2,0))</f>
        <v>0</v>
      </c>
      <c r="G624" s="99">
        <f>IF(pbi_oth_amount="n/a",Inputs!H192,IF(AND(G$2&lt;=pbi_oth_term,G$2&lt;=analysis_period),pbi_oth_amount*(1+pbi_oth_escal/100)^F$2,0))</f>
        <v>0</v>
      </c>
      <c r="H624" s="99">
        <f>IF(pbi_oth_amount="n/a",Inputs!I192,IF(AND(H$2&lt;=pbi_oth_term,H$2&lt;=analysis_period),pbi_oth_amount*(1+pbi_oth_escal/100)^G$2,0))</f>
        <v>0</v>
      </c>
      <c r="I624" s="99">
        <f>IF(pbi_oth_amount="n/a",Inputs!J192,IF(AND(I$2&lt;=pbi_oth_term,I$2&lt;=analysis_period),pbi_oth_amount*(1+pbi_oth_escal/100)^H$2,0))</f>
        <v>0</v>
      </c>
      <c r="J624" s="99">
        <f>IF(pbi_oth_amount="n/a",Inputs!K192,IF(AND(J$2&lt;=pbi_oth_term,J$2&lt;=analysis_period),pbi_oth_amount*(1+pbi_oth_escal/100)^I$2,0))</f>
        <v>0</v>
      </c>
      <c r="K624" s="99">
        <f>IF(pbi_oth_amount="n/a",Inputs!L192,IF(AND(K$2&lt;=pbi_oth_term,K$2&lt;=analysis_period),pbi_oth_amount*(1+pbi_oth_escal/100)^J$2,0))</f>
        <v>0</v>
      </c>
      <c r="L624" s="99">
        <f>IF(pbi_oth_amount="n/a",Inputs!M192,IF(AND(L$2&lt;=pbi_oth_term,L$2&lt;=analysis_period),pbi_oth_amount*(1+pbi_oth_escal/100)^K$2,0))</f>
        <v>0</v>
      </c>
      <c r="M624" s="99">
        <f>IF(pbi_oth_amount="n/a",Inputs!N192,IF(AND(M$2&lt;=pbi_oth_term,M$2&lt;=analysis_period),pbi_oth_amount*(1+pbi_oth_escal/100)^L$2,0))</f>
        <v>0</v>
      </c>
      <c r="N624" s="99">
        <f>IF(pbi_oth_amount="n/a",Inputs!O192,IF(AND(N$2&lt;=pbi_oth_term,N$2&lt;=analysis_period),pbi_oth_amount*(1+pbi_oth_escal/100)^M$2,0))</f>
        <v>0</v>
      </c>
      <c r="O624" s="99">
        <f>IF(pbi_oth_amount="n/a",Inputs!P192,IF(AND(O$2&lt;=pbi_oth_term,O$2&lt;=analysis_period),pbi_oth_amount*(1+pbi_oth_escal/100)^N$2,0))</f>
        <v>0</v>
      </c>
      <c r="P624" s="99">
        <f>IF(pbi_oth_amount="n/a",Inputs!Q192,IF(AND(P$2&lt;=pbi_oth_term,P$2&lt;=analysis_period),pbi_oth_amount*(1+pbi_oth_escal/100)^O$2,0))</f>
        <v>0</v>
      </c>
      <c r="Q624" s="99">
        <f>IF(pbi_oth_amount="n/a",Inputs!R192,IF(AND(Q$2&lt;=pbi_oth_term,Q$2&lt;=analysis_period),pbi_oth_amount*(1+pbi_oth_escal/100)^P$2,0))</f>
        <v>0</v>
      </c>
      <c r="R624" s="99">
        <f>IF(pbi_oth_amount="n/a",Inputs!S192,IF(AND(R$2&lt;=pbi_oth_term,R$2&lt;=analysis_period),pbi_oth_amount*(1+pbi_oth_escal/100)^Q$2,0))</f>
        <v>0</v>
      </c>
      <c r="S624" s="99">
        <f>IF(pbi_oth_amount="n/a",Inputs!T192,IF(AND(S$2&lt;=pbi_oth_term,S$2&lt;=analysis_period),pbi_oth_amount*(1+pbi_oth_escal/100)^R$2,0))</f>
        <v>0</v>
      </c>
      <c r="T624" s="99">
        <f>IF(pbi_oth_amount="n/a",Inputs!U192,IF(AND(T$2&lt;=pbi_oth_term,T$2&lt;=analysis_period),pbi_oth_amount*(1+pbi_oth_escal/100)^S$2,0))</f>
        <v>0</v>
      </c>
      <c r="U624" s="99">
        <f>IF(pbi_oth_amount="n/a",Inputs!V192,IF(AND(U$2&lt;=pbi_oth_term,U$2&lt;=analysis_period),pbi_oth_amount*(1+pbi_oth_escal/100)^T$2,0))</f>
        <v>0</v>
      </c>
      <c r="V624" s="99">
        <f>IF(pbi_oth_amount="n/a",Inputs!W192,IF(AND(V$2&lt;=pbi_oth_term,V$2&lt;=analysis_period),pbi_oth_amount*(1+pbi_oth_escal/100)^U$2,0))</f>
        <v>0</v>
      </c>
      <c r="W624" s="99">
        <f>IF(pbi_oth_amount="n/a",Inputs!X192,IF(AND(W$2&lt;=pbi_oth_term,W$2&lt;=analysis_period),pbi_oth_amount*(1+pbi_oth_escal/100)^V$2,0))</f>
        <v>0</v>
      </c>
      <c r="X624" s="99">
        <f>IF(pbi_oth_amount="n/a",Inputs!Y192,IF(AND(X$2&lt;=pbi_oth_term,X$2&lt;=analysis_period),pbi_oth_amount*(1+pbi_oth_escal/100)^W$2,0))</f>
        <v>0</v>
      </c>
      <c r="Y624" s="99">
        <f>IF(pbi_oth_amount="n/a",Inputs!Z192,IF(AND(Y$2&lt;=pbi_oth_term,Y$2&lt;=analysis_period),pbi_oth_amount*(1+pbi_oth_escal/100)^X$2,0))</f>
        <v>0</v>
      </c>
      <c r="Z624" s="99">
        <f>IF(pbi_oth_amount="n/a",Inputs!AA192,IF(AND(Z$2&lt;=pbi_oth_term,Z$2&lt;=analysis_period),pbi_oth_amount*(1+pbi_oth_escal/100)^Y$2,0))</f>
        <v>0</v>
      </c>
      <c r="AA624" s="99">
        <f>IF(pbi_oth_amount="n/a",Inputs!AB192,IF(AND(AA$2&lt;=pbi_oth_term,AA$2&lt;=analysis_period),pbi_oth_amount*(1+pbi_oth_escal/100)^Z$2,0))</f>
        <v>0</v>
      </c>
      <c r="AB624" s="99">
        <f>IF(pbi_oth_amount="n/a",Inputs!AC192,IF(AND(AB$2&lt;=pbi_oth_term,AB$2&lt;=analysis_period),pbi_oth_amount*(1+pbi_oth_escal/100)^AA$2,0))</f>
        <v>0</v>
      </c>
      <c r="AC624" s="99">
        <f>IF(pbi_oth_amount="n/a",Inputs!AD192,IF(AND(AC$2&lt;=pbi_oth_term,AC$2&lt;=analysis_period),pbi_oth_amount*(1+pbi_oth_escal/100)^AB$2,0))</f>
        <v>0</v>
      </c>
      <c r="AD624" s="99">
        <f>IF(pbi_oth_amount="n/a",Inputs!AE192,IF(AND(AD$2&lt;=pbi_oth_term,AD$2&lt;=analysis_period),pbi_oth_amount*(1+pbi_oth_escal/100)^AC$2,0))</f>
        <v>0</v>
      </c>
      <c r="AE624" s="99">
        <f>IF(pbi_oth_amount="n/a",Inputs!AF192,IF(AND(AE$2&lt;=pbi_oth_term,AE$2&lt;=analysis_period),pbi_oth_amount*(1+pbi_oth_escal/100)^AD$2,0))</f>
        <v>0</v>
      </c>
      <c r="AF624" s="99">
        <f>IF(pbi_oth_amount="n/a",Inputs!AG192,IF(AND(AF$2&lt;=pbi_oth_term,AF$2&lt;=analysis_period),pbi_oth_amount*(1+pbi_oth_escal/100)^AE$2,0))</f>
        <v>0</v>
      </c>
      <c r="AG624" s="99">
        <f>IF(pbi_oth_amount="n/a",Inputs!AH192,IF(AND(AG$2&lt;=pbi_oth_term,AG$2&lt;=analysis_period),pbi_oth_amount*(1+pbi_oth_escal/100)^AF$2,0))</f>
        <v>0</v>
      </c>
      <c r="AH624" s="99">
        <f>IF(pbi_oth_amount="n/a",Inputs!AI192,IF(AND(AH$2&lt;=pbi_oth_term,AH$2&lt;=analysis_period),pbi_oth_amount*(1+pbi_oth_escal/100)^AG$2,0))</f>
        <v>0</v>
      </c>
      <c r="AI624" s="99">
        <f>IF(pbi_oth_amount="n/a",Inputs!AJ192,IF(AND(AI$2&lt;=pbi_oth_term,AI$2&lt;=analysis_period),pbi_oth_amount*(1+pbi_oth_escal/100)^AH$2,0))</f>
        <v>0</v>
      </c>
      <c r="AJ624" s="99">
        <f>IF(pbi_oth_amount="n/a",Inputs!AK192,IF(AND(AJ$2&lt;=pbi_oth_term,AJ$2&lt;=analysis_period),pbi_oth_amount*(1+pbi_oth_escal/100)^AI$2,0))</f>
        <v>0</v>
      </c>
      <c r="AK624" s="99">
        <f>IF(pbi_oth_amount="n/a",Inputs!AL192,IF(AND(AK$2&lt;=pbi_oth_term,AK$2&lt;=analysis_period),pbi_oth_amount*(1+pbi_oth_escal/100)^AJ$2,0))</f>
        <v>0</v>
      </c>
      <c r="AL624" s="99">
        <f>IF(pbi_oth_amount="n/a",Inputs!AM192,IF(AND(AL$2&lt;=pbi_oth_term,AL$2&lt;=analysis_period),pbi_oth_amount*(1+pbi_oth_escal/100)^AK$2,0))</f>
        <v>0</v>
      </c>
      <c r="AM624" s="99">
        <f>IF(pbi_oth_amount="n/a",Inputs!AN192,IF(AND(AM$2&lt;=pbi_oth_term,AM$2&lt;=analysis_period),pbi_oth_amount*(1+pbi_oth_escal/100)^AL$2,0))</f>
        <v>0</v>
      </c>
      <c r="AN624" s="99">
        <f>IF(pbi_oth_amount="n/a",Inputs!AO192,IF(AND(AN$2&lt;=pbi_oth_term,AN$2&lt;=analysis_period),pbi_oth_amount*(1+pbi_oth_escal/100)^AM$2,0))</f>
        <v>0</v>
      </c>
      <c r="AO624" s="99">
        <f>IF(pbi_oth_amount="n/a",Inputs!AP192,IF(AND(AO$2&lt;=pbi_oth_term,AO$2&lt;=analysis_period),pbi_oth_amount*(1+pbi_oth_escal/100)^AN$2,0))</f>
        <v>0</v>
      </c>
      <c r="AP624" s="99">
        <f>IF(pbi_oth_amount="n/a",Inputs!AQ192,IF(AND(AP$2&lt;=pbi_oth_term,AP$2&lt;=analysis_period),pbi_oth_amount*(1+pbi_oth_escal/100)^AO$2,0))</f>
        <v>0</v>
      </c>
    </row>
    <row r="625" spans="1:42" x14ac:dyDescent="0.2">
      <c r="A625" s="22" t="s">
        <v>438</v>
      </c>
      <c r="C625" s="120">
        <f>C$5</f>
        <v>211907000</v>
      </c>
      <c r="D625" s="120">
        <f t="shared" ref="D625:AP625" si="295">D$5</f>
        <v>210848000</v>
      </c>
      <c r="E625" s="120">
        <f t="shared" si="295"/>
        <v>209794000</v>
      </c>
      <c r="F625" s="120">
        <f t="shared" si="295"/>
        <v>208745000</v>
      </c>
      <c r="G625" s="120">
        <f t="shared" si="295"/>
        <v>207701000</v>
      </c>
      <c r="H625" s="120">
        <f t="shared" si="295"/>
        <v>206662000</v>
      </c>
      <c r="I625" s="120">
        <f t="shared" si="295"/>
        <v>205629000</v>
      </c>
      <c r="J625" s="120">
        <f t="shared" si="295"/>
        <v>204601000</v>
      </c>
      <c r="K625" s="120">
        <f t="shared" si="295"/>
        <v>203578000</v>
      </c>
      <c r="L625" s="120">
        <f t="shared" si="295"/>
        <v>202560000</v>
      </c>
      <c r="M625" s="120">
        <f t="shared" si="295"/>
        <v>201547000</v>
      </c>
      <c r="N625" s="120">
        <f t="shared" si="295"/>
        <v>200540000</v>
      </c>
      <c r="O625" s="120">
        <f t="shared" si="295"/>
        <v>199537000</v>
      </c>
      <c r="P625" s="120">
        <f t="shared" si="295"/>
        <v>198539000</v>
      </c>
      <c r="Q625" s="120">
        <f t="shared" si="295"/>
        <v>197547000</v>
      </c>
      <c r="R625" s="120">
        <f t="shared" si="295"/>
        <v>196559000</v>
      </c>
      <c r="S625" s="120">
        <f t="shared" si="295"/>
        <v>195576000</v>
      </c>
      <c r="T625" s="120">
        <f t="shared" si="295"/>
        <v>194598000</v>
      </c>
      <c r="U625" s="120">
        <f t="shared" si="295"/>
        <v>193625000</v>
      </c>
      <c r="V625" s="120">
        <f t="shared" si="295"/>
        <v>192657000</v>
      </c>
      <c r="W625" s="120">
        <f t="shared" si="295"/>
        <v>191694000</v>
      </c>
      <c r="X625" s="120">
        <f t="shared" si="295"/>
        <v>190735000</v>
      </c>
      <c r="Y625" s="120">
        <f t="shared" si="295"/>
        <v>189782000</v>
      </c>
      <c r="Z625" s="120">
        <f t="shared" si="295"/>
        <v>188833000</v>
      </c>
      <c r="AA625" s="120">
        <f t="shared" si="295"/>
        <v>187888000</v>
      </c>
      <c r="AB625" s="120">
        <f t="shared" si="295"/>
        <v>0</v>
      </c>
      <c r="AC625" s="120">
        <f t="shared" si="295"/>
        <v>0</v>
      </c>
      <c r="AD625" s="120">
        <f t="shared" si="295"/>
        <v>0</v>
      </c>
      <c r="AE625" s="120">
        <f t="shared" si="295"/>
        <v>0</v>
      </c>
      <c r="AF625" s="120">
        <f t="shared" si="295"/>
        <v>0</v>
      </c>
      <c r="AG625" s="120">
        <f t="shared" si="295"/>
        <v>0</v>
      </c>
      <c r="AH625" s="120">
        <f t="shared" si="295"/>
        <v>0</v>
      </c>
      <c r="AI625" s="120">
        <f t="shared" si="295"/>
        <v>0</v>
      </c>
      <c r="AJ625" s="120">
        <f t="shared" si="295"/>
        <v>0</v>
      </c>
      <c r="AK625" s="120">
        <f t="shared" si="295"/>
        <v>0</v>
      </c>
      <c r="AL625" s="120">
        <f t="shared" si="295"/>
        <v>0</v>
      </c>
      <c r="AM625" s="120">
        <f t="shared" si="295"/>
        <v>0</v>
      </c>
      <c r="AN625" s="120">
        <f t="shared" si="295"/>
        <v>0</v>
      </c>
      <c r="AO625" s="120">
        <f t="shared" si="295"/>
        <v>0</v>
      </c>
      <c r="AP625" s="120">
        <f t="shared" si="295"/>
        <v>0</v>
      </c>
    </row>
    <row r="626" spans="1:42" x14ac:dyDescent="0.2">
      <c r="A626" s="22" t="s">
        <v>13</v>
      </c>
      <c r="C626" s="119">
        <f>C624*C625</f>
        <v>0</v>
      </c>
      <c r="D626" s="119">
        <f t="shared" ref="D626:AP626" si="296">D624*D625</f>
        <v>0</v>
      </c>
      <c r="E626" s="119">
        <f t="shared" si="296"/>
        <v>0</v>
      </c>
      <c r="F626" s="119">
        <f t="shared" si="296"/>
        <v>0</v>
      </c>
      <c r="G626" s="119">
        <f t="shared" si="296"/>
        <v>0</v>
      </c>
      <c r="H626" s="119">
        <f t="shared" si="296"/>
        <v>0</v>
      </c>
      <c r="I626" s="119">
        <f t="shared" si="296"/>
        <v>0</v>
      </c>
      <c r="J626" s="119">
        <f t="shared" si="296"/>
        <v>0</v>
      </c>
      <c r="K626" s="119">
        <f t="shared" si="296"/>
        <v>0</v>
      </c>
      <c r="L626" s="119">
        <f t="shared" si="296"/>
        <v>0</v>
      </c>
      <c r="M626" s="119">
        <f t="shared" si="296"/>
        <v>0</v>
      </c>
      <c r="N626" s="119">
        <f t="shared" si="296"/>
        <v>0</v>
      </c>
      <c r="O626" s="119">
        <f t="shared" si="296"/>
        <v>0</v>
      </c>
      <c r="P626" s="119">
        <f t="shared" si="296"/>
        <v>0</v>
      </c>
      <c r="Q626" s="119">
        <f t="shared" si="296"/>
        <v>0</v>
      </c>
      <c r="R626" s="119">
        <f t="shared" si="296"/>
        <v>0</v>
      </c>
      <c r="S626" s="119">
        <f t="shared" si="296"/>
        <v>0</v>
      </c>
      <c r="T626" s="119">
        <f t="shared" si="296"/>
        <v>0</v>
      </c>
      <c r="U626" s="119">
        <f t="shared" si="296"/>
        <v>0</v>
      </c>
      <c r="V626" s="119">
        <f t="shared" si="296"/>
        <v>0</v>
      </c>
      <c r="W626" s="119">
        <f t="shared" si="296"/>
        <v>0</v>
      </c>
      <c r="X626" s="119">
        <f t="shared" si="296"/>
        <v>0</v>
      </c>
      <c r="Y626" s="119">
        <f t="shared" si="296"/>
        <v>0</v>
      </c>
      <c r="Z626" s="119">
        <f t="shared" si="296"/>
        <v>0</v>
      </c>
      <c r="AA626" s="119">
        <f t="shared" si="296"/>
        <v>0</v>
      </c>
      <c r="AB626" s="119">
        <f t="shared" si="296"/>
        <v>0</v>
      </c>
      <c r="AC626" s="119">
        <f t="shared" si="296"/>
        <v>0</v>
      </c>
      <c r="AD626" s="119">
        <f t="shared" si="296"/>
        <v>0</v>
      </c>
      <c r="AE626" s="119">
        <f t="shared" si="296"/>
        <v>0</v>
      </c>
      <c r="AF626" s="119">
        <f t="shared" si="296"/>
        <v>0</v>
      </c>
      <c r="AG626" s="119">
        <f t="shared" si="296"/>
        <v>0</v>
      </c>
      <c r="AH626" s="119">
        <f t="shared" si="296"/>
        <v>0</v>
      </c>
      <c r="AI626" s="119">
        <f t="shared" si="296"/>
        <v>0</v>
      </c>
      <c r="AJ626" s="119">
        <f t="shared" si="296"/>
        <v>0</v>
      </c>
      <c r="AK626" s="119">
        <f t="shared" si="296"/>
        <v>0</v>
      </c>
      <c r="AL626" s="119">
        <f t="shared" si="296"/>
        <v>0</v>
      </c>
      <c r="AM626" s="119">
        <f t="shared" si="296"/>
        <v>0</v>
      </c>
      <c r="AN626" s="119">
        <f t="shared" si="296"/>
        <v>0</v>
      </c>
      <c r="AO626" s="119">
        <f t="shared" si="296"/>
        <v>0</v>
      </c>
      <c r="AP626" s="119">
        <f t="shared" si="296"/>
        <v>0</v>
      </c>
    </row>
    <row r="627" spans="1:42" x14ac:dyDescent="0.2">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row>
    <row r="628" spans="1:42" x14ac:dyDescent="0.2">
      <c r="A628" s="4" t="s">
        <v>13</v>
      </c>
      <c r="C628" s="148">
        <f>C614+C618+C622+C626</f>
        <v>0</v>
      </c>
      <c r="D628" s="148">
        <f t="shared" ref="D628:AP628" si="297">D614+D618+D622+D626</f>
        <v>0</v>
      </c>
      <c r="E628" s="148">
        <f t="shared" si="297"/>
        <v>0</v>
      </c>
      <c r="F628" s="148">
        <f t="shared" si="297"/>
        <v>0</v>
      </c>
      <c r="G628" s="148">
        <f t="shared" si="297"/>
        <v>0</v>
      </c>
      <c r="H628" s="148">
        <f t="shared" si="297"/>
        <v>0</v>
      </c>
      <c r="I628" s="148">
        <f t="shared" si="297"/>
        <v>0</v>
      </c>
      <c r="J628" s="148">
        <f t="shared" si="297"/>
        <v>0</v>
      </c>
      <c r="K628" s="148">
        <f t="shared" si="297"/>
        <v>0</v>
      </c>
      <c r="L628" s="148">
        <f t="shared" si="297"/>
        <v>0</v>
      </c>
      <c r="M628" s="148">
        <f t="shared" si="297"/>
        <v>0</v>
      </c>
      <c r="N628" s="148">
        <f t="shared" si="297"/>
        <v>0</v>
      </c>
      <c r="O628" s="148">
        <f t="shared" si="297"/>
        <v>0</v>
      </c>
      <c r="P628" s="148">
        <f t="shared" si="297"/>
        <v>0</v>
      </c>
      <c r="Q628" s="148">
        <f t="shared" si="297"/>
        <v>0</v>
      </c>
      <c r="R628" s="148">
        <f t="shared" si="297"/>
        <v>0</v>
      </c>
      <c r="S628" s="148">
        <f t="shared" si="297"/>
        <v>0</v>
      </c>
      <c r="T628" s="148">
        <f t="shared" si="297"/>
        <v>0</v>
      </c>
      <c r="U628" s="148">
        <f t="shared" si="297"/>
        <v>0</v>
      </c>
      <c r="V628" s="148">
        <f t="shared" si="297"/>
        <v>0</v>
      </c>
      <c r="W628" s="148">
        <f t="shared" si="297"/>
        <v>0</v>
      </c>
      <c r="X628" s="148">
        <f t="shared" si="297"/>
        <v>0</v>
      </c>
      <c r="Y628" s="148">
        <f t="shared" si="297"/>
        <v>0</v>
      </c>
      <c r="Z628" s="148">
        <f t="shared" si="297"/>
        <v>0</v>
      </c>
      <c r="AA628" s="148">
        <f t="shared" si="297"/>
        <v>0</v>
      </c>
      <c r="AB628" s="148">
        <f t="shared" si="297"/>
        <v>0</v>
      </c>
      <c r="AC628" s="148">
        <f t="shared" si="297"/>
        <v>0</v>
      </c>
      <c r="AD628" s="148">
        <f t="shared" si="297"/>
        <v>0</v>
      </c>
      <c r="AE628" s="148">
        <f t="shared" si="297"/>
        <v>0</v>
      </c>
      <c r="AF628" s="148">
        <f t="shared" si="297"/>
        <v>0</v>
      </c>
      <c r="AG628" s="148">
        <f t="shared" si="297"/>
        <v>0</v>
      </c>
      <c r="AH628" s="148">
        <f t="shared" si="297"/>
        <v>0</v>
      </c>
      <c r="AI628" s="148">
        <f t="shared" si="297"/>
        <v>0</v>
      </c>
      <c r="AJ628" s="148">
        <f t="shared" si="297"/>
        <v>0</v>
      </c>
      <c r="AK628" s="148">
        <f t="shared" si="297"/>
        <v>0</v>
      </c>
      <c r="AL628" s="148">
        <f t="shared" si="297"/>
        <v>0</v>
      </c>
      <c r="AM628" s="148">
        <f t="shared" si="297"/>
        <v>0</v>
      </c>
      <c r="AN628" s="148">
        <f t="shared" si="297"/>
        <v>0</v>
      </c>
      <c r="AO628" s="148">
        <f t="shared" si="297"/>
        <v>0</v>
      </c>
      <c r="AP628" s="148">
        <f t="shared" si="297"/>
        <v>0</v>
      </c>
    </row>
    <row r="630" spans="1:42" x14ac:dyDescent="0.2">
      <c r="A630" s="84" t="s">
        <v>25</v>
      </c>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row>
    <row r="631" spans="1:42" x14ac:dyDescent="0.2">
      <c r="A631" s="18" t="s">
        <v>27</v>
      </c>
    </row>
    <row r="632" spans="1:42" x14ac:dyDescent="0.2">
      <c r="A632" s="22" t="s">
        <v>30</v>
      </c>
      <c r="B632" s="123"/>
      <c r="C632" s="119">
        <f>IF(C$650="N/A",IF(C$651="N/A",C$652+C$633,C$651),C$650)</f>
        <v>0</v>
      </c>
      <c r="D632" s="119">
        <f t="shared" ref="D632:AP632" si="298">IF(D$650="N/A",IF(D$651="N/A",D$652+D$633,D$651),D$650)</f>
        <v>0</v>
      </c>
      <c r="E632" s="119">
        <f t="shared" si="298"/>
        <v>0</v>
      </c>
      <c r="F632" s="119">
        <f t="shared" si="298"/>
        <v>0</v>
      </c>
      <c r="G632" s="119">
        <f t="shared" si="298"/>
        <v>0</v>
      </c>
      <c r="H632" s="119">
        <f t="shared" si="298"/>
        <v>0</v>
      </c>
      <c r="I632" s="119">
        <f t="shared" si="298"/>
        <v>0</v>
      </c>
      <c r="J632" s="119">
        <f t="shared" si="298"/>
        <v>0</v>
      </c>
      <c r="K632" s="119">
        <f t="shared" si="298"/>
        <v>0</v>
      </c>
      <c r="L632" s="119">
        <f t="shared" si="298"/>
        <v>0</v>
      </c>
      <c r="M632" s="119">
        <f t="shared" si="298"/>
        <v>0</v>
      </c>
      <c r="N632" s="119">
        <f t="shared" si="298"/>
        <v>0</v>
      </c>
      <c r="O632" s="119">
        <f t="shared" si="298"/>
        <v>0</v>
      </c>
      <c r="P632" s="119">
        <f t="shared" si="298"/>
        <v>0</v>
      </c>
      <c r="Q632" s="119">
        <f t="shared" si="298"/>
        <v>0</v>
      </c>
      <c r="R632" s="119">
        <f t="shared" si="298"/>
        <v>0</v>
      </c>
      <c r="S632" s="119">
        <f t="shared" si="298"/>
        <v>0</v>
      </c>
      <c r="T632" s="119">
        <f t="shared" si="298"/>
        <v>0</v>
      </c>
      <c r="U632" s="119">
        <f t="shared" si="298"/>
        <v>0</v>
      </c>
      <c r="V632" s="119">
        <f t="shared" si="298"/>
        <v>0</v>
      </c>
      <c r="W632" s="119">
        <f t="shared" si="298"/>
        <v>0</v>
      </c>
      <c r="X632" s="119">
        <f t="shared" si="298"/>
        <v>0</v>
      </c>
      <c r="Y632" s="119">
        <f t="shared" si="298"/>
        <v>0</v>
      </c>
      <c r="Z632" s="119">
        <f t="shared" si="298"/>
        <v>0</v>
      </c>
      <c r="AA632" s="119">
        <f t="shared" si="298"/>
        <v>0</v>
      </c>
      <c r="AB632" s="119">
        <f t="shared" si="298"/>
        <v>0</v>
      </c>
      <c r="AC632" s="119">
        <f t="shared" si="298"/>
        <v>0</v>
      </c>
      <c r="AD632" s="119">
        <f t="shared" si="298"/>
        <v>0</v>
      </c>
      <c r="AE632" s="119">
        <f t="shared" si="298"/>
        <v>0</v>
      </c>
      <c r="AF632" s="119">
        <f t="shared" si="298"/>
        <v>0</v>
      </c>
      <c r="AG632" s="119">
        <f t="shared" si="298"/>
        <v>0</v>
      </c>
      <c r="AH632" s="119">
        <f t="shared" si="298"/>
        <v>0</v>
      </c>
      <c r="AI632" s="119">
        <f t="shared" si="298"/>
        <v>0</v>
      </c>
      <c r="AJ632" s="119">
        <f t="shared" si="298"/>
        <v>0</v>
      </c>
      <c r="AK632" s="119">
        <f t="shared" si="298"/>
        <v>0</v>
      </c>
      <c r="AL632" s="119">
        <f t="shared" si="298"/>
        <v>0</v>
      </c>
      <c r="AM632" s="119">
        <f t="shared" si="298"/>
        <v>0</v>
      </c>
      <c r="AN632" s="119">
        <f t="shared" si="298"/>
        <v>0</v>
      </c>
      <c r="AO632" s="119">
        <f t="shared" si="298"/>
        <v>0</v>
      </c>
      <c r="AP632" s="119">
        <f t="shared" si="298"/>
        <v>0</v>
      </c>
    </row>
    <row r="633" spans="1:42" x14ac:dyDescent="0.2">
      <c r="A633" s="22" t="s">
        <v>194</v>
      </c>
      <c r="B633" s="119"/>
      <c r="C633" s="119">
        <f t="shared" ref="C633:AP633" si="299">IF(term_tenor="N/A",0,IF(AND(C$2&lt;=term_tenor,C$2&lt;=analysis_period),B$635*term_int_rate/100,0))</f>
        <v>0</v>
      </c>
      <c r="D633" s="119">
        <f t="shared" si="299"/>
        <v>0</v>
      </c>
      <c r="E633" s="119">
        <f t="shared" si="299"/>
        <v>0</v>
      </c>
      <c r="F633" s="119">
        <f t="shared" si="299"/>
        <v>0</v>
      </c>
      <c r="G633" s="119">
        <f t="shared" si="299"/>
        <v>0</v>
      </c>
      <c r="H633" s="119">
        <f t="shared" si="299"/>
        <v>0</v>
      </c>
      <c r="I633" s="119">
        <f t="shared" si="299"/>
        <v>0</v>
      </c>
      <c r="J633" s="119">
        <f t="shared" si="299"/>
        <v>0</v>
      </c>
      <c r="K633" s="119">
        <f t="shared" si="299"/>
        <v>0</v>
      </c>
      <c r="L633" s="119">
        <f t="shared" si="299"/>
        <v>0</v>
      </c>
      <c r="M633" s="119">
        <f t="shared" si="299"/>
        <v>0</v>
      </c>
      <c r="N633" s="119">
        <f t="shared" si="299"/>
        <v>0</v>
      </c>
      <c r="O633" s="119">
        <f t="shared" si="299"/>
        <v>0</v>
      </c>
      <c r="P633" s="119">
        <f t="shared" si="299"/>
        <v>0</v>
      </c>
      <c r="Q633" s="119">
        <f t="shared" si="299"/>
        <v>0</v>
      </c>
      <c r="R633" s="119">
        <f t="shared" si="299"/>
        <v>0</v>
      </c>
      <c r="S633" s="119">
        <f t="shared" si="299"/>
        <v>0</v>
      </c>
      <c r="T633" s="119">
        <f t="shared" si="299"/>
        <v>0</v>
      </c>
      <c r="U633" s="119">
        <f t="shared" si="299"/>
        <v>0</v>
      </c>
      <c r="V633" s="119">
        <f t="shared" si="299"/>
        <v>0</v>
      </c>
      <c r="W633" s="119">
        <f t="shared" si="299"/>
        <v>0</v>
      </c>
      <c r="X633" s="119">
        <f t="shared" si="299"/>
        <v>0</v>
      </c>
      <c r="Y633" s="119">
        <f t="shared" si="299"/>
        <v>0</v>
      </c>
      <c r="Z633" s="119">
        <f t="shared" si="299"/>
        <v>0</v>
      </c>
      <c r="AA633" s="119">
        <f t="shared" si="299"/>
        <v>0</v>
      </c>
      <c r="AB633" s="119">
        <f t="shared" si="299"/>
        <v>0</v>
      </c>
      <c r="AC633" s="119">
        <f t="shared" si="299"/>
        <v>0</v>
      </c>
      <c r="AD633" s="119">
        <f t="shared" si="299"/>
        <v>0</v>
      </c>
      <c r="AE633" s="119">
        <f t="shared" si="299"/>
        <v>0</v>
      </c>
      <c r="AF633" s="119">
        <f t="shared" si="299"/>
        <v>0</v>
      </c>
      <c r="AG633" s="119">
        <f t="shared" si="299"/>
        <v>0</v>
      </c>
      <c r="AH633" s="119">
        <f t="shared" si="299"/>
        <v>0</v>
      </c>
      <c r="AI633" s="119">
        <f t="shared" si="299"/>
        <v>0</v>
      </c>
      <c r="AJ633" s="119">
        <f t="shared" si="299"/>
        <v>0</v>
      </c>
      <c r="AK633" s="119">
        <f t="shared" si="299"/>
        <v>0</v>
      </c>
      <c r="AL633" s="119">
        <f t="shared" si="299"/>
        <v>0</v>
      </c>
      <c r="AM633" s="119">
        <f t="shared" si="299"/>
        <v>0</v>
      </c>
      <c r="AN633" s="119">
        <f t="shared" si="299"/>
        <v>0</v>
      </c>
      <c r="AO633" s="119">
        <f t="shared" si="299"/>
        <v>0</v>
      </c>
      <c r="AP633" s="119">
        <f t="shared" si="299"/>
        <v>0</v>
      </c>
    </row>
    <row r="634" spans="1:42" x14ac:dyDescent="0.2">
      <c r="A634" s="22" t="s">
        <v>193</v>
      </c>
      <c r="B634" s="123"/>
      <c r="C634" s="119">
        <f t="shared" ref="C634:AP634" si="300">IF(C$652="N/A",IF(C$2&gt;loan_moratorium,C$632-C$633,0),C$652)</f>
        <v>0</v>
      </c>
      <c r="D634" s="119">
        <f t="shared" si="300"/>
        <v>0</v>
      </c>
      <c r="E634" s="119">
        <f t="shared" si="300"/>
        <v>0</v>
      </c>
      <c r="F634" s="119">
        <f t="shared" si="300"/>
        <v>0</v>
      </c>
      <c r="G634" s="119">
        <f t="shared" si="300"/>
        <v>0</v>
      </c>
      <c r="H634" s="119">
        <f t="shared" si="300"/>
        <v>0</v>
      </c>
      <c r="I634" s="119">
        <f t="shared" si="300"/>
        <v>0</v>
      </c>
      <c r="J634" s="119">
        <f t="shared" si="300"/>
        <v>0</v>
      </c>
      <c r="K634" s="119">
        <f t="shared" si="300"/>
        <v>0</v>
      </c>
      <c r="L634" s="119">
        <f t="shared" si="300"/>
        <v>0</v>
      </c>
      <c r="M634" s="119">
        <f t="shared" si="300"/>
        <v>0</v>
      </c>
      <c r="N634" s="119">
        <f t="shared" si="300"/>
        <v>0</v>
      </c>
      <c r="O634" s="119">
        <f t="shared" si="300"/>
        <v>0</v>
      </c>
      <c r="P634" s="119">
        <f t="shared" si="300"/>
        <v>0</v>
      </c>
      <c r="Q634" s="119">
        <f t="shared" si="300"/>
        <v>0</v>
      </c>
      <c r="R634" s="119">
        <f t="shared" si="300"/>
        <v>0</v>
      </c>
      <c r="S634" s="119">
        <f t="shared" si="300"/>
        <v>0</v>
      </c>
      <c r="T634" s="119">
        <f t="shared" si="300"/>
        <v>0</v>
      </c>
      <c r="U634" s="119">
        <f t="shared" si="300"/>
        <v>0</v>
      </c>
      <c r="V634" s="119">
        <f t="shared" si="300"/>
        <v>0</v>
      </c>
      <c r="W634" s="119">
        <f t="shared" si="300"/>
        <v>0</v>
      </c>
      <c r="X634" s="119">
        <f t="shared" si="300"/>
        <v>0</v>
      </c>
      <c r="Y634" s="119">
        <f t="shared" si="300"/>
        <v>0</v>
      </c>
      <c r="Z634" s="119">
        <f t="shared" si="300"/>
        <v>0</v>
      </c>
      <c r="AA634" s="119">
        <f t="shared" si="300"/>
        <v>0</v>
      </c>
      <c r="AB634" s="119">
        <f t="shared" si="300"/>
        <v>0</v>
      </c>
      <c r="AC634" s="119">
        <f t="shared" si="300"/>
        <v>0</v>
      </c>
      <c r="AD634" s="119">
        <f t="shared" si="300"/>
        <v>0</v>
      </c>
      <c r="AE634" s="119">
        <f t="shared" si="300"/>
        <v>0</v>
      </c>
      <c r="AF634" s="119">
        <f t="shared" si="300"/>
        <v>0</v>
      </c>
      <c r="AG634" s="119">
        <f t="shared" si="300"/>
        <v>0</v>
      </c>
      <c r="AH634" s="119">
        <f t="shared" si="300"/>
        <v>0</v>
      </c>
      <c r="AI634" s="119">
        <f t="shared" si="300"/>
        <v>0</v>
      </c>
      <c r="AJ634" s="119">
        <f t="shared" si="300"/>
        <v>0</v>
      </c>
      <c r="AK634" s="119">
        <f t="shared" si="300"/>
        <v>0</v>
      </c>
      <c r="AL634" s="119">
        <f t="shared" si="300"/>
        <v>0</v>
      </c>
      <c r="AM634" s="119">
        <f t="shared" si="300"/>
        <v>0</v>
      </c>
      <c r="AN634" s="119">
        <f t="shared" si="300"/>
        <v>0</v>
      </c>
      <c r="AO634" s="119">
        <f t="shared" si="300"/>
        <v>0</v>
      </c>
      <c r="AP634" s="119">
        <f t="shared" si="300"/>
        <v>0</v>
      </c>
    </row>
    <row r="635" spans="1:42" x14ac:dyDescent="0.2">
      <c r="A635" s="22" t="s">
        <v>258</v>
      </c>
      <c r="B635" s="119">
        <f>$B$647</f>
        <v>0</v>
      </c>
      <c r="C635" s="119">
        <f>B$635-C$634</f>
        <v>0</v>
      </c>
      <c r="D635" s="119">
        <f t="shared" ref="D635:AP635" si="301">C$635-D$634</f>
        <v>0</v>
      </c>
      <c r="E635" s="119">
        <f t="shared" si="301"/>
        <v>0</v>
      </c>
      <c r="F635" s="119">
        <f t="shared" si="301"/>
        <v>0</v>
      </c>
      <c r="G635" s="119">
        <f t="shared" si="301"/>
        <v>0</v>
      </c>
      <c r="H635" s="119">
        <f t="shared" si="301"/>
        <v>0</v>
      </c>
      <c r="I635" s="119">
        <f t="shared" si="301"/>
        <v>0</v>
      </c>
      <c r="J635" s="119">
        <f t="shared" si="301"/>
        <v>0</v>
      </c>
      <c r="K635" s="119">
        <f t="shared" si="301"/>
        <v>0</v>
      </c>
      <c r="L635" s="119">
        <f t="shared" si="301"/>
        <v>0</v>
      </c>
      <c r="M635" s="119">
        <f t="shared" si="301"/>
        <v>0</v>
      </c>
      <c r="N635" s="119">
        <f t="shared" si="301"/>
        <v>0</v>
      </c>
      <c r="O635" s="119">
        <f t="shared" si="301"/>
        <v>0</v>
      </c>
      <c r="P635" s="119">
        <f t="shared" si="301"/>
        <v>0</v>
      </c>
      <c r="Q635" s="119">
        <f t="shared" si="301"/>
        <v>0</v>
      </c>
      <c r="R635" s="119">
        <f t="shared" si="301"/>
        <v>0</v>
      </c>
      <c r="S635" s="119">
        <f t="shared" si="301"/>
        <v>0</v>
      </c>
      <c r="T635" s="119">
        <f t="shared" si="301"/>
        <v>0</v>
      </c>
      <c r="U635" s="119">
        <f t="shared" si="301"/>
        <v>0</v>
      </c>
      <c r="V635" s="119">
        <f t="shared" si="301"/>
        <v>0</v>
      </c>
      <c r="W635" s="119">
        <f t="shared" si="301"/>
        <v>0</v>
      </c>
      <c r="X635" s="119">
        <f t="shared" si="301"/>
        <v>0</v>
      </c>
      <c r="Y635" s="119">
        <f t="shared" si="301"/>
        <v>0</v>
      </c>
      <c r="Z635" s="119">
        <f t="shared" si="301"/>
        <v>0</v>
      </c>
      <c r="AA635" s="119">
        <f t="shared" si="301"/>
        <v>0</v>
      </c>
      <c r="AB635" s="119">
        <f t="shared" si="301"/>
        <v>0</v>
      </c>
      <c r="AC635" s="119">
        <f t="shared" si="301"/>
        <v>0</v>
      </c>
      <c r="AD635" s="119">
        <f t="shared" si="301"/>
        <v>0</v>
      </c>
      <c r="AE635" s="119">
        <f t="shared" si="301"/>
        <v>0</v>
      </c>
      <c r="AF635" s="119">
        <f t="shared" si="301"/>
        <v>0</v>
      </c>
      <c r="AG635" s="119">
        <f t="shared" si="301"/>
        <v>0</v>
      </c>
      <c r="AH635" s="119">
        <f t="shared" si="301"/>
        <v>0</v>
      </c>
      <c r="AI635" s="119">
        <f t="shared" si="301"/>
        <v>0</v>
      </c>
      <c r="AJ635" s="119">
        <f t="shared" si="301"/>
        <v>0</v>
      </c>
      <c r="AK635" s="119">
        <f t="shared" si="301"/>
        <v>0</v>
      </c>
      <c r="AL635" s="119">
        <f t="shared" si="301"/>
        <v>0</v>
      </c>
      <c r="AM635" s="119">
        <f t="shared" si="301"/>
        <v>0</v>
      </c>
      <c r="AN635" s="119">
        <f t="shared" si="301"/>
        <v>0</v>
      </c>
      <c r="AO635" s="119">
        <f t="shared" si="301"/>
        <v>0</v>
      </c>
      <c r="AP635" s="119">
        <f t="shared" si="301"/>
        <v>0</v>
      </c>
    </row>
    <row r="636" spans="1:42" x14ac:dyDescent="0.2">
      <c r="B636" s="119"/>
      <c r="C636" s="119"/>
    </row>
    <row r="637" spans="1:42" x14ac:dyDescent="0.2">
      <c r="A637" s="18" t="s">
        <v>264</v>
      </c>
    </row>
    <row r="638" spans="1:42" x14ac:dyDescent="0.2">
      <c r="A638" s="22" t="s">
        <v>32</v>
      </c>
      <c r="B638" s="123"/>
      <c r="C638" s="119">
        <f t="shared" ref="C638:AP638" si="302">IF(term_tenor="N/A",0,IF(AND(C$2&lt;=term_tenor,C$2&lt;=analysis_period),C65,0))</f>
        <v>0</v>
      </c>
      <c r="D638" s="119">
        <f t="shared" si="302"/>
        <v>0</v>
      </c>
      <c r="E638" s="119">
        <f t="shared" si="302"/>
        <v>0</v>
      </c>
      <c r="F638" s="119">
        <f t="shared" si="302"/>
        <v>0</v>
      </c>
      <c r="G638" s="119">
        <f t="shared" si="302"/>
        <v>0</v>
      </c>
      <c r="H638" s="119">
        <f t="shared" si="302"/>
        <v>0</v>
      </c>
      <c r="I638" s="119">
        <f t="shared" si="302"/>
        <v>0</v>
      </c>
      <c r="J638" s="119">
        <f t="shared" si="302"/>
        <v>0</v>
      </c>
      <c r="K638" s="119">
        <f t="shared" si="302"/>
        <v>0</v>
      </c>
      <c r="L638" s="119">
        <f t="shared" si="302"/>
        <v>0</v>
      </c>
      <c r="M638" s="119">
        <f t="shared" si="302"/>
        <v>0</v>
      </c>
      <c r="N638" s="119">
        <f t="shared" si="302"/>
        <v>0</v>
      </c>
      <c r="O638" s="119">
        <f t="shared" si="302"/>
        <v>0</v>
      </c>
      <c r="P638" s="119">
        <f t="shared" si="302"/>
        <v>0</v>
      </c>
      <c r="Q638" s="119">
        <f t="shared" si="302"/>
        <v>0</v>
      </c>
      <c r="R638" s="119">
        <f t="shared" si="302"/>
        <v>0</v>
      </c>
      <c r="S638" s="119">
        <f t="shared" si="302"/>
        <v>0</v>
      </c>
      <c r="T638" s="119">
        <f t="shared" si="302"/>
        <v>0</v>
      </c>
      <c r="U638" s="119">
        <f t="shared" si="302"/>
        <v>0</v>
      </c>
      <c r="V638" s="119">
        <f t="shared" si="302"/>
        <v>0</v>
      </c>
      <c r="W638" s="119">
        <f t="shared" si="302"/>
        <v>0</v>
      </c>
      <c r="X638" s="119">
        <f t="shared" si="302"/>
        <v>0</v>
      </c>
      <c r="Y638" s="119">
        <f t="shared" si="302"/>
        <v>0</v>
      </c>
      <c r="Z638" s="119">
        <f t="shared" si="302"/>
        <v>0</v>
      </c>
      <c r="AA638" s="119">
        <f t="shared" si="302"/>
        <v>0</v>
      </c>
      <c r="AB638" s="119">
        <f t="shared" si="302"/>
        <v>0</v>
      </c>
      <c r="AC638" s="119">
        <f t="shared" si="302"/>
        <v>0</v>
      </c>
      <c r="AD638" s="119">
        <f t="shared" si="302"/>
        <v>0</v>
      </c>
      <c r="AE638" s="119">
        <f t="shared" si="302"/>
        <v>0</v>
      </c>
      <c r="AF638" s="119">
        <f t="shared" si="302"/>
        <v>0</v>
      </c>
      <c r="AG638" s="119">
        <f t="shared" si="302"/>
        <v>0</v>
      </c>
      <c r="AH638" s="119">
        <f t="shared" si="302"/>
        <v>0</v>
      </c>
      <c r="AI638" s="119">
        <f t="shared" si="302"/>
        <v>0</v>
      </c>
      <c r="AJ638" s="119">
        <f t="shared" si="302"/>
        <v>0</v>
      </c>
      <c r="AK638" s="119">
        <f t="shared" si="302"/>
        <v>0</v>
      </c>
      <c r="AL638" s="119">
        <f t="shared" si="302"/>
        <v>0</v>
      </c>
      <c r="AM638" s="119">
        <f t="shared" si="302"/>
        <v>0</v>
      </c>
      <c r="AN638" s="119">
        <f t="shared" si="302"/>
        <v>0</v>
      </c>
      <c r="AO638" s="119">
        <f t="shared" si="302"/>
        <v>0</v>
      </c>
      <c r="AP638" s="119">
        <f t="shared" si="302"/>
        <v>0</v>
      </c>
    </row>
    <row r="639" spans="1:42" x14ac:dyDescent="0.2">
      <c r="A639" s="22" t="s">
        <v>452</v>
      </c>
      <c r="B639" s="119">
        <f t="shared" ref="B639:AP639" si="303">IF(term_tenor="N/A",0,IF(AND(B$2&lt;=term_tenor,B$2&lt;=analysis_period),-B678-B710-B742,0))</f>
        <v>0</v>
      </c>
      <c r="C639" s="119">
        <f t="shared" si="303"/>
        <v>0</v>
      </c>
      <c r="D639" s="119">
        <f t="shared" si="303"/>
        <v>0</v>
      </c>
      <c r="E639" s="119">
        <f t="shared" si="303"/>
        <v>0</v>
      </c>
      <c r="F639" s="119">
        <f t="shared" si="303"/>
        <v>0</v>
      </c>
      <c r="G639" s="119">
        <f t="shared" si="303"/>
        <v>0</v>
      </c>
      <c r="H639" s="119">
        <f t="shared" si="303"/>
        <v>0</v>
      </c>
      <c r="I639" s="119">
        <f t="shared" si="303"/>
        <v>0</v>
      </c>
      <c r="J639" s="119">
        <f t="shared" si="303"/>
        <v>0</v>
      </c>
      <c r="K639" s="119">
        <f t="shared" si="303"/>
        <v>0</v>
      </c>
      <c r="L639" s="119">
        <f t="shared" si="303"/>
        <v>0</v>
      </c>
      <c r="M639" s="119">
        <f t="shared" si="303"/>
        <v>0</v>
      </c>
      <c r="N639" s="119">
        <f t="shared" si="303"/>
        <v>0</v>
      </c>
      <c r="O639" s="119">
        <f t="shared" si="303"/>
        <v>0</v>
      </c>
      <c r="P639" s="119">
        <f t="shared" si="303"/>
        <v>0</v>
      </c>
      <c r="Q639" s="119">
        <f t="shared" si="303"/>
        <v>0</v>
      </c>
      <c r="R639" s="119">
        <f t="shared" si="303"/>
        <v>0</v>
      </c>
      <c r="S639" s="119">
        <f t="shared" si="303"/>
        <v>0</v>
      </c>
      <c r="T639" s="119">
        <f t="shared" si="303"/>
        <v>0</v>
      </c>
      <c r="U639" s="119">
        <f t="shared" si="303"/>
        <v>0</v>
      </c>
      <c r="V639" s="119">
        <f t="shared" si="303"/>
        <v>0</v>
      </c>
      <c r="W639" s="119">
        <f t="shared" si="303"/>
        <v>0</v>
      </c>
      <c r="X639" s="119">
        <f t="shared" si="303"/>
        <v>0</v>
      </c>
      <c r="Y639" s="119">
        <f t="shared" si="303"/>
        <v>0</v>
      </c>
      <c r="Z639" s="119">
        <f t="shared" si="303"/>
        <v>0</v>
      </c>
      <c r="AA639" s="119">
        <f t="shared" si="303"/>
        <v>0</v>
      </c>
      <c r="AB639" s="119">
        <f t="shared" si="303"/>
        <v>0</v>
      </c>
      <c r="AC639" s="119">
        <f t="shared" si="303"/>
        <v>0</v>
      </c>
      <c r="AD639" s="119">
        <f t="shared" si="303"/>
        <v>0</v>
      </c>
      <c r="AE639" s="119">
        <f t="shared" si="303"/>
        <v>0</v>
      </c>
      <c r="AF639" s="119">
        <f t="shared" si="303"/>
        <v>0</v>
      </c>
      <c r="AG639" s="119">
        <f t="shared" si="303"/>
        <v>0</v>
      </c>
      <c r="AH639" s="119">
        <f t="shared" si="303"/>
        <v>0</v>
      </c>
      <c r="AI639" s="119">
        <f t="shared" si="303"/>
        <v>0</v>
      </c>
      <c r="AJ639" s="119">
        <f t="shared" si="303"/>
        <v>0</v>
      </c>
      <c r="AK639" s="119">
        <f t="shared" si="303"/>
        <v>0</v>
      </c>
      <c r="AL639" s="119">
        <f t="shared" si="303"/>
        <v>0</v>
      </c>
      <c r="AM639" s="119">
        <f t="shared" si="303"/>
        <v>0</v>
      </c>
      <c r="AN639" s="119">
        <f t="shared" si="303"/>
        <v>0</v>
      </c>
      <c r="AO639" s="119">
        <f t="shared" si="303"/>
        <v>0</v>
      </c>
      <c r="AP639" s="119">
        <f t="shared" si="303"/>
        <v>0</v>
      </c>
    </row>
    <row r="640" spans="1:42" x14ac:dyDescent="0.2">
      <c r="A640" s="22" t="s">
        <v>266</v>
      </c>
      <c r="B640" s="119">
        <f t="shared" ref="B640:AP640" si="304">SUM(B638:B639)</f>
        <v>0</v>
      </c>
      <c r="C640" s="119">
        <f t="shared" si="304"/>
        <v>0</v>
      </c>
      <c r="D640" s="119">
        <f t="shared" si="304"/>
        <v>0</v>
      </c>
      <c r="E640" s="119">
        <f t="shared" si="304"/>
        <v>0</v>
      </c>
      <c r="F640" s="119">
        <f t="shared" si="304"/>
        <v>0</v>
      </c>
      <c r="G640" s="119">
        <f t="shared" si="304"/>
        <v>0</v>
      </c>
      <c r="H640" s="119">
        <f t="shared" si="304"/>
        <v>0</v>
      </c>
      <c r="I640" s="119">
        <f t="shared" si="304"/>
        <v>0</v>
      </c>
      <c r="J640" s="119">
        <f t="shared" si="304"/>
        <v>0</v>
      </c>
      <c r="K640" s="119">
        <f t="shared" si="304"/>
        <v>0</v>
      </c>
      <c r="L640" s="119">
        <f t="shared" si="304"/>
        <v>0</v>
      </c>
      <c r="M640" s="119">
        <f t="shared" si="304"/>
        <v>0</v>
      </c>
      <c r="N640" s="119">
        <f t="shared" si="304"/>
        <v>0</v>
      </c>
      <c r="O640" s="119">
        <f t="shared" si="304"/>
        <v>0</v>
      </c>
      <c r="P640" s="119">
        <f t="shared" si="304"/>
        <v>0</v>
      </c>
      <c r="Q640" s="119">
        <f t="shared" si="304"/>
        <v>0</v>
      </c>
      <c r="R640" s="119">
        <f t="shared" si="304"/>
        <v>0</v>
      </c>
      <c r="S640" s="119">
        <f t="shared" si="304"/>
        <v>0</v>
      </c>
      <c r="T640" s="119">
        <f t="shared" si="304"/>
        <v>0</v>
      </c>
      <c r="U640" s="119">
        <f t="shared" si="304"/>
        <v>0</v>
      </c>
      <c r="V640" s="119">
        <f t="shared" si="304"/>
        <v>0</v>
      </c>
      <c r="W640" s="119">
        <f t="shared" si="304"/>
        <v>0</v>
      </c>
      <c r="X640" s="119">
        <f t="shared" si="304"/>
        <v>0</v>
      </c>
      <c r="Y640" s="119">
        <f t="shared" si="304"/>
        <v>0</v>
      </c>
      <c r="Z640" s="119">
        <f t="shared" si="304"/>
        <v>0</v>
      </c>
      <c r="AA640" s="119">
        <f t="shared" si="304"/>
        <v>0</v>
      </c>
      <c r="AB640" s="119">
        <f t="shared" si="304"/>
        <v>0</v>
      </c>
      <c r="AC640" s="119">
        <f t="shared" si="304"/>
        <v>0</v>
      </c>
      <c r="AD640" s="119">
        <f t="shared" si="304"/>
        <v>0</v>
      </c>
      <c r="AE640" s="119">
        <f t="shared" si="304"/>
        <v>0</v>
      </c>
      <c r="AF640" s="119">
        <f t="shared" si="304"/>
        <v>0</v>
      </c>
      <c r="AG640" s="119">
        <f t="shared" si="304"/>
        <v>0</v>
      </c>
      <c r="AH640" s="119">
        <f t="shared" si="304"/>
        <v>0</v>
      </c>
      <c r="AI640" s="119">
        <f t="shared" si="304"/>
        <v>0</v>
      </c>
      <c r="AJ640" s="119">
        <f t="shared" si="304"/>
        <v>0</v>
      </c>
      <c r="AK640" s="119">
        <f t="shared" si="304"/>
        <v>0</v>
      </c>
      <c r="AL640" s="119">
        <f t="shared" si="304"/>
        <v>0</v>
      </c>
      <c r="AM640" s="119">
        <f t="shared" si="304"/>
        <v>0</v>
      </c>
      <c r="AN640" s="119">
        <f t="shared" si="304"/>
        <v>0</v>
      </c>
      <c r="AO640" s="119">
        <f t="shared" si="304"/>
        <v>0</v>
      </c>
      <c r="AP640" s="119">
        <f t="shared" si="304"/>
        <v>0</v>
      </c>
    </row>
    <row r="641" spans="1:42" x14ac:dyDescent="0.2">
      <c r="A641" s="22" t="s">
        <v>267</v>
      </c>
      <c r="B641" s="203">
        <f t="shared" ref="B641:C641" si="305">IF(term_tenor="N/A",0,IF(AND(B$2&lt;=term_tenor,B$2&lt;=analysis_period),1/(1+term_int_rate/100),0))</f>
        <v>0</v>
      </c>
      <c r="C641" s="203">
        <f t="shared" si="305"/>
        <v>0</v>
      </c>
      <c r="D641" s="203">
        <f t="shared" ref="D641:AP641" si="306">IF(term_tenor="N/A",0,IF(AND(D$2&lt;=term_tenor,D$2&lt;=analysis_period),C641/(1+term_int_rate/100),0))</f>
        <v>0</v>
      </c>
      <c r="E641" s="203">
        <f t="shared" si="306"/>
        <v>0</v>
      </c>
      <c r="F641" s="203">
        <f t="shared" si="306"/>
        <v>0</v>
      </c>
      <c r="G641" s="203">
        <f t="shared" si="306"/>
        <v>0</v>
      </c>
      <c r="H641" s="203">
        <f t="shared" si="306"/>
        <v>0</v>
      </c>
      <c r="I641" s="203">
        <f t="shared" si="306"/>
        <v>0</v>
      </c>
      <c r="J641" s="203">
        <f t="shared" si="306"/>
        <v>0</v>
      </c>
      <c r="K641" s="203">
        <f t="shared" si="306"/>
        <v>0</v>
      </c>
      <c r="L641" s="203">
        <f t="shared" si="306"/>
        <v>0</v>
      </c>
      <c r="M641" s="203">
        <f t="shared" si="306"/>
        <v>0</v>
      </c>
      <c r="N641" s="203">
        <f t="shared" si="306"/>
        <v>0</v>
      </c>
      <c r="O641" s="203">
        <f t="shared" si="306"/>
        <v>0</v>
      </c>
      <c r="P641" s="203">
        <f t="shared" si="306"/>
        <v>0</v>
      </c>
      <c r="Q641" s="203">
        <f t="shared" si="306"/>
        <v>0</v>
      </c>
      <c r="R641" s="203">
        <f t="shared" si="306"/>
        <v>0</v>
      </c>
      <c r="S641" s="203">
        <f t="shared" si="306"/>
        <v>0</v>
      </c>
      <c r="T641" s="203">
        <f t="shared" si="306"/>
        <v>0</v>
      </c>
      <c r="U641" s="203">
        <f t="shared" si="306"/>
        <v>0</v>
      </c>
      <c r="V641" s="203">
        <f t="shared" si="306"/>
        <v>0</v>
      </c>
      <c r="W641" s="203">
        <f t="shared" si="306"/>
        <v>0</v>
      </c>
      <c r="X641" s="203">
        <f t="shared" si="306"/>
        <v>0</v>
      </c>
      <c r="Y641" s="203">
        <f t="shared" si="306"/>
        <v>0</v>
      </c>
      <c r="Z641" s="203">
        <f t="shared" si="306"/>
        <v>0</v>
      </c>
      <c r="AA641" s="203">
        <f t="shared" si="306"/>
        <v>0</v>
      </c>
      <c r="AB641" s="203">
        <f t="shared" si="306"/>
        <v>0</v>
      </c>
      <c r="AC641" s="203">
        <f t="shared" si="306"/>
        <v>0</v>
      </c>
      <c r="AD641" s="203">
        <f t="shared" si="306"/>
        <v>0</v>
      </c>
      <c r="AE641" s="203">
        <f t="shared" si="306"/>
        <v>0</v>
      </c>
      <c r="AF641" s="203">
        <f t="shared" si="306"/>
        <v>0</v>
      </c>
      <c r="AG641" s="203">
        <f t="shared" si="306"/>
        <v>0</v>
      </c>
      <c r="AH641" s="203">
        <f t="shared" si="306"/>
        <v>0</v>
      </c>
      <c r="AI641" s="203">
        <f t="shared" si="306"/>
        <v>0</v>
      </c>
      <c r="AJ641" s="203">
        <f t="shared" si="306"/>
        <v>0</v>
      </c>
      <c r="AK641" s="203">
        <f t="shared" si="306"/>
        <v>0</v>
      </c>
      <c r="AL641" s="203">
        <f t="shared" si="306"/>
        <v>0</v>
      </c>
      <c r="AM641" s="203">
        <f t="shared" si="306"/>
        <v>0</v>
      </c>
      <c r="AN641" s="203">
        <f t="shared" si="306"/>
        <v>0</v>
      </c>
      <c r="AO641" s="203">
        <f t="shared" si="306"/>
        <v>0</v>
      </c>
      <c r="AP641" s="203">
        <f t="shared" si="306"/>
        <v>0</v>
      </c>
    </row>
    <row r="642" spans="1:42" x14ac:dyDescent="0.2">
      <c r="A642" s="22" t="s">
        <v>265</v>
      </c>
      <c r="B642" s="119">
        <f>B640*B641</f>
        <v>0</v>
      </c>
      <c r="C642" s="119">
        <f>C640*C641</f>
        <v>0</v>
      </c>
      <c r="D642" s="119">
        <f t="shared" ref="D642:AP642" si="307">D640*D641</f>
        <v>0</v>
      </c>
      <c r="E642" s="119">
        <f t="shared" si="307"/>
        <v>0</v>
      </c>
      <c r="F642" s="119">
        <f t="shared" si="307"/>
        <v>0</v>
      </c>
      <c r="G642" s="119">
        <f t="shared" si="307"/>
        <v>0</v>
      </c>
      <c r="H642" s="119">
        <f t="shared" si="307"/>
        <v>0</v>
      </c>
      <c r="I642" s="119">
        <f t="shared" si="307"/>
        <v>0</v>
      </c>
      <c r="J642" s="119">
        <f t="shared" si="307"/>
        <v>0</v>
      </c>
      <c r="K642" s="119">
        <f t="shared" si="307"/>
        <v>0</v>
      </c>
      <c r="L642" s="119">
        <f t="shared" si="307"/>
        <v>0</v>
      </c>
      <c r="M642" s="119">
        <f t="shared" si="307"/>
        <v>0</v>
      </c>
      <c r="N642" s="119">
        <f t="shared" si="307"/>
        <v>0</v>
      </c>
      <c r="O642" s="119">
        <f t="shared" si="307"/>
        <v>0</v>
      </c>
      <c r="P642" s="119">
        <f t="shared" si="307"/>
        <v>0</v>
      </c>
      <c r="Q642" s="119">
        <f t="shared" si="307"/>
        <v>0</v>
      </c>
      <c r="R642" s="119">
        <f t="shared" si="307"/>
        <v>0</v>
      </c>
      <c r="S642" s="119">
        <f t="shared" si="307"/>
        <v>0</v>
      </c>
      <c r="T642" s="119">
        <f t="shared" si="307"/>
        <v>0</v>
      </c>
      <c r="U642" s="119">
        <f t="shared" si="307"/>
        <v>0</v>
      </c>
      <c r="V642" s="119">
        <f t="shared" si="307"/>
        <v>0</v>
      </c>
      <c r="W642" s="119">
        <f t="shared" si="307"/>
        <v>0</v>
      </c>
      <c r="X642" s="119">
        <f t="shared" si="307"/>
        <v>0</v>
      </c>
      <c r="Y642" s="119">
        <f t="shared" si="307"/>
        <v>0</v>
      </c>
      <c r="Z642" s="119">
        <f t="shared" si="307"/>
        <v>0</v>
      </c>
      <c r="AA642" s="119">
        <f t="shared" si="307"/>
        <v>0</v>
      </c>
      <c r="AB642" s="119">
        <f t="shared" si="307"/>
        <v>0</v>
      </c>
      <c r="AC642" s="119">
        <f t="shared" si="307"/>
        <v>0</v>
      </c>
      <c r="AD642" s="119">
        <f t="shared" si="307"/>
        <v>0</v>
      </c>
      <c r="AE642" s="119">
        <f t="shared" si="307"/>
        <v>0</v>
      </c>
      <c r="AF642" s="119">
        <f t="shared" si="307"/>
        <v>0</v>
      </c>
      <c r="AG642" s="119">
        <f t="shared" si="307"/>
        <v>0</v>
      </c>
      <c r="AH642" s="119">
        <f t="shared" si="307"/>
        <v>0</v>
      </c>
      <c r="AI642" s="119">
        <f t="shared" si="307"/>
        <v>0</v>
      </c>
      <c r="AJ642" s="119">
        <f t="shared" si="307"/>
        <v>0</v>
      </c>
      <c r="AK642" s="119">
        <f t="shared" si="307"/>
        <v>0</v>
      </c>
      <c r="AL642" s="119">
        <f t="shared" si="307"/>
        <v>0</v>
      </c>
      <c r="AM642" s="119">
        <f t="shared" si="307"/>
        <v>0</v>
      </c>
      <c r="AN642" s="119">
        <f t="shared" si="307"/>
        <v>0</v>
      </c>
      <c r="AO642" s="119">
        <f t="shared" si="307"/>
        <v>0</v>
      </c>
      <c r="AP642" s="119">
        <f t="shared" si="307"/>
        <v>0</v>
      </c>
    </row>
    <row r="643" spans="1:42" x14ac:dyDescent="0.2">
      <c r="A643" s="22"/>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row>
    <row r="644" spans="1:42" x14ac:dyDescent="0.2">
      <c r="A644" s="18" t="s">
        <v>259</v>
      </c>
      <c r="B644" s="119"/>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row>
    <row r="645" spans="1:42" x14ac:dyDescent="0.2">
      <c r="A645" s="22" t="s">
        <v>290</v>
      </c>
      <c r="B645" s="119" t="str">
        <f t="shared" ref="B645:AP645" si="308">IF(OR(DebtServiceCoverageRatio="Calculated",MortgageSizeOfDebt=0),"N/A",IF(AND(B$2&lt;=term_tenor,B$2&lt;=analysis_period),IF(B$654=0,0,B$642/B$654),0))</f>
        <v>N/A</v>
      </c>
      <c r="C645" s="119" t="str">
        <f t="shared" si="308"/>
        <v>N/A</v>
      </c>
      <c r="D645" s="119" t="str">
        <f t="shared" si="308"/>
        <v>N/A</v>
      </c>
      <c r="E645" s="119" t="str">
        <f t="shared" si="308"/>
        <v>N/A</v>
      </c>
      <c r="F645" s="119" t="str">
        <f t="shared" si="308"/>
        <v>N/A</v>
      </c>
      <c r="G645" s="119" t="str">
        <f t="shared" si="308"/>
        <v>N/A</v>
      </c>
      <c r="H645" s="119" t="str">
        <f t="shared" si="308"/>
        <v>N/A</v>
      </c>
      <c r="I645" s="119" t="str">
        <f t="shared" si="308"/>
        <v>N/A</v>
      </c>
      <c r="J645" s="119" t="str">
        <f t="shared" si="308"/>
        <v>N/A</v>
      </c>
      <c r="K645" s="119" t="str">
        <f t="shared" si="308"/>
        <v>N/A</v>
      </c>
      <c r="L645" s="119" t="str">
        <f t="shared" si="308"/>
        <v>N/A</v>
      </c>
      <c r="M645" s="119" t="str">
        <f t="shared" si="308"/>
        <v>N/A</v>
      </c>
      <c r="N645" s="119" t="str">
        <f t="shared" si="308"/>
        <v>N/A</v>
      </c>
      <c r="O645" s="119" t="str">
        <f t="shared" si="308"/>
        <v>N/A</v>
      </c>
      <c r="P645" s="119" t="str">
        <f t="shared" si="308"/>
        <v>N/A</v>
      </c>
      <c r="Q645" s="119" t="str">
        <f t="shared" si="308"/>
        <v>N/A</v>
      </c>
      <c r="R645" s="119" t="str">
        <f t="shared" si="308"/>
        <v>N/A</v>
      </c>
      <c r="S645" s="119" t="str">
        <f t="shared" si="308"/>
        <v>N/A</v>
      </c>
      <c r="T645" s="119" t="str">
        <f t="shared" si="308"/>
        <v>N/A</v>
      </c>
      <c r="U645" s="119" t="str">
        <f t="shared" si="308"/>
        <v>N/A</v>
      </c>
      <c r="V645" s="119" t="str">
        <f t="shared" si="308"/>
        <v>N/A</v>
      </c>
      <c r="W645" s="119" t="str">
        <f t="shared" si="308"/>
        <v>N/A</v>
      </c>
      <c r="X645" s="119" t="str">
        <f t="shared" si="308"/>
        <v>N/A</v>
      </c>
      <c r="Y645" s="119" t="str">
        <f t="shared" si="308"/>
        <v>N/A</v>
      </c>
      <c r="Z645" s="119" t="str">
        <f t="shared" si="308"/>
        <v>N/A</v>
      </c>
      <c r="AA645" s="119" t="str">
        <f t="shared" si="308"/>
        <v>N/A</v>
      </c>
      <c r="AB645" s="119" t="str">
        <f t="shared" si="308"/>
        <v>N/A</v>
      </c>
      <c r="AC645" s="119" t="str">
        <f t="shared" si="308"/>
        <v>N/A</v>
      </c>
      <c r="AD645" s="119" t="str">
        <f t="shared" si="308"/>
        <v>N/A</v>
      </c>
      <c r="AE645" s="119" t="str">
        <f t="shared" si="308"/>
        <v>N/A</v>
      </c>
      <c r="AF645" s="119" t="str">
        <f t="shared" si="308"/>
        <v>N/A</v>
      </c>
      <c r="AG645" s="119" t="str">
        <f t="shared" si="308"/>
        <v>N/A</v>
      </c>
      <c r="AH645" s="119" t="str">
        <f t="shared" si="308"/>
        <v>N/A</v>
      </c>
      <c r="AI645" s="119" t="str">
        <f t="shared" si="308"/>
        <v>N/A</v>
      </c>
      <c r="AJ645" s="119" t="str">
        <f t="shared" si="308"/>
        <v>N/A</v>
      </c>
      <c r="AK645" s="119" t="str">
        <f t="shared" si="308"/>
        <v>N/A</v>
      </c>
      <c r="AL645" s="119" t="str">
        <f t="shared" si="308"/>
        <v>N/A</v>
      </c>
      <c r="AM645" s="119" t="str">
        <f t="shared" si="308"/>
        <v>N/A</v>
      </c>
      <c r="AN645" s="119" t="str">
        <f t="shared" si="308"/>
        <v>N/A</v>
      </c>
      <c r="AO645" s="119" t="str">
        <f t="shared" si="308"/>
        <v>N/A</v>
      </c>
      <c r="AP645" s="119" t="str">
        <f t="shared" si="308"/>
        <v>N/A</v>
      </c>
    </row>
    <row r="646" spans="1:42" x14ac:dyDescent="0.2">
      <c r="A646" s="89" t="s">
        <v>382</v>
      </c>
      <c r="B646" s="119" t="str">
        <f t="shared" ref="B646:AP646" si="309">IF(dscr_limit_debt_fraction="Yes",B$642/$B$656,B$645)</f>
        <v>N/A</v>
      </c>
      <c r="C646" s="119" t="str">
        <f t="shared" si="309"/>
        <v>N/A</v>
      </c>
      <c r="D646" s="119" t="str">
        <f t="shared" si="309"/>
        <v>N/A</v>
      </c>
      <c r="E646" s="119" t="str">
        <f t="shared" si="309"/>
        <v>N/A</v>
      </c>
      <c r="F646" s="119" t="str">
        <f t="shared" si="309"/>
        <v>N/A</v>
      </c>
      <c r="G646" s="119" t="str">
        <f t="shared" si="309"/>
        <v>N/A</v>
      </c>
      <c r="H646" s="119" t="str">
        <f t="shared" si="309"/>
        <v>N/A</v>
      </c>
      <c r="I646" s="119" t="str">
        <f t="shared" si="309"/>
        <v>N/A</v>
      </c>
      <c r="J646" s="119" t="str">
        <f t="shared" si="309"/>
        <v>N/A</v>
      </c>
      <c r="K646" s="119" t="str">
        <f t="shared" si="309"/>
        <v>N/A</v>
      </c>
      <c r="L646" s="119" t="str">
        <f t="shared" si="309"/>
        <v>N/A</v>
      </c>
      <c r="M646" s="119" t="str">
        <f t="shared" si="309"/>
        <v>N/A</v>
      </c>
      <c r="N646" s="119" t="str">
        <f t="shared" si="309"/>
        <v>N/A</v>
      </c>
      <c r="O646" s="119" t="str">
        <f t="shared" si="309"/>
        <v>N/A</v>
      </c>
      <c r="P646" s="119" t="str">
        <f t="shared" si="309"/>
        <v>N/A</v>
      </c>
      <c r="Q646" s="119" t="str">
        <f t="shared" si="309"/>
        <v>N/A</v>
      </c>
      <c r="R646" s="119" t="str">
        <f t="shared" si="309"/>
        <v>N/A</v>
      </c>
      <c r="S646" s="119" t="str">
        <f t="shared" si="309"/>
        <v>N/A</v>
      </c>
      <c r="T646" s="119" t="str">
        <f t="shared" si="309"/>
        <v>N/A</v>
      </c>
      <c r="U646" s="119" t="str">
        <f t="shared" si="309"/>
        <v>N/A</v>
      </c>
      <c r="V646" s="119" t="str">
        <f t="shared" si="309"/>
        <v>N/A</v>
      </c>
      <c r="W646" s="119" t="str">
        <f t="shared" si="309"/>
        <v>N/A</v>
      </c>
      <c r="X646" s="119" t="str">
        <f t="shared" si="309"/>
        <v>N/A</v>
      </c>
      <c r="Y646" s="119" t="str">
        <f t="shared" si="309"/>
        <v>N/A</v>
      </c>
      <c r="Z646" s="119" t="str">
        <f t="shared" si="309"/>
        <v>N/A</v>
      </c>
      <c r="AA646" s="119" t="str">
        <f t="shared" si="309"/>
        <v>N/A</v>
      </c>
      <c r="AB646" s="119" t="str">
        <f t="shared" si="309"/>
        <v>N/A</v>
      </c>
      <c r="AC646" s="119" t="str">
        <f t="shared" si="309"/>
        <v>N/A</v>
      </c>
      <c r="AD646" s="119" t="str">
        <f t="shared" si="309"/>
        <v>N/A</v>
      </c>
      <c r="AE646" s="119" t="str">
        <f t="shared" si="309"/>
        <v>N/A</v>
      </c>
      <c r="AF646" s="119" t="str">
        <f t="shared" si="309"/>
        <v>N/A</v>
      </c>
      <c r="AG646" s="119" t="str">
        <f t="shared" si="309"/>
        <v>N/A</v>
      </c>
      <c r="AH646" s="119" t="str">
        <f t="shared" si="309"/>
        <v>N/A</v>
      </c>
      <c r="AI646" s="119" t="str">
        <f t="shared" si="309"/>
        <v>N/A</v>
      </c>
      <c r="AJ646" s="119" t="str">
        <f t="shared" si="309"/>
        <v>N/A</v>
      </c>
      <c r="AK646" s="119" t="str">
        <f t="shared" si="309"/>
        <v>N/A</v>
      </c>
      <c r="AL646" s="119" t="str">
        <f t="shared" si="309"/>
        <v>N/A</v>
      </c>
      <c r="AM646" s="119" t="str">
        <f t="shared" si="309"/>
        <v>N/A</v>
      </c>
      <c r="AN646" s="119" t="str">
        <f t="shared" si="309"/>
        <v>N/A</v>
      </c>
      <c r="AO646" s="119" t="str">
        <f t="shared" si="309"/>
        <v>N/A</v>
      </c>
      <c r="AP646" s="119" t="str">
        <f t="shared" si="309"/>
        <v>N/A</v>
      </c>
    </row>
    <row r="647" spans="1:42" x14ac:dyDescent="0.2">
      <c r="A647" s="88" t="s">
        <v>223</v>
      </c>
      <c r="B647" s="180">
        <f>IF(MortgageSizeOfDebt="N/A",IF(dscr_limit_debt_fraction="Yes",SUM(B646:AP646),SUM(B645:AP645)),MortgageSizeOfDebt)</f>
        <v>0</v>
      </c>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row>
    <row r="648" spans="1:42" x14ac:dyDescent="0.2">
      <c r="A648" s="18"/>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row>
    <row r="649" spans="1:42" x14ac:dyDescent="0.2">
      <c r="A649" s="18" t="s">
        <v>291</v>
      </c>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row>
    <row r="650" spans="1:42" x14ac:dyDescent="0.2">
      <c r="A650" s="22" t="s">
        <v>292</v>
      </c>
      <c r="B650" s="119"/>
      <c r="C650" s="119">
        <f t="shared" ref="C650:AP650" si="310">IF(term_tenor="N/A",0,IF(C$2&gt;term_tenor,0,IF(DebtPercent&lt;&gt;"Calculated","N/A",IF(C$654=0,0,C$640/C$654))))</f>
        <v>0</v>
      </c>
      <c r="D650" s="119">
        <f t="shared" si="310"/>
        <v>0</v>
      </c>
      <c r="E650" s="119">
        <f t="shared" si="310"/>
        <v>0</v>
      </c>
      <c r="F650" s="119">
        <f t="shared" si="310"/>
        <v>0</v>
      </c>
      <c r="G650" s="119">
        <f t="shared" si="310"/>
        <v>0</v>
      </c>
      <c r="H650" s="119">
        <f t="shared" si="310"/>
        <v>0</v>
      </c>
      <c r="I650" s="119">
        <f t="shared" si="310"/>
        <v>0</v>
      </c>
      <c r="J650" s="119">
        <f t="shared" si="310"/>
        <v>0</v>
      </c>
      <c r="K650" s="119">
        <f t="shared" si="310"/>
        <v>0</v>
      </c>
      <c r="L650" s="119">
        <f t="shared" si="310"/>
        <v>0</v>
      </c>
      <c r="M650" s="119">
        <f t="shared" si="310"/>
        <v>0</v>
      </c>
      <c r="N650" s="119">
        <f t="shared" si="310"/>
        <v>0</v>
      </c>
      <c r="O650" s="119">
        <f t="shared" si="310"/>
        <v>0</v>
      </c>
      <c r="P650" s="119">
        <f t="shared" si="310"/>
        <v>0</v>
      </c>
      <c r="Q650" s="119">
        <f t="shared" si="310"/>
        <v>0</v>
      </c>
      <c r="R650" s="119">
        <f t="shared" si="310"/>
        <v>0</v>
      </c>
      <c r="S650" s="119">
        <f t="shared" si="310"/>
        <v>0</v>
      </c>
      <c r="T650" s="119">
        <f t="shared" si="310"/>
        <v>0</v>
      </c>
      <c r="U650" s="119">
        <f t="shared" si="310"/>
        <v>0</v>
      </c>
      <c r="V650" s="119">
        <f t="shared" si="310"/>
        <v>0</v>
      </c>
      <c r="W650" s="119">
        <f t="shared" si="310"/>
        <v>0</v>
      </c>
      <c r="X650" s="119">
        <f t="shared" si="310"/>
        <v>0</v>
      </c>
      <c r="Y650" s="119">
        <f t="shared" si="310"/>
        <v>0</v>
      </c>
      <c r="Z650" s="119">
        <f t="shared" si="310"/>
        <v>0</v>
      </c>
      <c r="AA650" s="119">
        <f t="shared" si="310"/>
        <v>0</v>
      </c>
      <c r="AB650" s="119">
        <f t="shared" si="310"/>
        <v>0</v>
      </c>
      <c r="AC650" s="119">
        <f t="shared" si="310"/>
        <v>0</v>
      </c>
      <c r="AD650" s="119">
        <f t="shared" si="310"/>
        <v>0</v>
      </c>
      <c r="AE650" s="119">
        <f t="shared" si="310"/>
        <v>0</v>
      </c>
      <c r="AF650" s="119">
        <f t="shared" si="310"/>
        <v>0</v>
      </c>
      <c r="AG650" s="119">
        <f t="shared" si="310"/>
        <v>0</v>
      </c>
      <c r="AH650" s="119">
        <f t="shared" si="310"/>
        <v>0</v>
      </c>
      <c r="AI650" s="119">
        <f t="shared" si="310"/>
        <v>0</v>
      </c>
      <c r="AJ650" s="119">
        <f t="shared" si="310"/>
        <v>0</v>
      </c>
      <c r="AK650" s="119">
        <f t="shared" si="310"/>
        <v>0</v>
      </c>
      <c r="AL650" s="119">
        <f t="shared" si="310"/>
        <v>0</v>
      </c>
      <c r="AM650" s="119">
        <f t="shared" si="310"/>
        <v>0</v>
      </c>
      <c r="AN650" s="119">
        <f t="shared" si="310"/>
        <v>0</v>
      </c>
      <c r="AO650" s="119">
        <f t="shared" si="310"/>
        <v>0</v>
      </c>
      <c r="AP650" s="119">
        <f t="shared" si="310"/>
        <v>0</v>
      </c>
    </row>
    <row r="651" spans="1:42" x14ac:dyDescent="0.2">
      <c r="A651" s="22" t="s">
        <v>293</v>
      </c>
      <c r="B651" s="119"/>
      <c r="C651" s="119">
        <f t="shared" ref="C651:AP651" si="311">IF(term_tenor="N/A",0,IF(C$2&gt;term_tenor,0,IF(DebtPayment="Fixed principal","N/A",IF(DebtPercent="Calculated","N/A",IF(C$2&lt;loan_moratorium,C$633,IF(AND(C$2&lt;=term_tenor,C$2&lt;=analysis_period),-PMT(term_int_rate/100,term_tenor-loan_moratorium,$B$647),0))))))</f>
        <v>0</v>
      </c>
      <c r="D651" s="119">
        <f t="shared" si="311"/>
        <v>0</v>
      </c>
      <c r="E651" s="119">
        <f t="shared" si="311"/>
        <v>0</v>
      </c>
      <c r="F651" s="119">
        <f t="shared" si="311"/>
        <v>0</v>
      </c>
      <c r="G651" s="119">
        <f t="shared" si="311"/>
        <v>0</v>
      </c>
      <c r="H651" s="119">
        <f t="shared" si="311"/>
        <v>0</v>
      </c>
      <c r="I651" s="119">
        <f t="shared" si="311"/>
        <v>0</v>
      </c>
      <c r="J651" s="119">
        <f t="shared" si="311"/>
        <v>0</v>
      </c>
      <c r="K651" s="119">
        <f t="shared" si="311"/>
        <v>0</v>
      </c>
      <c r="L651" s="119">
        <f t="shared" si="311"/>
        <v>0</v>
      </c>
      <c r="M651" s="119">
        <f t="shared" si="311"/>
        <v>0</v>
      </c>
      <c r="N651" s="119">
        <f t="shared" si="311"/>
        <v>0</v>
      </c>
      <c r="O651" s="119">
        <f t="shared" si="311"/>
        <v>0</v>
      </c>
      <c r="P651" s="119">
        <f t="shared" si="311"/>
        <v>0</v>
      </c>
      <c r="Q651" s="119">
        <f t="shared" si="311"/>
        <v>0</v>
      </c>
      <c r="R651" s="119">
        <f t="shared" si="311"/>
        <v>0</v>
      </c>
      <c r="S651" s="119">
        <f t="shared" si="311"/>
        <v>0</v>
      </c>
      <c r="T651" s="119">
        <f t="shared" si="311"/>
        <v>0</v>
      </c>
      <c r="U651" s="119">
        <f t="shared" si="311"/>
        <v>0</v>
      </c>
      <c r="V651" s="119">
        <f t="shared" si="311"/>
        <v>0</v>
      </c>
      <c r="W651" s="119">
        <f t="shared" si="311"/>
        <v>0</v>
      </c>
      <c r="X651" s="119">
        <f t="shared" si="311"/>
        <v>0</v>
      </c>
      <c r="Y651" s="119">
        <f t="shared" si="311"/>
        <v>0</v>
      </c>
      <c r="Z651" s="119">
        <f t="shared" si="311"/>
        <v>0</v>
      </c>
      <c r="AA651" s="119">
        <f t="shared" si="311"/>
        <v>0</v>
      </c>
      <c r="AB651" s="119">
        <f t="shared" si="311"/>
        <v>0</v>
      </c>
      <c r="AC651" s="119">
        <f t="shared" si="311"/>
        <v>0</v>
      </c>
      <c r="AD651" s="119">
        <f t="shared" si="311"/>
        <v>0</v>
      </c>
      <c r="AE651" s="119">
        <f t="shared" si="311"/>
        <v>0</v>
      </c>
      <c r="AF651" s="119">
        <f t="shared" si="311"/>
        <v>0</v>
      </c>
      <c r="AG651" s="119">
        <f t="shared" si="311"/>
        <v>0</v>
      </c>
      <c r="AH651" s="119">
        <f t="shared" si="311"/>
        <v>0</v>
      </c>
      <c r="AI651" s="119">
        <f t="shared" si="311"/>
        <v>0</v>
      </c>
      <c r="AJ651" s="119">
        <f t="shared" si="311"/>
        <v>0</v>
      </c>
      <c r="AK651" s="119">
        <f t="shared" si="311"/>
        <v>0</v>
      </c>
      <c r="AL651" s="119">
        <f t="shared" si="311"/>
        <v>0</v>
      </c>
      <c r="AM651" s="119">
        <f t="shared" si="311"/>
        <v>0</v>
      </c>
      <c r="AN651" s="119">
        <f t="shared" si="311"/>
        <v>0</v>
      </c>
      <c r="AO651" s="119">
        <f t="shared" si="311"/>
        <v>0</v>
      </c>
      <c r="AP651" s="119">
        <f t="shared" si="311"/>
        <v>0</v>
      </c>
    </row>
    <row r="652" spans="1:42" x14ac:dyDescent="0.2">
      <c r="A652" s="22" t="s">
        <v>294</v>
      </c>
      <c r="B652" s="119"/>
      <c r="C652" s="119">
        <f t="shared" ref="C652:AP652" si="312">IF(term_tenor="N/A",0,IF(C$2&gt;term_tenor,0,IF(DebtPayment="Equal Payments","N/A",IF($B$647="N/A","N/A",IF(C$2&lt;=loan_moratorium,0,$B$647/(term_tenor-loan_moratorium))))))</f>
        <v>0</v>
      </c>
      <c r="D652" s="119">
        <f t="shared" si="312"/>
        <v>0</v>
      </c>
      <c r="E652" s="119">
        <f t="shared" si="312"/>
        <v>0</v>
      </c>
      <c r="F652" s="119">
        <f t="shared" si="312"/>
        <v>0</v>
      </c>
      <c r="G652" s="119">
        <f t="shared" si="312"/>
        <v>0</v>
      </c>
      <c r="H652" s="119">
        <f t="shared" si="312"/>
        <v>0</v>
      </c>
      <c r="I652" s="119">
        <f t="shared" si="312"/>
        <v>0</v>
      </c>
      <c r="J652" s="119">
        <f t="shared" si="312"/>
        <v>0</v>
      </c>
      <c r="K652" s="119">
        <f t="shared" si="312"/>
        <v>0</v>
      </c>
      <c r="L652" s="119">
        <f t="shared" si="312"/>
        <v>0</v>
      </c>
      <c r="M652" s="119">
        <f t="shared" si="312"/>
        <v>0</v>
      </c>
      <c r="N652" s="119">
        <f t="shared" si="312"/>
        <v>0</v>
      </c>
      <c r="O652" s="119">
        <f t="shared" si="312"/>
        <v>0</v>
      </c>
      <c r="P652" s="119">
        <f t="shared" si="312"/>
        <v>0</v>
      </c>
      <c r="Q652" s="119">
        <f t="shared" si="312"/>
        <v>0</v>
      </c>
      <c r="R652" s="119">
        <f t="shared" si="312"/>
        <v>0</v>
      </c>
      <c r="S652" s="119">
        <f t="shared" si="312"/>
        <v>0</v>
      </c>
      <c r="T652" s="119">
        <f t="shared" si="312"/>
        <v>0</v>
      </c>
      <c r="U652" s="119">
        <f t="shared" si="312"/>
        <v>0</v>
      </c>
      <c r="V652" s="119">
        <f t="shared" si="312"/>
        <v>0</v>
      </c>
      <c r="W652" s="119">
        <f t="shared" si="312"/>
        <v>0</v>
      </c>
      <c r="X652" s="119">
        <f t="shared" si="312"/>
        <v>0</v>
      </c>
      <c r="Y652" s="119">
        <f t="shared" si="312"/>
        <v>0</v>
      </c>
      <c r="Z652" s="119">
        <f t="shared" si="312"/>
        <v>0</v>
      </c>
      <c r="AA652" s="119">
        <f t="shared" si="312"/>
        <v>0</v>
      </c>
      <c r="AB652" s="119">
        <f t="shared" si="312"/>
        <v>0</v>
      </c>
      <c r="AC652" s="119">
        <f t="shared" si="312"/>
        <v>0</v>
      </c>
      <c r="AD652" s="119">
        <f t="shared" si="312"/>
        <v>0</v>
      </c>
      <c r="AE652" s="119">
        <f t="shared" si="312"/>
        <v>0</v>
      </c>
      <c r="AF652" s="119">
        <f t="shared" si="312"/>
        <v>0</v>
      </c>
      <c r="AG652" s="119">
        <f t="shared" si="312"/>
        <v>0</v>
      </c>
      <c r="AH652" s="119">
        <f t="shared" si="312"/>
        <v>0</v>
      </c>
      <c r="AI652" s="119">
        <f t="shared" si="312"/>
        <v>0</v>
      </c>
      <c r="AJ652" s="119">
        <f t="shared" si="312"/>
        <v>0</v>
      </c>
      <c r="AK652" s="119">
        <f t="shared" si="312"/>
        <v>0</v>
      </c>
      <c r="AL652" s="119">
        <f t="shared" si="312"/>
        <v>0</v>
      </c>
      <c r="AM652" s="119">
        <f t="shared" si="312"/>
        <v>0</v>
      </c>
      <c r="AN652" s="119">
        <f t="shared" si="312"/>
        <v>0</v>
      </c>
      <c r="AO652" s="119">
        <f t="shared" si="312"/>
        <v>0</v>
      </c>
      <c r="AP652" s="119">
        <f t="shared" si="312"/>
        <v>0</v>
      </c>
    </row>
    <row r="653" spans="1:42" x14ac:dyDescent="0.2">
      <c r="A653" s="22"/>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row>
    <row r="654" spans="1:42" x14ac:dyDescent="0.2">
      <c r="A654" s="18" t="s">
        <v>257</v>
      </c>
      <c r="B654" s="106">
        <f>MIN(C654:AP654)</f>
        <v>0</v>
      </c>
      <c r="C654" s="108" t="str">
        <f t="shared" ref="C654:AP654" si="313">IF(DebtServiceCoverageRatio="Calculated",IF(AND(C$2&lt;=term_tenor,C$2&lt;=analysis_period),C$640/C$632,"N/A"),IF(AND(C$2&lt;=term_tenor,C$2&lt;=analysis_period),DebtServiceCoverageRatio,"N/A"))</f>
        <v>N/A</v>
      </c>
      <c r="D654" s="108" t="str">
        <f t="shared" si="313"/>
        <v>N/A</v>
      </c>
      <c r="E654" s="108" t="str">
        <f t="shared" si="313"/>
        <v>N/A</v>
      </c>
      <c r="F654" s="108" t="str">
        <f t="shared" si="313"/>
        <v>N/A</v>
      </c>
      <c r="G654" s="108" t="str">
        <f t="shared" si="313"/>
        <v>N/A</v>
      </c>
      <c r="H654" s="108" t="str">
        <f t="shared" si="313"/>
        <v>N/A</v>
      </c>
      <c r="I654" s="108" t="str">
        <f t="shared" si="313"/>
        <v>N/A</v>
      </c>
      <c r="J654" s="108" t="str">
        <f t="shared" si="313"/>
        <v>N/A</v>
      </c>
      <c r="K654" s="108" t="str">
        <f t="shared" si="313"/>
        <v>N/A</v>
      </c>
      <c r="L654" s="108" t="str">
        <f t="shared" si="313"/>
        <v>N/A</v>
      </c>
      <c r="M654" s="108" t="str">
        <f t="shared" si="313"/>
        <v>N/A</v>
      </c>
      <c r="N654" s="108" t="str">
        <f t="shared" si="313"/>
        <v>N/A</v>
      </c>
      <c r="O654" s="108" t="str">
        <f t="shared" si="313"/>
        <v>N/A</v>
      </c>
      <c r="P654" s="108" t="str">
        <f t="shared" si="313"/>
        <v>N/A</v>
      </c>
      <c r="Q654" s="108" t="str">
        <f t="shared" si="313"/>
        <v>N/A</v>
      </c>
      <c r="R654" s="108" t="str">
        <f t="shared" si="313"/>
        <v>N/A</v>
      </c>
      <c r="S654" s="108" t="str">
        <f t="shared" si="313"/>
        <v>N/A</v>
      </c>
      <c r="T654" s="108" t="str">
        <f t="shared" si="313"/>
        <v>N/A</v>
      </c>
      <c r="U654" s="108" t="str">
        <f t="shared" si="313"/>
        <v>N/A</v>
      </c>
      <c r="V654" s="108" t="str">
        <f t="shared" si="313"/>
        <v>N/A</v>
      </c>
      <c r="W654" s="108" t="str">
        <f t="shared" si="313"/>
        <v>N/A</v>
      </c>
      <c r="X654" s="108" t="str">
        <f t="shared" si="313"/>
        <v>N/A</v>
      </c>
      <c r="Y654" s="108" t="str">
        <f t="shared" si="313"/>
        <v>N/A</v>
      </c>
      <c r="Z654" s="108" t="str">
        <f t="shared" si="313"/>
        <v>N/A</v>
      </c>
      <c r="AA654" s="108" t="str">
        <f t="shared" si="313"/>
        <v>N/A</v>
      </c>
      <c r="AB654" s="108" t="str">
        <f t="shared" si="313"/>
        <v>N/A</v>
      </c>
      <c r="AC654" s="108" t="str">
        <f t="shared" si="313"/>
        <v>N/A</v>
      </c>
      <c r="AD654" s="108" t="str">
        <f t="shared" si="313"/>
        <v>N/A</v>
      </c>
      <c r="AE654" s="108" t="str">
        <f t="shared" si="313"/>
        <v>N/A</v>
      </c>
      <c r="AF654" s="108" t="str">
        <f t="shared" si="313"/>
        <v>N/A</v>
      </c>
      <c r="AG654" s="108" t="str">
        <f t="shared" si="313"/>
        <v>N/A</v>
      </c>
      <c r="AH654" s="108" t="str">
        <f t="shared" si="313"/>
        <v>N/A</v>
      </c>
      <c r="AI654" s="108" t="str">
        <f t="shared" si="313"/>
        <v>N/A</v>
      </c>
      <c r="AJ654" s="108" t="str">
        <f t="shared" si="313"/>
        <v>N/A</v>
      </c>
      <c r="AK654" s="108" t="str">
        <f t="shared" si="313"/>
        <v>N/A</v>
      </c>
      <c r="AL654" s="108" t="str">
        <f t="shared" si="313"/>
        <v>N/A</v>
      </c>
      <c r="AM654" s="108" t="str">
        <f t="shared" si="313"/>
        <v>N/A</v>
      </c>
      <c r="AN654" s="108" t="str">
        <f t="shared" si="313"/>
        <v>N/A</v>
      </c>
      <c r="AO654" s="108" t="str">
        <f t="shared" si="313"/>
        <v>N/A</v>
      </c>
      <c r="AP654" s="108" t="str">
        <f t="shared" si="313"/>
        <v>N/A</v>
      </c>
    </row>
    <row r="655" spans="1:42" x14ac:dyDescent="0.2">
      <c r="A655" s="88" t="s">
        <v>382</v>
      </c>
      <c r="B655" s="106">
        <f>IF(dscr_limit_debt_fraction="Yes",SUM(B645:AP645)/(-$B$105*dscr_maximum_debt_fraction/100)*DebtServiceCoverageRatio,B$654)</f>
        <v>0</v>
      </c>
      <c r="C655" s="108" t="str">
        <f t="shared" ref="C655:AP655" si="314">IF(dscr_limit_debt_fraction="Yes",$B$655,C$654)</f>
        <v>N/A</v>
      </c>
      <c r="D655" s="108" t="str">
        <f t="shared" si="314"/>
        <v>N/A</v>
      </c>
      <c r="E655" s="108" t="str">
        <f t="shared" si="314"/>
        <v>N/A</v>
      </c>
      <c r="F655" s="108" t="str">
        <f t="shared" si="314"/>
        <v>N/A</v>
      </c>
      <c r="G655" s="108" t="str">
        <f t="shared" si="314"/>
        <v>N/A</v>
      </c>
      <c r="H655" s="108" t="str">
        <f t="shared" si="314"/>
        <v>N/A</v>
      </c>
      <c r="I655" s="108" t="str">
        <f t="shared" si="314"/>
        <v>N/A</v>
      </c>
      <c r="J655" s="108" t="str">
        <f t="shared" si="314"/>
        <v>N/A</v>
      </c>
      <c r="K655" s="108" t="str">
        <f t="shared" si="314"/>
        <v>N/A</v>
      </c>
      <c r="L655" s="108" t="str">
        <f t="shared" si="314"/>
        <v>N/A</v>
      </c>
      <c r="M655" s="108" t="str">
        <f t="shared" si="314"/>
        <v>N/A</v>
      </c>
      <c r="N655" s="108" t="str">
        <f t="shared" si="314"/>
        <v>N/A</v>
      </c>
      <c r="O655" s="108" t="str">
        <f t="shared" si="314"/>
        <v>N/A</v>
      </c>
      <c r="P655" s="108" t="str">
        <f t="shared" si="314"/>
        <v>N/A</v>
      </c>
      <c r="Q655" s="108" t="str">
        <f t="shared" si="314"/>
        <v>N/A</v>
      </c>
      <c r="R655" s="108" t="str">
        <f t="shared" si="314"/>
        <v>N/A</v>
      </c>
      <c r="S655" s="108" t="str">
        <f t="shared" si="314"/>
        <v>N/A</v>
      </c>
      <c r="T655" s="108" t="str">
        <f t="shared" si="314"/>
        <v>N/A</v>
      </c>
      <c r="U655" s="108" t="str">
        <f t="shared" si="314"/>
        <v>N/A</v>
      </c>
      <c r="V655" s="108" t="str">
        <f t="shared" si="314"/>
        <v>N/A</v>
      </c>
      <c r="W655" s="108" t="str">
        <f t="shared" si="314"/>
        <v>N/A</v>
      </c>
      <c r="X655" s="108" t="str">
        <f t="shared" si="314"/>
        <v>N/A</v>
      </c>
      <c r="Y655" s="108" t="str">
        <f t="shared" si="314"/>
        <v>N/A</v>
      </c>
      <c r="Z655" s="108" t="str">
        <f t="shared" si="314"/>
        <v>N/A</v>
      </c>
      <c r="AA655" s="108" t="str">
        <f t="shared" si="314"/>
        <v>N/A</v>
      </c>
      <c r="AB655" s="108" t="str">
        <f t="shared" si="314"/>
        <v>N/A</v>
      </c>
      <c r="AC655" s="108" t="str">
        <f t="shared" si="314"/>
        <v>N/A</v>
      </c>
      <c r="AD655" s="108" t="str">
        <f t="shared" si="314"/>
        <v>N/A</v>
      </c>
      <c r="AE655" s="108" t="str">
        <f t="shared" si="314"/>
        <v>N/A</v>
      </c>
      <c r="AF655" s="108" t="str">
        <f t="shared" si="314"/>
        <v>N/A</v>
      </c>
      <c r="AG655" s="108" t="str">
        <f t="shared" si="314"/>
        <v>N/A</v>
      </c>
      <c r="AH655" s="108" t="str">
        <f t="shared" si="314"/>
        <v>N/A</v>
      </c>
      <c r="AI655" s="108" t="str">
        <f t="shared" si="314"/>
        <v>N/A</v>
      </c>
      <c r="AJ655" s="108" t="str">
        <f t="shared" si="314"/>
        <v>N/A</v>
      </c>
      <c r="AK655" s="108" t="str">
        <f t="shared" si="314"/>
        <v>N/A</v>
      </c>
      <c r="AL655" s="108" t="str">
        <f t="shared" si="314"/>
        <v>N/A</v>
      </c>
      <c r="AM655" s="108" t="str">
        <f t="shared" si="314"/>
        <v>N/A</v>
      </c>
      <c r="AN655" s="108" t="str">
        <f t="shared" si="314"/>
        <v>N/A</v>
      </c>
      <c r="AO655" s="108" t="str">
        <f t="shared" si="314"/>
        <v>N/A</v>
      </c>
      <c r="AP655" s="108" t="str">
        <f t="shared" si="314"/>
        <v>N/A</v>
      </c>
    </row>
    <row r="656" spans="1:42" x14ac:dyDescent="0.2">
      <c r="A656" s="23"/>
      <c r="B656" s="183"/>
    </row>
    <row r="657" spans="1:42" x14ac:dyDescent="0.2">
      <c r="A657" s="84" t="s">
        <v>74</v>
      </c>
      <c r="B657" s="216"/>
      <c r="C657" s="216"/>
      <c r="D657" s="216"/>
      <c r="E657" s="216"/>
      <c r="F657" s="216"/>
      <c r="G657" s="216"/>
      <c r="H657" s="216"/>
      <c r="I657" s="216"/>
      <c r="J657" s="216"/>
      <c r="K657" s="216"/>
      <c r="L657" s="216"/>
      <c r="M657" s="216"/>
      <c r="N657" s="216"/>
      <c r="O657" s="216"/>
      <c r="P657" s="216"/>
      <c r="Q657" s="216"/>
      <c r="R657" s="216"/>
      <c r="S657" s="216"/>
      <c r="T657" s="216"/>
      <c r="U657" s="216"/>
      <c r="V657" s="216"/>
      <c r="W657" s="216"/>
      <c r="X657" s="216"/>
      <c r="Y657" s="216"/>
      <c r="Z657" s="216"/>
      <c r="AA657" s="216"/>
      <c r="AB657" s="216"/>
      <c r="AC657" s="216"/>
      <c r="AD657" s="216"/>
      <c r="AE657" s="216"/>
      <c r="AF657" s="216"/>
      <c r="AG657" s="216"/>
      <c r="AH657" s="216"/>
      <c r="AI657" s="216"/>
      <c r="AJ657" s="216"/>
      <c r="AK657" s="216"/>
      <c r="AL657" s="216"/>
      <c r="AM657" s="216"/>
      <c r="AN657" s="216"/>
      <c r="AO657" s="216"/>
      <c r="AP657" s="216"/>
    </row>
    <row r="658" spans="1:42" x14ac:dyDescent="0.2">
      <c r="A658" s="20" t="s">
        <v>296</v>
      </c>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5"/>
    </row>
    <row r="659" spans="1:42" x14ac:dyDescent="0.2">
      <c r="A659" s="4" t="s">
        <v>297</v>
      </c>
      <c r="B659" s="158">
        <v>0</v>
      </c>
      <c r="C659" s="158">
        <f>B662</f>
        <v>0</v>
      </c>
      <c r="D659" s="158">
        <f t="shared" ref="D659:AP659" si="315">C662</f>
        <v>0</v>
      </c>
      <c r="E659" s="158">
        <f t="shared" si="315"/>
        <v>0</v>
      </c>
      <c r="F659" s="158">
        <f t="shared" si="315"/>
        <v>0</v>
      </c>
      <c r="G659" s="158">
        <f t="shared" si="315"/>
        <v>0</v>
      </c>
      <c r="H659" s="158">
        <f t="shared" si="315"/>
        <v>0</v>
      </c>
      <c r="I659" s="158">
        <f t="shared" si="315"/>
        <v>0</v>
      </c>
      <c r="J659" s="158">
        <f t="shared" si="315"/>
        <v>0</v>
      </c>
      <c r="K659" s="158">
        <f t="shared" si="315"/>
        <v>0</v>
      </c>
      <c r="L659" s="158">
        <f t="shared" si="315"/>
        <v>0</v>
      </c>
      <c r="M659" s="158">
        <f t="shared" si="315"/>
        <v>0</v>
      </c>
      <c r="N659" s="158">
        <f t="shared" si="315"/>
        <v>0</v>
      </c>
      <c r="O659" s="158">
        <f t="shared" si="315"/>
        <v>0</v>
      </c>
      <c r="P659" s="158">
        <f t="shared" si="315"/>
        <v>0</v>
      </c>
      <c r="Q659" s="158">
        <f t="shared" si="315"/>
        <v>0</v>
      </c>
      <c r="R659" s="158">
        <f t="shared" si="315"/>
        <v>0</v>
      </c>
      <c r="S659" s="158">
        <f t="shared" si="315"/>
        <v>0</v>
      </c>
      <c r="T659" s="158">
        <f t="shared" si="315"/>
        <v>0</v>
      </c>
      <c r="U659" s="158">
        <f t="shared" si="315"/>
        <v>0</v>
      </c>
      <c r="V659" s="158">
        <f t="shared" si="315"/>
        <v>0</v>
      </c>
      <c r="W659" s="158">
        <f t="shared" si="315"/>
        <v>0</v>
      </c>
      <c r="X659" s="158">
        <f t="shared" si="315"/>
        <v>0</v>
      </c>
      <c r="Y659" s="158">
        <f t="shared" si="315"/>
        <v>0</v>
      </c>
      <c r="Z659" s="158">
        <f t="shared" si="315"/>
        <v>0</v>
      </c>
      <c r="AA659" s="158">
        <f t="shared" si="315"/>
        <v>0</v>
      </c>
      <c r="AB659" s="158">
        <f t="shared" si="315"/>
        <v>0</v>
      </c>
      <c r="AC659" s="158">
        <f t="shared" si="315"/>
        <v>0</v>
      </c>
      <c r="AD659" s="158">
        <f t="shared" si="315"/>
        <v>0</v>
      </c>
      <c r="AE659" s="158">
        <f t="shared" si="315"/>
        <v>0</v>
      </c>
      <c r="AF659" s="158">
        <f t="shared" si="315"/>
        <v>0</v>
      </c>
      <c r="AG659" s="158">
        <f t="shared" si="315"/>
        <v>0</v>
      </c>
      <c r="AH659" s="158">
        <f t="shared" si="315"/>
        <v>0</v>
      </c>
      <c r="AI659" s="158">
        <f t="shared" si="315"/>
        <v>0</v>
      </c>
      <c r="AJ659" s="158">
        <f t="shared" si="315"/>
        <v>0</v>
      </c>
      <c r="AK659" s="158">
        <f t="shared" si="315"/>
        <v>0</v>
      </c>
      <c r="AL659" s="158">
        <f t="shared" si="315"/>
        <v>0</v>
      </c>
      <c r="AM659" s="158">
        <f t="shared" si="315"/>
        <v>0</v>
      </c>
      <c r="AN659" s="158">
        <f t="shared" si="315"/>
        <v>0</v>
      </c>
      <c r="AO659" s="158">
        <f t="shared" si="315"/>
        <v>0</v>
      </c>
      <c r="AP659" s="158">
        <f t="shared" si="315"/>
        <v>0</v>
      </c>
    </row>
    <row r="660" spans="1:42" x14ac:dyDescent="0.2">
      <c r="A660" s="4" t="s">
        <v>26</v>
      </c>
      <c r="B660" s="158">
        <f t="array" ref="B660:AP660">Inputs!C216:AQ216</f>
        <v>0</v>
      </c>
      <c r="C660" s="158">
        <v>0</v>
      </c>
      <c r="D660" s="158">
        <v>0</v>
      </c>
      <c r="E660" s="158">
        <v>0</v>
      </c>
      <c r="F660" s="158">
        <v>0</v>
      </c>
      <c r="G660" s="158">
        <v>0</v>
      </c>
      <c r="H660" s="158">
        <v>0</v>
      </c>
      <c r="I660" s="158">
        <v>0</v>
      </c>
      <c r="J660" s="158">
        <v>0</v>
      </c>
      <c r="K660" s="158">
        <v>0</v>
      </c>
      <c r="L660" s="158">
        <v>0</v>
      </c>
      <c r="M660" s="158">
        <v>0</v>
      </c>
      <c r="N660" s="158">
        <v>0</v>
      </c>
      <c r="O660" s="158">
        <v>0</v>
      </c>
      <c r="P660" s="158">
        <v>0</v>
      </c>
      <c r="Q660" s="158">
        <v>0</v>
      </c>
      <c r="R660" s="158">
        <v>0</v>
      </c>
      <c r="S660" s="158">
        <v>0</v>
      </c>
      <c r="T660" s="158">
        <v>0</v>
      </c>
      <c r="U660" s="158">
        <v>0</v>
      </c>
      <c r="V660" s="158">
        <v>0</v>
      </c>
      <c r="W660" s="158">
        <v>0</v>
      </c>
      <c r="X660" s="158">
        <v>0</v>
      </c>
      <c r="Y660" s="158">
        <v>0</v>
      </c>
      <c r="Z660" s="158">
        <v>0</v>
      </c>
      <c r="AA660" s="158">
        <v>0</v>
      </c>
      <c r="AB660" s="158">
        <v>0</v>
      </c>
      <c r="AC660" s="158">
        <v>0</v>
      </c>
      <c r="AD660" s="158">
        <v>0</v>
      </c>
      <c r="AE660" s="158">
        <v>0</v>
      </c>
      <c r="AF660" s="158">
        <v>0</v>
      </c>
      <c r="AG660" s="158">
        <v>0</v>
      </c>
      <c r="AH660" s="158">
        <v>0</v>
      </c>
      <c r="AI660" s="158">
        <v>0</v>
      </c>
      <c r="AJ660" s="158">
        <v>0</v>
      </c>
      <c r="AK660" s="158">
        <v>0</v>
      </c>
      <c r="AL660" s="158">
        <v>0</v>
      </c>
      <c r="AM660" s="158">
        <v>0</v>
      </c>
      <c r="AN660" s="158">
        <v>0</v>
      </c>
      <c r="AO660" s="158">
        <v>0</v>
      </c>
      <c r="AP660" s="158">
        <v>0</v>
      </c>
    </row>
    <row r="661" spans="1:42" x14ac:dyDescent="0.2">
      <c r="A661" s="4" t="s">
        <v>298</v>
      </c>
      <c r="B661" s="159">
        <f t="array" ref="B661:AP661">Inputs!C217:AQ217</f>
        <v>0</v>
      </c>
      <c r="C661" s="159">
        <v>0</v>
      </c>
      <c r="D661" s="159">
        <v>0</v>
      </c>
      <c r="E661" s="159">
        <v>0</v>
      </c>
      <c r="F661" s="159">
        <v>0</v>
      </c>
      <c r="G661" s="159">
        <v>0</v>
      </c>
      <c r="H661" s="159">
        <v>0</v>
      </c>
      <c r="I661" s="159">
        <v>0</v>
      </c>
      <c r="J661" s="159">
        <v>0</v>
      </c>
      <c r="K661" s="159">
        <v>0</v>
      </c>
      <c r="L661" s="159">
        <v>0</v>
      </c>
      <c r="M661" s="159">
        <v>0</v>
      </c>
      <c r="N661" s="159">
        <v>0</v>
      </c>
      <c r="O661" s="159">
        <v>0</v>
      </c>
      <c r="P661" s="159">
        <v>0</v>
      </c>
      <c r="Q661" s="159">
        <v>0</v>
      </c>
      <c r="R661" s="159">
        <v>0</v>
      </c>
      <c r="S661" s="159">
        <v>0</v>
      </c>
      <c r="T661" s="159">
        <v>0</v>
      </c>
      <c r="U661" s="159">
        <v>0</v>
      </c>
      <c r="V661" s="159">
        <v>0</v>
      </c>
      <c r="W661" s="159">
        <v>0</v>
      </c>
      <c r="X661" s="159">
        <v>0</v>
      </c>
      <c r="Y661" s="159">
        <v>0</v>
      </c>
      <c r="Z661" s="159">
        <v>0</v>
      </c>
      <c r="AA661" s="159">
        <v>0</v>
      </c>
      <c r="AB661" s="159">
        <v>0</v>
      </c>
      <c r="AC661" s="159">
        <v>0</v>
      </c>
      <c r="AD661" s="159">
        <v>0</v>
      </c>
      <c r="AE661" s="159">
        <v>0</v>
      </c>
      <c r="AF661" s="159">
        <v>0</v>
      </c>
      <c r="AG661" s="159">
        <v>0</v>
      </c>
      <c r="AH661" s="159">
        <v>0</v>
      </c>
      <c r="AI661" s="159">
        <v>0</v>
      </c>
      <c r="AJ661" s="159">
        <v>0</v>
      </c>
      <c r="AK661" s="159">
        <v>0</v>
      </c>
      <c r="AL661" s="159">
        <v>0</v>
      </c>
      <c r="AM661" s="159">
        <v>0</v>
      </c>
      <c r="AN661" s="159">
        <v>0</v>
      </c>
      <c r="AO661" s="159">
        <v>0</v>
      </c>
      <c r="AP661" s="159">
        <v>0</v>
      </c>
    </row>
    <row r="662" spans="1:42" x14ac:dyDescent="0.2">
      <c r="A662" s="4" t="s">
        <v>258</v>
      </c>
      <c r="B662" s="158">
        <f t="array" ref="B662:AP662">Inputs!C218:AQ218</f>
        <v>0</v>
      </c>
      <c r="C662" s="158">
        <v>0</v>
      </c>
      <c r="D662" s="158">
        <v>0</v>
      </c>
      <c r="E662" s="158">
        <v>0</v>
      </c>
      <c r="F662" s="158">
        <v>0</v>
      </c>
      <c r="G662" s="158">
        <v>0</v>
      </c>
      <c r="H662" s="158">
        <v>0</v>
      </c>
      <c r="I662" s="158">
        <v>0</v>
      </c>
      <c r="J662" s="158">
        <v>0</v>
      </c>
      <c r="K662" s="158">
        <v>0</v>
      </c>
      <c r="L662" s="158">
        <v>0</v>
      </c>
      <c r="M662" s="158">
        <v>0</v>
      </c>
      <c r="N662" s="158">
        <v>0</v>
      </c>
      <c r="O662" s="158">
        <v>0</v>
      </c>
      <c r="P662" s="158">
        <v>0</v>
      </c>
      <c r="Q662" s="158">
        <v>0</v>
      </c>
      <c r="R662" s="158">
        <v>0</v>
      </c>
      <c r="S662" s="158">
        <v>0</v>
      </c>
      <c r="T662" s="158">
        <v>0</v>
      </c>
      <c r="U662" s="158">
        <v>0</v>
      </c>
      <c r="V662" s="158">
        <v>0</v>
      </c>
      <c r="W662" s="158">
        <v>0</v>
      </c>
      <c r="X662" s="158">
        <v>0</v>
      </c>
      <c r="Y662" s="158">
        <v>0</v>
      </c>
      <c r="Z662" s="158">
        <v>0</v>
      </c>
      <c r="AA662" s="158">
        <v>0</v>
      </c>
      <c r="AB662" s="158">
        <v>0</v>
      </c>
      <c r="AC662" s="158">
        <v>0</v>
      </c>
      <c r="AD662" s="158">
        <v>0</v>
      </c>
      <c r="AE662" s="158">
        <v>0</v>
      </c>
      <c r="AF662" s="158">
        <v>0</v>
      </c>
      <c r="AG662" s="158">
        <v>0</v>
      </c>
      <c r="AH662" s="158">
        <v>0</v>
      </c>
      <c r="AI662" s="158">
        <v>0</v>
      </c>
      <c r="AJ662" s="158">
        <v>0</v>
      </c>
      <c r="AK662" s="158">
        <v>0</v>
      </c>
      <c r="AL662" s="158">
        <v>0</v>
      </c>
      <c r="AM662" s="158">
        <v>0</v>
      </c>
      <c r="AN662" s="158">
        <v>0</v>
      </c>
      <c r="AO662" s="158">
        <v>0</v>
      </c>
      <c r="AP662" s="158">
        <v>0</v>
      </c>
    </row>
    <row r="663" spans="1:42" x14ac:dyDescent="0.2">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5"/>
    </row>
    <row r="664" spans="1:42" x14ac:dyDescent="0.2">
      <c r="A664" s="20" t="s">
        <v>295</v>
      </c>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5"/>
    </row>
    <row r="665" spans="1:42" x14ac:dyDescent="0.2">
      <c r="A665" s="4" t="s">
        <v>297</v>
      </c>
      <c r="B665" s="158">
        <v>0</v>
      </c>
      <c r="C665" s="158">
        <f>B668</f>
        <v>750000</v>
      </c>
      <c r="D665" s="158">
        <f t="shared" ref="D665:AP665" si="316">C668</f>
        <v>768749.99999999988</v>
      </c>
      <c r="E665" s="158">
        <f t="shared" si="316"/>
        <v>787968.74999999988</v>
      </c>
      <c r="F665" s="158">
        <f t="shared" si="316"/>
        <v>807667.96874999988</v>
      </c>
      <c r="G665" s="158">
        <f t="shared" si="316"/>
        <v>827859.66796874977</v>
      </c>
      <c r="H665" s="158">
        <f t="shared" si="316"/>
        <v>848556.1596679684</v>
      </c>
      <c r="I665" s="158">
        <f t="shared" si="316"/>
        <v>869770.06365966774</v>
      </c>
      <c r="J665" s="158">
        <f t="shared" si="316"/>
        <v>891514.31525115937</v>
      </c>
      <c r="K665" s="158">
        <f t="shared" si="316"/>
        <v>913802.17313243821</v>
      </c>
      <c r="L665" s="158">
        <f t="shared" si="316"/>
        <v>936647.2274607491</v>
      </c>
      <c r="M665" s="158">
        <f t="shared" si="316"/>
        <v>960063.40814726788</v>
      </c>
      <c r="N665" s="158">
        <f t="shared" si="316"/>
        <v>984064.99335094949</v>
      </c>
      <c r="O665" s="158">
        <f t="shared" si="316"/>
        <v>1008666.6181847232</v>
      </c>
      <c r="P665" s="158">
        <f t="shared" si="316"/>
        <v>1033883.2836393411</v>
      </c>
      <c r="Q665" s="158">
        <f t="shared" si="316"/>
        <v>1059730.3657303248</v>
      </c>
      <c r="R665" s="158">
        <f t="shared" si="316"/>
        <v>1086223.624873583</v>
      </c>
      <c r="S665" s="158">
        <f t="shared" si="316"/>
        <v>1113379.2154954222</v>
      </c>
      <c r="T665" s="158">
        <f t="shared" si="316"/>
        <v>1141213.6958828077</v>
      </c>
      <c r="U665" s="158">
        <f t="shared" si="316"/>
        <v>1169744.038279878</v>
      </c>
      <c r="V665" s="158">
        <f t="shared" si="316"/>
        <v>1198987.6392368749</v>
      </c>
      <c r="W665" s="158">
        <f t="shared" si="316"/>
        <v>1228962.3302177966</v>
      </c>
      <c r="X665" s="158">
        <f t="shared" si="316"/>
        <v>1259686.3884732414</v>
      </c>
      <c r="Y665" s="158">
        <f t="shared" si="316"/>
        <v>1291178.5481850724</v>
      </c>
      <c r="Z665" s="158">
        <f t="shared" si="316"/>
        <v>1323458.0118896994</v>
      </c>
      <c r="AA665" s="158">
        <f t="shared" si="316"/>
        <v>1356544.4621869416</v>
      </c>
      <c r="AB665" s="158">
        <f t="shared" si="316"/>
        <v>0</v>
      </c>
      <c r="AC665" s="158">
        <f t="shared" si="316"/>
        <v>0</v>
      </c>
      <c r="AD665" s="158">
        <f t="shared" si="316"/>
        <v>0</v>
      </c>
      <c r="AE665" s="158">
        <f t="shared" si="316"/>
        <v>0</v>
      </c>
      <c r="AF665" s="158">
        <f t="shared" si="316"/>
        <v>0</v>
      </c>
      <c r="AG665" s="158">
        <f t="shared" si="316"/>
        <v>0</v>
      </c>
      <c r="AH665" s="158">
        <f t="shared" si="316"/>
        <v>0</v>
      </c>
      <c r="AI665" s="158">
        <f t="shared" si="316"/>
        <v>0</v>
      </c>
      <c r="AJ665" s="158">
        <f t="shared" si="316"/>
        <v>0</v>
      </c>
      <c r="AK665" s="158">
        <f t="shared" si="316"/>
        <v>0</v>
      </c>
      <c r="AL665" s="158">
        <f t="shared" si="316"/>
        <v>0</v>
      </c>
      <c r="AM665" s="158">
        <f t="shared" si="316"/>
        <v>0</v>
      </c>
      <c r="AN665" s="158">
        <f t="shared" si="316"/>
        <v>0</v>
      </c>
      <c r="AO665" s="158">
        <f t="shared" si="316"/>
        <v>0</v>
      </c>
      <c r="AP665" s="158">
        <f t="shared" si="316"/>
        <v>0</v>
      </c>
    </row>
    <row r="666" spans="1:42" x14ac:dyDescent="0.2">
      <c r="A666" s="4" t="s">
        <v>26</v>
      </c>
      <c r="B666" s="158">
        <f t="shared" ref="B666:AP666" si="317">IF(B$2&lt;analysis_period,B668-B665,0)</f>
        <v>750000</v>
      </c>
      <c r="C666" s="158">
        <f t="shared" si="317"/>
        <v>18749.999999999884</v>
      </c>
      <c r="D666" s="158">
        <f t="shared" si="317"/>
        <v>19218.75</v>
      </c>
      <c r="E666" s="158">
        <f t="shared" si="317"/>
        <v>19699.21875</v>
      </c>
      <c r="F666" s="158">
        <f t="shared" si="317"/>
        <v>20191.699218749884</v>
      </c>
      <c r="G666" s="158">
        <f t="shared" si="317"/>
        <v>20696.491699218634</v>
      </c>
      <c r="H666" s="158">
        <f t="shared" si="317"/>
        <v>21213.903991699335</v>
      </c>
      <c r="I666" s="158">
        <f t="shared" si="317"/>
        <v>21744.251591491629</v>
      </c>
      <c r="J666" s="158">
        <f t="shared" si="317"/>
        <v>22287.857881278847</v>
      </c>
      <c r="K666" s="158">
        <f t="shared" si="317"/>
        <v>22845.054328310885</v>
      </c>
      <c r="L666" s="158">
        <f t="shared" si="317"/>
        <v>23416.180686518783</v>
      </c>
      <c r="M666" s="158">
        <f t="shared" si="317"/>
        <v>24001.585203681607</v>
      </c>
      <c r="N666" s="158">
        <f t="shared" si="317"/>
        <v>24601.624833773705</v>
      </c>
      <c r="O666" s="158">
        <f t="shared" si="317"/>
        <v>25216.665454617934</v>
      </c>
      <c r="P666" s="158">
        <f t="shared" si="317"/>
        <v>25847.082090983633</v>
      </c>
      <c r="Q666" s="158">
        <f t="shared" si="317"/>
        <v>26493.259143258212</v>
      </c>
      <c r="R666" s="158">
        <f t="shared" si="317"/>
        <v>27155.590621839277</v>
      </c>
      <c r="S666" s="158">
        <f t="shared" si="317"/>
        <v>27834.480387385469</v>
      </c>
      <c r="T666" s="158">
        <f t="shared" si="317"/>
        <v>28530.342397070257</v>
      </c>
      <c r="U666" s="158">
        <f t="shared" si="317"/>
        <v>29243.600956996903</v>
      </c>
      <c r="V666" s="158">
        <f t="shared" si="317"/>
        <v>29974.690980921732</v>
      </c>
      <c r="W666" s="158">
        <f t="shared" si="317"/>
        <v>30724.058255444746</v>
      </c>
      <c r="X666" s="158">
        <f t="shared" si="317"/>
        <v>31492.159711831016</v>
      </c>
      <c r="Y666" s="158">
        <f t="shared" si="317"/>
        <v>32279.463704627007</v>
      </c>
      <c r="Z666" s="158">
        <f t="shared" si="317"/>
        <v>33086.450297242263</v>
      </c>
      <c r="AA666" s="158">
        <f t="shared" si="317"/>
        <v>0</v>
      </c>
      <c r="AB666" s="158">
        <f t="shared" si="317"/>
        <v>0</v>
      </c>
      <c r="AC666" s="158">
        <f t="shared" si="317"/>
        <v>0</v>
      </c>
      <c r="AD666" s="158">
        <f t="shared" si="317"/>
        <v>0</v>
      </c>
      <c r="AE666" s="158">
        <f t="shared" si="317"/>
        <v>0</v>
      </c>
      <c r="AF666" s="158">
        <f t="shared" si="317"/>
        <v>0</v>
      </c>
      <c r="AG666" s="158">
        <f t="shared" si="317"/>
        <v>0</v>
      </c>
      <c r="AH666" s="158">
        <f t="shared" si="317"/>
        <v>0</v>
      </c>
      <c r="AI666" s="158">
        <f t="shared" si="317"/>
        <v>0</v>
      </c>
      <c r="AJ666" s="158">
        <f t="shared" si="317"/>
        <v>0</v>
      </c>
      <c r="AK666" s="158">
        <f t="shared" si="317"/>
        <v>0</v>
      </c>
      <c r="AL666" s="158">
        <f t="shared" si="317"/>
        <v>0</v>
      </c>
      <c r="AM666" s="158">
        <f t="shared" si="317"/>
        <v>0</v>
      </c>
      <c r="AN666" s="158">
        <f t="shared" si="317"/>
        <v>0</v>
      </c>
      <c r="AO666" s="158">
        <f t="shared" si="317"/>
        <v>0</v>
      </c>
      <c r="AP666" s="158">
        <f t="shared" si="317"/>
        <v>0</v>
      </c>
    </row>
    <row r="667" spans="1:42" x14ac:dyDescent="0.2">
      <c r="A667" s="4" t="s">
        <v>298</v>
      </c>
      <c r="B667" s="159">
        <v>0</v>
      </c>
      <c r="C667" s="159">
        <f t="shared" ref="C667:AP667" si="318">IF(C$2=analysis_period,-C665,0)</f>
        <v>0</v>
      </c>
      <c r="D667" s="159">
        <f t="shared" si="318"/>
        <v>0</v>
      </c>
      <c r="E667" s="159">
        <f t="shared" si="318"/>
        <v>0</v>
      </c>
      <c r="F667" s="159">
        <f t="shared" si="318"/>
        <v>0</v>
      </c>
      <c r="G667" s="159">
        <f t="shared" si="318"/>
        <v>0</v>
      </c>
      <c r="H667" s="159">
        <f t="shared" si="318"/>
        <v>0</v>
      </c>
      <c r="I667" s="159">
        <f t="shared" si="318"/>
        <v>0</v>
      </c>
      <c r="J667" s="159">
        <f t="shared" si="318"/>
        <v>0</v>
      </c>
      <c r="K667" s="159">
        <f t="shared" si="318"/>
        <v>0</v>
      </c>
      <c r="L667" s="159">
        <f t="shared" si="318"/>
        <v>0</v>
      </c>
      <c r="M667" s="159">
        <f t="shared" si="318"/>
        <v>0</v>
      </c>
      <c r="N667" s="159">
        <f t="shared" si="318"/>
        <v>0</v>
      </c>
      <c r="O667" s="159">
        <f t="shared" si="318"/>
        <v>0</v>
      </c>
      <c r="P667" s="159">
        <f t="shared" si="318"/>
        <v>0</v>
      </c>
      <c r="Q667" s="159">
        <f t="shared" si="318"/>
        <v>0</v>
      </c>
      <c r="R667" s="159">
        <f t="shared" si="318"/>
        <v>0</v>
      </c>
      <c r="S667" s="159">
        <f t="shared" si="318"/>
        <v>0</v>
      </c>
      <c r="T667" s="159">
        <f t="shared" si="318"/>
        <v>0</v>
      </c>
      <c r="U667" s="159">
        <f t="shared" si="318"/>
        <v>0</v>
      </c>
      <c r="V667" s="159">
        <f t="shared" si="318"/>
        <v>0</v>
      </c>
      <c r="W667" s="159">
        <f t="shared" si="318"/>
        <v>0</v>
      </c>
      <c r="X667" s="159">
        <f t="shared" si="318"/>
        <v>0</v>
      </c>
      <c r="Y667" s="159">
        <f t="shared" si="318"/>
        <v>0</v>
      </c>
      <c r="Z667" s="159">
        <f t="shared" si="318"/>
        <v>0</v>
      </c>
      <c r="AA667" s="159">
        <f t="shared" si="318"/>
        <v>-1356544.4621869416</v>
      </c>
      <c r="AB667" s="159">
        <f t="shared" si="318"/>
        <v>0</v>
      </c>
      <c r="AC667" s="159">
        <f t="shared" si="318"/>
        <v>0</v>
      </c>
      <c r="AD667" s="159">
        <f t="shared" si="318"/>
        <v>0</v>
      </c>
      <c r="AE667" s="159">
        <f t="shared" si="318"/>
        <v>0</v>
      </c>
      <c r="AF667" s="159">
        <f t="shared" si="318"/>
        <v>0</v>
      </c>
      <c r="AG667" s="159">
        <f t="shared" si="318"/>
        <v>0</v>
      </c>
      <c r="AH667" s="159">
        <f t="shared" si="318"/>
        <v>0</v>
      </c>
      <c r="AI667" s="159">
        <f t="shared" si="318"/>
        <v>0</v>
      </c>
      <c r="AJ667" s="159">
        <f t="shared" si="318"/>
        <v>0</v>
      </c>
      <c r="AK667" s="159">
        <f t="shared" si="318"/>
        <v>0</v>
      </c>
      <c r="AL667" s="159">
        <f t="shared" si="318"/>
        <v>0</v>
      </c>
      <c r="AM667" s="159">
        <f t="shared" si="318"/>
        <v>0</v>
      </c>
      <c r="AN667" s="159">
        <f t="shared" si="318"/>
        <v>0</v>
      </c>
      <c r="AO667" s="159">
        <f t="shared" si="318"/>
        <v>0</v>
      </c>
      <c r="AP667" s="159">
        <f t="shared" si="318"/>
        <v>0</v>
      </c>
    </row>
    <row r="668" spans="1:42" x14ac:dyDescent="0.2">
      <c r="A668" s="4" t="s">
        <v>258</v>
      </c>
      <c r="B668" s="158">
        <f t="shared" ref="B668:AP668" si="319">C$63*(months_working_reserve/12)</f>
        <v>750000</v>
      </c>
      <c r="C668" s="158">
        <f t="shared" si="319"/>
        <v>768749.99999999988</v>
      </c>
      <c r="D668" s="158">
        <f t="shared" si="319"/>
        <v>787968.74999999988</v>
      </c>
      <c r="E668" s="158">
        <f t="shared" si="319"/>
        <v>807667.96874999988</v>
      </c>
      <c r="F668" s="158">
        <f t="shared" si="319"/>
        <v>827859.66796874977</v>
      </c>
      <c r="G668" s="158">
        <f t="shared" si="319"/>
        <v>848556.1596679684</v>
      </c>
      <c r="H668" s="158">
        <f t="shared" si="319"/>
        <v>869770.06365966774</v>
      </c>
      <c r="I668" s="158">
        <f t="shared" si="319"/>
        <v>891514.31525115937</v>
      </c>
      <c r="J668" s="158">
        <f t="shared" si="319"/>
        <v>913802.17313243821</v>
      </c>
      <c r="K668" s="158">
        <f t="shared" si="319"/>
        <v>936647.2274607491</v>
      </c>
      <c r="L668" s="158">
        <f t="shared" si="319"/>
        <v>960063.40814726788</v>
      </c>
      <c r="M668" s="158">
        <f t="shared" si="319"/>
        <v>984064.99335094949</v>
      </c>
      <c r="N668" s="158">
        <f t="shared" si="319"/>
        <v>1008666.6181847232</v>
      </c>
      <c r="O668" s="158">
        <f t="shared" si="319"/>
        <v>1033883.2836393411</v>
      </c>
      <c r="P668" s="158">
        <f t="shared" si="319"/>
        <v>1059730.3657303248</v>
      </c>
      <c r="Q668" s="158">
        <f t="shared" si="319"/>
        <v>1086223.624873583</v>
      </c>
      <c r="R668" s="158">
        <f t="shared" si="319"/>
        <v>1113379.2154954222</v>
      </c>
      <c r="S668" s="158">
        <f t="shared" si="319"/>
        <v>1141213.6958828077</v>
      </c>
      <c r="T668" s="158">
        <f t="shared" si="319"/>
        <v>1169744.038279878</v>
      </c>
      <c r="U668" s="158">
        <f t="shared" si="319"/>
        <v>1198987.6392368749</v>
      </c>
      <c r="V668" s="158">
        <f t="shared" si="319"/>
        <v>1228962.3302177966</v>
      </c>
      <c r="W668" s="158">
        <f t="shared" si="319"/>
        <v>1259686.3884732414</v>
      </c>
      <c r="X668" s="158">
        <f t="shared" si="319"/>
        <v>1291178.5481850724</v>
      </c>
      <c r="Y668" s="158">
        <f t="shared" si="319"/>
        <v>1323458.0118896994</v>
      </c>
      <c r="Z668" s="158">
        <f t="shared" si="319"/>
        <v>1356544.4621869416</v>
      </c>
      <c r="AA668" s="158">
        <f t="shared" si="319"/>
        <v>0</v>
      </c>
      <c r="AB668" s="158">
        <f t="shared" si="319"/>
        <v>0</v>
      </c>
      <c r="AC668" s="158">
        <f t="shared" si="319"/>
        <v>0</v>
      </c>
      <c r="AD668" s="158">
        <f t="shared" si="319"/>
        <v>0</v>
      </c>
      <c r="AE668" s="158">
        <f t="shared" si="319"/>
        <v>0</v>
      </c>
      <c r="AF668" s="158">
        <f t="shared" si="319"/>
        <v>0</v>
      </c>
      <c r="AG668" s="158">
        <f t="shared" si="319"/>
        <v>0</v>
      </c>
      <c r="AH668" s="158">
        <f t="shared" si="319"/>
        <v>0</v>
      </c>
      <c r="AI668" s="158">
        <f t="shared" si="319"/>
        <v>0</v>
      </c>
      <c r="AJ668" s="158">
        <f t="shared" si="319"/>
        <v>0</v>
      </c>
      <c r="AK668" s="158">
        <f t="shared" si="319"/>
        <v>0</v>
      </c>
      <c r="AL668" s="158">
        <f t="shared" si="319"/>
        <v>0</v>
      </c>
      <c r="AM668" s="158">
        <f t="shared" si="319"/>
        <v>0</v>
      </c>
      <c r="AN668" s="158">
        <f t="shared" si="319"/>
        <v>0</v>
      </c>
      <c r="AO668" s="158">
        <f t="shared" si="319"/>
        <v>0</v>
      </c>
      <c r="AP668" s="158">
        <f t="shared" si="319"/>
        <v>0</v>
      </c>
    </row>
    <row r="669" spans="1:42" x14ac:dyDescent="0.2">
      <c r="B669" s="158"/>
      <c r="C669" s="158"/>
      <c r="D669" s="158"/>
      <c r="E669" s="158"/>
      <c r="F669" s="158"/>
      <c r="G669" s="158"/>
      <c r="H669" s="158"/>
      <c r="I669" s="158"/>
      <c r="J669" s="158"/>
      <c r="K669" s="158"/>
      <c r="L669" s="158"/>
      <c r="M669" s="158"/>
      <c r="N669" s="158"/>
      <c r="O669" s="158"/>
      <c r="P669" s="158"/>
      <c r="Q669" s="158"/>
      <c r="R669" s="158"/>
      <c r="S669" s="158"/>
      <c r="T669" s="158"/>
      <c r="U669" s="158"/>
      <c r="V669" s="158"/>
      <c r="W669" s="158"/>
      <c r="X669" s="158"/>
      <c r="Y669" s="158"/>
      <c r="Z669" s="158"/>
      <c r="AA669" s="158"/>
      <c r="AB669" s="158"/>
      <c r="AC669" s="158"/>
      <c r="AD669" s="158"/>
      <c r="AE669" s="158"/>
      <c r="AF669" s="158"/>
      <c r="AG669" s="158"/>
      <c r="AH669" s="158"/>
      <c r="AI669" s="158"/>
      <c r="AJ669" s="158"/>
      <c r="AK669" s="158"/>
      <c r="AL669" s="158"/>
      <c r="AM669" s="158"/>
      <c r="AN669" s="158"/>
      <c r="AO669" s="158"/>
      <c r="AP669" s="158"/>
    </row>
    <row r="670" spans="1:42" x14ac:dyDescent="0.2">
      <c r="A670" s="20" t="s">
        <v>307</v>
      </c>
      <c r="B670" s="158"/>
      <c r="C670" s="158"/>
      <c r="D670" s="158"/>
      <c r="E670" s="158"/>
      <c r="F670" s="158"/>
      <c r="G670" s="158"/>
      <c r="H670" s="158"/>
      <c r="I670" s="158"/>
      <c r="J670" s="158"/>
      <c r="K670" s="158"/>
      <c r="L670" s="158"/>
      <c r="M670" s="158"/>
      <c r="N670" s="158"/>
      <c r="O670" s="158"/>
      <c r="P670" s="158"/>
      <c r="Q670" s="158"/>
      <c r="R670" s="158"/>
      <c r="S670" s="158"/>
      <c r="T670" s="158"/>
      <c r="U670" s="158"/>
      <c r="V670" s="158"/>
      <c r="W670" s="158"/>
      <c r="X670" s="158"/>
      <c r="Y670" s="158"/>
      <c r="Z670" s="158"/>
      <c r="AA670" s="158"/>
      <c r="AB670" s="158"/>
      <c r="AC670" s="158"/>
      <c r="AD670" s="158"/>
      <c r="AE670" s="158"/>
      <c r="AF670" s="158"/>
      <c r="AG670" s="158"/>
      <c r="AH670" s="158"/>
      <c r="AI670" s="158"/>
      <c r="AJ670" s="158"/>
      <c r="AK670" s="158"/>
      <c r="AL670" s="158"/>
      <c r="AM670" s="158"/>
      <c r="AN670" s="158"/>
      <c r="AO670" s="158"/>
      <c r="AP670" s="158"/>
    </row>
    <row r="671" spans="1:42" x14ac:dyDescent="0.2">
      <c r="A671" s="4" t="s">
        <v>297</v>
      </c>
      <c r="B671" s="158">
        <v>0</v>
      </c>
      <c r="C671" s="158">
        <f>B674</f>
        <v>0</v>
      </c>
      <c r="D671" s="158">
        <f t="shared" ref="D671" si="320">C674</f>
        <v>0</v>
      </c>
      <c r="E671" s="158">
        <f t="shared" ref="E671" si="321">D674</f>
        <v>0</v>
      </c>
      <c r="F671" s="158">
        <f t="shared" ref="F671" si="322">E674</f>
        <v>0</v>
      </c>
      <c r="G671" s="158">
        <f t="shared" ref="G671" si="323">F674</f>
        <v>0</v>
      </c>
      <c r="H671" s="158">
        <f t="shared" ref="H671" si="324">G674</f>
        <v>0</v>
      </c>
      <c r="I671" s="158">
        <f t="shared" ref="I671" si="325">H674</f>
        <v>0</v>
      </c>
      <c r="J671" s="158">
        <f t="shared" ref="J671" si="326">I674</f>
        <v>0</v>
      </c>
      <c r="K671" s="158">
        <f t="shared" ref="K671" si="327">J674</f>
        <v>0</v>
      </c>
      <c r="L671" s="158">
        <f t="shared" ref="L671" si="328">K674</f>
        <v>0</v>
      </c>
      <c r="M671" s="158">
        <f t="shared" ref="M671" si="329">L674</f>
        <v>0</v>
      </c>
      <c r="N671" s="158">
        <f t="shared" ref="N671" si="330">M674</f>
        <v>0</v>
      </c>
      <c r="O671" s="158">
        <f t="shared" ref="O671" si="331">N674</f>
        <v>0</v>
      </c>
      <c r="P671" s="158">
        <f t="shared" ref="P671" si="332">O674</f>
        <v>0</v>
      </c>
      <c r="Q671" s="158">
        <f t="shared" ref="Q671" si="333">P674</f>
        <v>0</v>
      </c>
      <c r="R671" s="158">
        <f t="shared" ref="R671" si="334">Q674</f>
        <v>0</v>
      </c>
      <c r="S671" s="158">
        <f t="shared" ref="S671" si="335">R674</f>
        <v>0</v>
      </c>
      <c r="T671" s="158">
        <f t="shared" ref="T671" si="336">S674</f>
        <v>0</v>
      </c>
      <c r="U671" s="158">
        <f t="shared" ref="U671" si="337">T674</f>
        <v>0</v>
      </c>
      <c r="V671" s="158">
        <f t="shared" ref="V671" si="338">U674</f>
        <v>0</v>
      </c>
      <c r="W671" s="158">
        <f t="shared" ref="W671" si="339">V674</f>
        <v>0</v>
      </c>
      <c r="X671" s="158">
        <f t="shared" ref="X671" si="340">W674</f>
        <v>0</v>
      </c>
      <c r="Y671" s="158">
        <f t="shared" ref="Y671" si="341">X674</f>
        <v>0</v>
      </c>
      <c r="Z671" s="158">
        <f t="shared" ref="Z671" si="342">Y674</f>
        <v>0</v>
      </c>
      <c r="AA671" s="158">
        <f t="shared" ref="AA671" si="343">Z674</f>
        <v>0</v>
      </c>
      <c r="AB671" s="158">
        <f t="shared" ref="AB671" si="344">AA674</f>
        <v>0</v>
      </c>
      <c r="AC671" s="158">
        <f t="shared" ref="AC671" si="345">AB674</f>
        <v>0</v>
      </c>
      <c r="AD671" s="158">
        <f t="shared" ref="AD671" si="346">AC674</f>
        <v>0</v>
      </c>
      <c r="AE671" s="158">
        <f t="shared" ref="AE671" si="347">AD674</f>
        <v>0</v>
      </c>
      <c r="AF671" s="158">
        <f t="shared" ref="AF671" si="348">AE674</f>
        <v>0</v>
      </c>
      <c r="AG671" s="158">
        <f t="shared" ref="AG671" si="349">AF674</f>
        <v>0</v>
      </c>
      <c r="AH671" s="158">
        <f t="shared" ref="AH671" si="350">AG674</f>
        <v>0</v>
      </c>
      <c r="AI671" s="158">
        <f t="shared" ref="AI671" si="351">AH674</f>
        <v>0</v>
      </c>
      <c r="AJ671" s="158">
        <f t="shared" ref="AJ671" si="352">AI674</f>
        <v>0</v>
      </c>
      <c r="AK671" s="158">
        <f t="shared" ref="AK671" si="353">AJ674</f>
        <v>0</v>
      </c>
      <c r="AL671" s="158">
        <f t="shared" ref="AL671" si="354">AK674</f>
        <v>0</v>
      </c>
      <c r="AM671" s="158">
        <f t="shared" ref="AM671" si="355">AL674</f>
        <v>0</v>
      </c>
      <c r="AN671" s="158">
        <f t="shared" ref="AN671" si="356">AM674</f>
        <v>0</v>
      </c>
      <c r="AO671" s="158">
        <f t="shared" ref="AO671" si="357">AN674</f>
        <v>0</v>
      </c>
      <c r="AP671" s="158">
        <f t="shared" ref="AP671" si="358">AO674</f>
        <v>0</v>
      </c>
    </row>
    <row r="672" spans="1:42" x14ac:dyDescent="0.2">
      <c r="A672" s="4" t="s">
        <v>26</v>
      </c>
      <c r="B672" s="158">
        <f t="shared" ref="B672:AP672" si="359">IF(B$2&lt;analysis_period,B674-B671,0)</f>
        <v>0</v>
      </c>
      <c r="C672" s="158">
        <f t="shared" si="359"/>
        <v>0</v>
      </c>
      <c r="D672" s="158">
        <f t="shared" si="359"/>
        <v>0</v>
      </c>
      <c r="E672" s="158">
        <f t="shared" si="359"/>
        <v>0</v>
      </c>
      <c r="F672" s="158">
        <f t="shared" si="359"/>
        <v>0</v>
      </c>
      <c r="G672" s="158">
        <f t="shared" si="359"/>
        <v>0</v>
      </c>
      <c r="H672" s="158">
        <f t="shared" si="359"/>
        <v>0</v>
      </c>
      <c r="I672" s="158">
        <f t="shared" si="359"/>
        <v>0</v>
      </c>
      <c r="J672" s="158">
        <f t="shared" si="359"/>
        <v>0</v>
      </c>
      <c r="K672" s="158">
        <f t="shared" si="359"/>
        <v>0</v>
      </c>
      <c r="L672" s="158">
        <f t="shared" si="359"/>
        <v>0</v>
      </c>
      <c r="M672" s="158">
        <f t="shared" si="359"/>
        <v>0</v>
      </c>
      <c r="N672" s="158">
        <f t="shared" si="359"/>
        <v>0</v>
      </c>
      <c r="O672" s="158">
        <f t="shared" si="359"/>
        <v>0</v>
      </c>
      <c r="P672" s="158">
        <f t="shared" si="359"/>
        <v>0</v>
      </c>
      <c r="Q672" s="158">
        <f t="shared" si="359"/>
        <v>0</v>
      </c>
      <c r="R672" s="158">
        <f t="shared" si="359"/>
        <v>0</v>
      </c>
      <c r="S672" s="158">
        <f t="shared" si="359"/>
        <v>0</v>
      </c>
      <c r="T672" s="158">
        <f t="shared" si="359"/>
        <v>0</v>
      </c>
      <c r="U672" s="158">
        <f t="shared" si="359"/>
        <v>0</v>
      </c>
      <c r="V672" s="158">
        <f t="shared" si="359"/>
        <v>0</v>
      </c>
      <c r="W672" s="158">
        <f t="shared" si="359"/>
        <v>0</v>
      </c>
      <c r="X672" s="158">
        <f t="shared" si="359"/>
        <v>0</v>
      </c>
      <c r="Y672" s="158">
        <f t="shared" si="359"/>
        <v>0</v>
      </c>
      <c r="Z672" s="158">
        <f t="shared" si="359"/>
        <v>0</v>
      </c>
      <c r="AA672" s="158">
        <f t="shared" si="359"/>
        <v>0</v>
      </c>
      <c r="AB672" s="158">
        <f t="shared" si="359"/>
        <v>0</v>
      </c>
      <c r="AC672" s="158">
        <f t="shared" si="359"/>
        <v>0</v>
      </c>
      <c r="AD672" s="158">
        <f t="shared" si="359"/>
        <v>0</v>
      </c>
      <c r="AE672" s="158">
        <f t="shared" si="359"/>
        <v>0</v>
      </c>
      <c r="AF672" s="158">
        <f t="shared" si="359"/>
        <v>0</v>
      </c>
      <c r="AG672" s="158">
        <f t="shared" si="359"/>
        <v>0</v>
      </c>
      <c r="AH672" s="158">
        <f t="shared" si="359"/>
        <v>0</v>
      </c>
      <c r="AI672" s="158">
        <f t="shared" si="359"/>
        <v>0</v>
      </c>
      <c r="AJ672" s="158">
        <f t="shared" si="359"/>
        <v>0</v>
      </c>
      <c r="AK672" s="158">
        <f t="shared" si="359"/>
        <v>0</v>
      </c>
      <c r="AL672" s="158">
        <f t="shared" si="359"/>
        <v>0</v>
      </c>
      <c r="AM672" s="158">
        <f t="shared" si="359"/>
        <v>0</v>
      </c>
      <c r="AN672" s="158">
        <f t="shared" si="359"/>
        <v>0</v>
      </c>
      <c r="AO672" s="158">
        <f t="shared" si="359"/>
        <v>0</v>
      </c>
      <c r="AP672" s="158">
        <f t="shared" si="359"/>
        <v>0</v>
      </c>
    </row>
    <row r="673" spans="1:42" x14ac:dyDescent="0.2">
      <c r="A673" s="4" t="s">
        <v>298</v>
      </c>
      <c r="B673" s="159">
        <v>0</v>
      </c>
      <c r="C673" s="159">
        <f t="shared" ref="C673:AP673" si="360">IF(C$2=analysis_period,-C671,0)</f>
        <v>0</v>
      </c>
      <c r="D673" s="159">
        <f t="shared" si="360"/>
        <v>0</v>
      </c>
      <c r="E673" s="159">
        <f t="shared" si="360"/>
        <v>0</v>
      </c>
      <c r="F673" s="159">
        <f t="shared" si="360"/>
        <v>0</v>
      </c>
      <c r="G673" s="159">
        <f t="shared" si="360"/>
        <v>0</v>
      </c>
      <c r="H673" s="159">
        <f t="shared" si="360"/>
        <v>0</v>
      </c>
      <c r="I673" s="159">
        <f t="shared" si="360"/>
        <v>0</v>
      </c>
      <c r="J673" s="159">
        <f t="shared" si="360"/>
        <v>0</v>
      </c>
      <c r="K673" s="159">
        <f t="shared" si="360"/>
        <v>0</v>
      </c>
      <c r="L673" s="159">
        <f t="shared" si="360"/>
        <v>0</v>
      </c>
      <c r="M673" s="159">
        <f t="shared" si="360"/>
        <v>0</v>
      </c>
      <c r="N673" s="159">
        <f t="shared" si="360"/>
        <v>0</v>
      </c>
      <c r="O673" s="159">
        <f t="shared" si="360"/>
        <v>0</v>
      </c>
      <c r="P673" s="159">
        <f t="shared" si="360"/>
        <v>0</v>
      </c>
      <c r="Q673" s="159">
        <f t="shared" si="360"/>
        <v>0</v>
      </c>
      <c r="R673" s="159">
        <f t="shared" si="360"/>
        <v>0</v>
      </c>
      <c r="S673" s="159">
        <f t="shared" si="360"/>
        <v>0</v>
      </c>
      <c r="T673" s="159">
        <f t="shared" si="360"/>
        <v>0</v>
      </c>
      <c r="U673" s="159">
        <f t="shared" si="360"/>
        <v>0</v>
      </c>
      <c r="V673" s="159">
        <f t="shared" si="360"/>
        <v>0</v>
      </c>
      <c r="W673" s="159">
        <f t="shared" si="360"/>
        <v>0</v>
      </c>
      <c r="X673" s="159">
        <f t="shared" si="360"/>
        <v>0</v>
      </c>
      <c r="Y673" s="159">
        <f t="shared" si="360"/>
        <v>0</v>
      </c>
      <c r="Z673" s="159">
        <f t="shared" si="360"/>
        <v>0</v>
      </c>
      <c r="AA673" s="159">
        <f t="shared" si="360"/>
        <v>0</v>
      </c>
      <c r="AB673" s="159">
        <f t="shared" si="360"/>
        <v>0</v>
      </c>
      <c r="AC673" s="159">
        <f t="shared" si="360"/>
        <v>0</v>
      </c>
      <c r="AD673" s="159">
        <f t="shared" si="360"/>
        <v>0</v>
      </c>
      <c r="AE673" s="159">
        <f t="shared" si="360"/>
        <v>0</v>
      </c>
      <c r="AF673" s="159">
        <f t="shared" si="360"/>
        <v>0</v>
      </c>
      <c r="AG673" s="159">
        <f t="shared" si="360"/>
        <v>0</v>
      </c>
      <c r="AH673" s="159">
        <f t="shared" si="360"/>
        <v>0</v>
      </c>
      <c r="AI673" s="159">
        <f t="shared" si="360"/>
        <v>0</v>
      </c>
      <c r="AJ673" s="159">
        <f t="shared" si="360"/>
        <v>0</v>
      </c>
      <c r="AK673" s="159">
        <f t="shared" si="360"/>
        <v>0</v>
      </c>
      <c r="AL673" s="159">
        <f t="shared" si="360"/>
        <v>0</v>
      </c>
      <c r="AM673" s="159">
        <f t="shared" si="360"/>
        <v>0</v>
      </c>
      <c r="AN673" s="159">
        <f t="shared" si="360"/>
        <v>0</v>
      </c>
      <c r="AO673" s="159">
        <f t="shared" si="360"/>
        <v>0</v>
      </c>
      <c r="AP673" s="159">
        <f t="shared" si="360"/>
        <v>0</v>
      </c>
    </row>
    <row r="674" spans="1:42" x14ac:dyDescent="0.2">
      <c r="A674" s="4" t="s">
        <v>258</v>
      </c>
      <c r="B674" s="158">
        <f t="shared" ref="B674:AP674" si="361">(months_receivables_reserve/12)*SUM(C17,C19:C21)</f>
        <v>0</v>
      </c>
      <c r="C674" s="158">
        <f t="shared" si="361"/>
        <v>0</v>
      </c>
      <c r="D674" s="158">
        <f t="shared" si="361"/>
        <v>0</v>
      </c>
      <c r="E674" s="158">
        <f t="shared" si="361"/>
        <v>0</v>
      </c>
      <c r="F674" s="158">
        <f t="shared" si="361"/>
        <v>0</v>
      </c>
      <c r="G674" s="158">
        <f t="shared" si="361"/>
        <v>0</v>
      </c>
      <c r="H674" s="158">
        <f t="shared" si="361"/>
        <v>0</v>
      </c>
      <c r="I674" s="158">
        <f t="shared" si="361"/>
        <v>0</v>
      </c>
      <c r="J674" s="158">
        <f t="shared" si="361"/>
        <v>0</v>
      </c>
      <c r="K674" s="158">
        <f t="shared" si="361"/>
        <v>0</v>
      </c>
      <c r="L674" s="158">
        <f t="shared" si="361"/>
        <v>0</v>
      </c>
      <c r="M674" s="158">
        <f t="shared" si="361"/>
        <v>0</v>
      </c>
      <c r="N674" s="158">
        <f t="shared" si="361"/>
        <v>0</v>
      </c>
      <c r="O674" s="158">
        <f t="shared" si="361"/>
        <v>0</v>
      </c>
      <c r="P674" s="158">
        <f t="shared" si="361"/>
        <v>0</v>
      </c>
      <c r="Q674" s="158">
        <f t="shared" si="361"/>
        <v>0</v>
      </c>
      <c r="R674" s="158">
        <f t="shared" si="361"/>
        <v>0</v>
      </c>
      <c r="S674" s="158">
        <f t="shared" si="361"/>
        <v>0</v>
      </c>
      <c r="T674" s="158">
        <f t="shared" si="361"/>
        <v>0</v>
      </c>
      <c r="U674" s="158">
        <f t="shared" si="361"/>
        <v>0</v>
      </c>
      <c r="V674" s="158">
        <f t="shared" si="361"/>
        <v>0</v>
      </c>
      <c r="W674" s="158">
        <f t="shared" si="361"/>
        <v>0</v>
      </c>
      <c r="X674" s="158">
        <f t="shared" si="361"/>
        <v>0</v>
      </c>
      <c r="Y674" s="158">
        <f t="shared" si="361"/>
        <v>0</v>
      </c>
      <c r="Z674" s="158">
        <f t="shared" si="361"/>
        <v>0</v>
      </c>
      <c r="AA674" s="158">
        <f t="shared" si="361"/>
        <v>0</v>
      </c>
      <c r="AB674" s="158">
        <f t="shared" si="361"/>
        <v>0</v>
      </c>
      <c r="AC674" s="158">
        <f t="shared" si="361"/>
        <v>0</v>
      </c>
      <c r="AD674" s="158">
        <f t="shared" si="361"/>
        <v>0</v>
      </c>
      <c r="AE674" s="158">
        <f t="shared" si="361"/>
        <v>0</v>
      </c>
      <c r="AF674" s="158">
        <f t="shared" si="361"/>
        <v>0</v>
      </c>
      <c r="AG674" s="158">
        <f t="shared" si="361"/>
        <v>0</v>
      </c>
      <c r="AH674" s="158">
        <f t="shared" si="361"/>
        <v>0</v>
      </c>
      <c r="AI674" s="158">
        <f t="shared" si="361"/>
        <v>0</v>
      </c>
      <c r="AJ674" s="158">
        <f t="shared" si="361"/>
        <v>0</v>
      </c>
      <c r="AK674" s="158">
        <f t="shared" si="361"/>
        <v>0</v>
      </c>
      <c r="AL674" s="158">
        <f t="shared" si="361"/>
        <v>0</v>
      </c>
      <c r="AM674" s="158">
        <f t="shared" si="361"/>
        <v>0</v>
      </c>
      <c r="AN674" s="158">
        <f t="shared" si="361"/>
        <v>0</v>
      </c>
      <c r="AO674" s="158">
        <f t="shared" si="361"/>
        <v>0</v>
      </c>
      <c r="AP674" s="158">
        <f t="shared" si="361"/>
        <v>0</v>
      </c>
    </row>
    <row r="675" spans="1:42" x14ac:dyDescent="0.2">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row>
    <row r="676" spans="1:42" x14ac:dyDescent="0.2">
      <c r="A676" s="20" t="s">
        <v>299</v>
      </c>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5"/>
    </row>
    <row r="677" spans="1:42" x14ac:dyDescent="0.2">
      <c r="A677" s="4" t="s">
        <v>297</v>
      </c>
      <c r="B677" s="158">
        <v>0</v>
      </c>
      <c r="C677" s="158">
        <f>B680</f>
        <v>0</v>
      </c>
      <c r="D677" s="158">
        <f t="shared" ref="D677:AP677" si="362">C680</f>
        <v>941982.54731584399</v>
      </c>
      <c r="E677" s="158">
        <f t="shared" si="362"/>
        <v>1883965.094631688</v>
      </c>
      <c r="F677" s="158">
        <f t="shared" si="362"/>
        <v>2825947.6419475321</v>
      </c>
      <c r="G677" s="158">
        <f t="shared" si="362"/>
        <v>3767930.1892633759</v>
      </c>
      <c r="H677" s="158">
        <f t="shared" si="362"/>
        <v>4709912.7365792198</v>
      </c>
      <c r="I677" s="158">
        <f t="shared" si="362"/>
        <v>5651895.2838950641</v>
      </c>
      <c r="J677" s="158">
        <f t="shared" si="362"/>
        <v>6593877.8312109085</v>
      </c>
      <c r="K677" s="158">
        <f t="shared" si="362"/>
        <v>7535860.3785267528</v>
      </c>
      <c r="L677" s="158">
        <f t="shared" si="362"/>
        <v>8477842.9258425962</v>
      </c>
      <c r="M677" s="158">
        <f t="shared" si="362"/>
        <v>9419825.4731584396</v>
      </c>
      <c r="N677" s="158">
        <f t="shared" si="362"/>
        <v>10361808.020474283</v>
      </c>
      <c r="O677" s="158">
        <f t="shared" si="362"/>
        <v>11303790.567790126</v>
      </c>
      <c r="P677" s="158">
        <f t="shared" si="362"/>
        <v>12245773.11510597</v>
      </c>
      <c r="Q677" s="158">
        <f t="shared" si="362"/>
        <v>13187755.662421813</v>
      </c>
      <c r="R677" s="158">
        <f t="shared" si="362"/>
        <v>0</v>
      </c>
      <c r="S677" s="158">
        <f t="shared" si="362"/>
        <v>0</v>
      </c>
      <c r="T677" s="158">
        <f t="shared" si="362"/>
        <v>0</v>
      </c>
      <c r="U677" s="158">
        <f t="shared" si="362"/>
        <v>0</v>
      </c>
      <c r="V677" s="158">
        <f t="shared" si="362"/>
        <v>0</v>
      </c>
      <c r="W677" s="158">
        <f t="shared" si="362"/>
        <v>0</v>
      </c>
      <c r="X677" s="158">
        <f t="shared" si="362"/>
        <v>0</v>
      </c>
      <c r="Y677" s="158">
        <f t="shared" si="362"/>
        <v>0</v>
      </c>
      <c r="Z677" s="158">
        <f t="shared" si="362"/>
        <v>0</v>
      </c>
      <c r="AA677" s="158">
        <f t="shared" si="362"/>
        <v>0</v>
      </c>
      <c r="AB677" s="158">
        <f t="shared" si="362"/>
        <v>0</v>
      </c>
      <c r="AC677" s="158">
        <f t="shared" si="362"/>
        <v>0</v>
      </c>
      <c r="AD677" s="158">
        <f t="shared" si="362"/>
        <v>0</v>
      </c>
      <c r="AE677" s="158">
        <f t="shared" si="362"/>
        <v>0</v>
      </c>
      <c r="AF677" s="158">
        <f t="shared" si="362"/>
        <v>0</v>
      </c>
      <c r="AG677" s="158">
        <f t="shared" si="362"/>
        <v>0</v>
      </c>
      <c r="AH677" s="158">
        <f t="shared" si="362"/>
        <v>0</v>
      </c>
      <c r="AI677" s="158">
        <f t="shared" si="362"/>
        <v>0</v>
      </c>
      <c r="AJ677" s="158">
        <f t="shared" si="362"/>
        <v>0</v>
      </c>
      <c r="AK677" s="158">
        <f t="shared" si="362"/>
        <v>0</v>
      </c>
      <c r="AL677" s="158">
        <f t="shared" si="362"/>
        <v>0</v>
      </c>
      <c r="AM677" s="158">
        <f t="shared" si="362"/>
        <v>0</v>
      </c>
      <c r="AN677" s="158">
        <f t="shared" si="362"/>
        <v>0</v>
      </c>
      <c r="AO677" s="158">
        <f t="shared" si="362"/>
        <v>0</v>
      </c>
      <c r="AP677" s="158">
        <f t="shared" si="362"/>
        <v>0</v>
      </c>
    </row>
    <row r="678" spans="1:42" x14ac:dyDescent="0.2">
      <c r="A678" s="4" t="s">
        <v>75</v>
      </c>
      <c r="B678" s="158">
        <v>0</v>
      </c>
      <c r="C678" s="158">
        <f>C706</f>
        <v>941982.54731584399</v>
      </c>
      <c r="D678" s="158">
        <f t="shared" ref="D678:AP678" si="363">D706</f>
        <v>941982.54731584399</v>
      </c>
      <c r="E678" s="158">
        <f t="shared" si="363"/>
        <v>941982.54731584399</v>
      </c>
      <c r="F678" s="158">
        <f t="shared" si="363"/>
        <v>941982.54731584399</v>
      </c>
      <c r="G678" s="158">
        <f t="shared" si="363"/>
        <v>941982.54731584399</v>
      </c>
      <c r="H678" s="158">
        <f t="shared" si="363"/>
        <v>941982.54731584399</v>
      </c>
      <c r="I678" s="158">
        <f t="shared" si="363"/>
        <v>941982.54731584399</v>
      </c>
      <c r="J678" s="158">
        <f t="shared" si="363"/>
        <v>941982.54731584399</v>
      </c>
      <c r="K678" s="158">
        <f t="shared" si="363"/>
        <v>941982.54731584399</v>
      </c>
      <c r="L678" s="158">
        <f t="shared" si="363"/>
        <v>941982.54731584399</v>
      </c>
      <c r="M678" s="158">
        <f t="shared" si="363"/>
        <v>941982.54731584399</v>
      </c>
      <c r="N678" s="158">
        <f t="shared" si="363"/>
        <v>941982.54731584399</v>
      </c>
      <c r="O678" s="158">
        <f t="shared" si="363"/>
        <v>941982.54731584399</v>
      </c>
      <c r="P678" s="158">
        <f t="shared" si="363"/>
        <v>941982.54731584399</v>
      </c>
      <c r="Q678" s="158">
        <f t="shared" si="363"/>
        <v>941982.54731584399</v>
      </c>
      <c r="R678" s="158">
        <f t="shared" si="363"/>
        <v>0</v>
      </c>
      <c r="S678" s="158">
        <f t="shared" si="363"/>
        <v>0</v>
      </c>
      <c r="T678" s="158">
        <f t="shared" si="363"/>
        <v>0</v>
      </c>
      <c r="U678" s="158">
        <f t="shared" si="363"/>
        <v>0</v>
      </c>
      <c r="V678" s="158">
        <f t="shared" si="363"/>
        <v>0</v>
      </c>
      <c r="W678" s="158">
        <f t="shared" si="363"/>
        <v>0</v>
      </c>
      <c r="X678" s="158">
        <f t="shared" si="363"/>
        <v>0</v>
      </c>
      <c r="Y678" s="158">
        <f t="shared" si="363"/>
        <v>0</v>
      </c>
      <c r="Z678" s="158">
        <f t="shared" si="363"/>
        <v>0</v>
      </c>
      <c r="AA678" s="158">
        <f t="shared" si="363"/>
        <v>0</v>
      </c>
      <c r="AB678" s="158">
        <f t="shared" si="363"/>
        <v>0</v>
      </c>
      <c r="AC678" s="158">
        <f t="shared" si="363"/>
        <v>0</v>
      </c>
      <c r="AD678" s="158">
        <f t="shared" si="363"/>
        <v>0</v>
      </c>
      <c r="AE678" s="158">
        <f t="shared" si="363"/>
        <v>0</v>
      </c>
      <c r="AF678" s="158">
        <f t="shared" si="363"/>
        <v>0</v>
      </c>
      <c r="AG678" s="158">
        <f t="shared" si="363"/>
        <v>0</v>
      </c>
      <c r="AH678" s="158">
        <f t="shared" si="363"/>
        <v>0</v>
      </c>
      <c r="AI678" s="158">
        <f t="shared" si="363"/>
        <v>0</v>
      </c>
      <c r="AJ678" s="158">
        <f t="shared" si="363"/>
        <v>0</v>
      </c>
      <c r="AK678" s="158">
        <f t="shared" si="363"/>
        <v>0</v>
      </c>
      <c r="AL678" s="158">
        <f t="shared" si="363"/>
        <v>0</v>
      </c>
      <c r="AM678" s="158">
        <f t="shared" si="363"/>
        <v>0</v>
      </c>
      <c r="AN678" s="158">
        <f t="shared" si="363"/>
        <v>0</v>
      </c>
      <c r="AO678" s="158">
        <f t="shared" si="363"/>
        <v>0</v>
      </c>
      <c r="AP678" s="158">
        <f t="shared" si="363"/>
        <v>0</v>
      </c>
    </row>
    <row r="679" spans="1:42" x14ac:dyDescent="0.2">
      <c r="A679" s="4" t="s">
        <v>298</v>
      </c>
      <c r="B679" s="159">
        <v>0</v>
      </c>
      <c r="C679" s="159">
        <f>-C694</f>
        <v>0</v>
      </c>
      <c r="D679" s="159">
        <f t="shared" ref="D679:AP679" si="364">-D694</f>
        <v>0</v>
      </c>
      <c r="E679" s="159">
        <f t="shared" si="364"/>
        <v>0</v>
      </c>
      <c r="F679" s="159">
        <f t="shared" si="364"/>
        <v>0</v>
      </c>
      <c r="G679" s="159">
        <f t="shared" si="364"/>
        <v>0</v>
      </c>
      <c r="H679" s="159">
        <f t="shared" si="364"/>
        <v>0</v>
      </c>
      <c r="I679" s="159">
        <f t="shared" si="364"/>
        <v>0</v>
      </c>
      <c r="J679" s="159">
        <f t="shared" si="364"/>
        <v>0</v>
      </c>
      <c r="K679" s="159">
        <f t="shared" si="364"/>
        <v>0</v>
      </c>
      <c r="L679" s="159">
        <f t="shared" si="364"/>
        <v>0</v>
      </c>
      <c r="M679" s="159">
        <f t="shared" si="364"/>
        <v>0</v>
      </c>
      <c r="N679" s="159">
        <f t="shared" si="364"/>
        <v>0</v>
      </c>
      <c r="O679" s="159">
        <f t="shared" si="364"/>
        <v>0</v>
      </c>
      <c r="P679" s="159">
        <f t="shared" si="364"/>
        <v>0</v>
      </c>
      <c r="Q679" s="159">
        <f t="shared" si="364"/>
        <v>-14129738.20973766</v>
      </c>
      <c r="R679" s="159">
        <f t="shared" si="364"/>
        <v>0</v>
      </c>
      <c r="S679" s="159">
        <f t="shared" si="364"/>
        <v>0</v>
      </c>
      <c r="T679" s="159">
        <f t="shared" si="364"/>
        <v>0</v>
      </c>
      <c r="U679" s="159">
        <f t="shared" si="364"/>
        <v>0</v>
      </c>
      <c r="V679" s="159">
        <f t="shared" si="364"/>
        <v>0</v>
      </c>
      <c r="W679" s="159">
        <f t="shared" si="364"/>
        <v>0</v>
      </c>
      <c r="X679" s="159">
        <f t="shared" si="364"/>
        <v>0</v>
      </c>
      <c r="Y679" s="159">
        <f t="shared" si="364"/>
        <v>0</v>
      </c>
      <c r="Z679" s="159">
        <f t="shared" si="364"/>
        <v>0</v>
      </c>
      <c r="AA679" s="159">
        <f t="shared" si="364"/>
        <v>0</v>
      </c>
      <c r="AB679" s="159">
        <f t="shared" si="364"/>
        <v>0</v>
      </c>
      <c r="AC679" s="159">
        <f t="shared" si="364"/>
        <v>0</v>
      </c>
      <c r="AD679" s="159">
        <f t="shared" si="364"/>
        <v>0</v>
      </c>
      <c r="AE679" s="159">
        <f t="shared" si="364"/>
        <v>0</v>
      </c>
      <c r="AF679" s="159">
        <f t="shared" si="364"/>
        <v>0</v>
      </c>
      <c r="AG679" s="159">
        <f t="shared" si="364"/>
        <v>0</v>
      </c>
      <c r="AH679" s="159">
        <f t="shared" si="364"/>
        <v>0</v>
      </c>
      <c r="AI679" s="159">
        <f t="shared" si="364"/>
        <v>0</v>
      </c>
      <c r="AJ679" s="159">
        <f t="shared" si="364"/>
        <v>0</v>
      </c>
      <c r="AK679" s="159">
        <f t="shared" si="364"/>
        <v>0</v>
      </c>
      <c r="AL679" s="159">
        <f t="shared" si="364"/>
        <v>0</v>
      </c>
      <c r="AM679" s="159">
        <f t="shared" si="364"/>
        <v>0</v>
      </c>
      <c r="AN679" s="159">
        <f t="shared" si="364"/>
        <v>0</v>
      </c>
      <c r="AO679" s="159">
        <f t="shared" si="364"/>
        <v>0</v>
      </c>
      <c r="AP679" s="159">
        <f t="shared" si="364"/>
        <v>0</v>
      </c>
    </row>
    <row r="680" spans="1:42" x14ac:dyDescent="0.2">
      <c r="A680" s="4" t="s">
        <v>258</v>
      </c>
      <c r="B680" s="158">
        <f>SUM(B677:B679)</f>
        <v>0</v>
      </c>
      <c r="C680" s="158">
        <f>SUM(C677:C679)</f>
        <v>941982.54731584399</v>
      </c>
      <c r="D680" s="158">
        <f t="shared" ref="D680:AP680" si="365">SUM(D677:D679)</f>
        <v>1883965.094631688</v>
      </c>
      <c r="E680" s="158">
        <f t="shared" si="365"/>
        <v>2825947.6419475321</v>
      </c>
      <c r="F680" s="158">
        <f t="shared" si="365"/>
        <v>3767930.1892633759</v>
      </c>
      <c r="G680" s="158">
        <f t="shared" si="365"/>
        <v>4709912.7365792198</v>
      </c>
      <c r="H680" s="158">
        <f t="shared" si="365"/>
        <v>5651895.2838950641</v>
      </c>
      <c r="I680" s="158">
        <f t="shared" si="365"/>
        <v>6593877.8312109085</v>
      </c>
      <c r="J680" s="158">
        <f t="shared" si="365"/>
        <v>7535860.3785267528</v>
      </c>
      <c r="K680" s="158">
        <f t="shared" si="365"/>
        <v>8477842.9258425962</v>
      </c>
      <c r="L680" s="158">
        <f t="shared" si="365"/>
        <v>9419825.4731584396</v>
      </c>
      <c r="M680" s="158">
        <f t="shared" si="365"/>
        <v>10361808.020474283</v>
      </c>
      <c r="N680" s="158">
        <f t="shared" si="365"/>
        <v>11303790.567790126</v>
      </c>
      <c r="O680" s="158">
        <f t="shared" si="365"/>
        <v>12245773.11510597</v>
      </c>
      <c r="P680" s="158">
        <f t="shared" si="365"/>
        <v>13187755.662421813</v>
      </c>
      <c r="Q680" s="158">
        <f t="shared" si="365"/>
        <v>0</v>
      </c>
      <c r="R680" s="158">
        <f t="shared" si="365"/>
        <v>0</v>
      </c>
      <c r="S680" s="158">
        <f t="shared" si="365"/>
        <v>0</v>
      </c>
      <c r="T680" s="158">
        <f t="shared" si="365"/>
        <v>0</v>
      </c>
      <c r="U680" s="158">
        <f t="shared" si="365"/>
        <v>0</v>
      </c>
      <c r="V680" s="158">
        <f t="shared" si="365"/>
        <v>0</v>
      </c>
      <c r="W680" s="158">
        <f t="shared" si="365"/>
        <v>0</v>
      </c>
      <c r="X680" s="158">
        <f t="shared" si="365"/>
        <v>0</v>
      </c>
      <c r="Y680" s="158">
        <f t="shared" si="365"/>
        <v>0</v>
      </c>
      <c r="Z680" s="158">
        <f t="shared" si="365"/>
        <v>0</v>
      </c>
      <c r="AA680" s="158">
        <f t="shared" si="365"/>
        <v>0</v>
      </c>
      <c r="AB680" s="158">
        <f t="shared" si="365"/>
        <v>0</v>
      </c>
      <c r="AC680" s="158">
        <f t="shared" si="365"/>
        <v>0</v>
      </c>
      <c r="AD680" s="158">
        <f t="shared" si="365"/>
        <v>0</v>
      </c>
      <c r="AE680" s="158">
        <f t="shared" si="365"/>
        <v>0</v>
      </c>
      <c r="AF680" s="158">
        <f t="shared" si="365"/>
        <v>0</v>
      </c>
      <c r="AG680" s="158">
        <f t="shared" si="365"/>
        <v>0</v>
      </c>
      <c r="AH680" s="158">
        <f t="shared" si="365"/>
        <v>0</v>
      </c>
      <c r="AI680" s="158">
        <f t="shared" si="365"/>
        <v>0</v>
      </c>
      <c r="AJ680" s="158">
        <f t="shared" si="365"/>
        <v>0</v>
      </c>
      <c r="AK680" s="158">
        <f t="shared" si="365"/>
        <v>0</v>
      </c>
      <c r="AL680" s="158">
        <f t="shared" si="365"/>
        <v>0</v>
      </c>
      <c r="AM680" s="158">
        <f t="shared" si="365"/>
        <v>0</v>
      </c>
      <c r="AN680" s="158">
        <f t="shared" si="365"/>
        <v>0</v>
      </c>
      <c r="AO680" s="158">
        <f t="shared" si="365"/>
        <v>0</v>
      </c>
      <c r="AP680" s="158">
        <f t="shared" si="365"/>
        <v>0</v>
      </c>
    </row>
    <row r="681" spans="1:42" x14ac:dyDescent="0.2">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5"/>
    </row>
    <row r="682" spans="1:42" x14ac:dyDescent="0.2">
      <c r="A682" s="4" t="s">
        <v>300</v>
      </c>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5"/>
    </row>
    <row r="683" spans="1:42" x14ac:dyDescent="0.2">
      <c r="A683" s="4" t="s">
        <v>301</v>
      </c>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5"/>
    </row>
    <row r="684" spans="1:42" x14ac:dyDescent="0.2">
      <c r="A684" s="4">
        <v>1</v>
      </c>
      <c r="B684" s="176">
        <f t="shared" ref="B684:B693" si="366">SUM(C684:AP684)</f>
        <v>14129738.20973766</v>
      </c>
      <c r="C684" s="158">
        <f t="shared" ref="C684:AP684" si="367">IF(C$2&gt;analysis_period,0,IF(C$2=equip1_reserve_freq*$A684,equip1_reserve_cost*system_capacity*1000*(1+inflation_rate/100)^B$2,0))</f>
        <v>0</v>
      </c>
      <c r="D684" s="158">
        <f t="shared" si="367"/>
        <v>0</v>
      </c>
      <c r="E684" s="158">
        <f t="shared" si="367"/>
        <v>0</v>
      </c>
      <c r="F684" s="158">
        <f t="shared" si="367"/>
        <v>0</v>
      </c>
      <c r="G684" s="158">
        <f t="shared" si="367"/>
        <v>0</v>
      </c>
      <c r="H684" s="158">
        <f t="shared" si="367"/>
        <v>0</v>
      </c>
      <c r="I684" s="158">
        <f t="shared" si="367"/>
        <v>0</v>
      </c>
      <c r="J684" s="158">
        <f t="shared" si="367"/>
        <v>0</v>
      </c>
      <c r="K684" s="158">
        <f t="shared" si="367"/>
        <v>0</v>
      </c>
      <c r="L684" s="158">
        <f t="shared" si="367"/>
        <v>0</v>
      </c>
      <c r="M684" s="158">
        <f t="shared" si="367"/>
        <v>0</v>
      </c>
      <c r="N684" s="158">
        <f t="shared" si="367"/>
        <v>0</v>
      </c>
      <c r="O684" s="158">
        <f t="shared" si="367"/>
        <v>0</v>
      </c>
      <c r="P684" s="158">
        <f t="shared" si="367"/>
        <v>0</v>
      </c>
      <c r="Q684" s="158">
        <f t="shared" si="367"/>
        <v>14129738.20973766</v>
      </c>
      <c r="R684" s="158">
        <f t="shared" si="367"/>
        <v>0</v>
      </c>
      <c r="S684" s="158">
        <f t="shared" si="367"/>
        <v>0</v>
      </c>
      <c r="T684" s="158">
        <f t="shared" si="367"/>
        <v>0</v>
      </c>
      <c r="U684" s="158">
        <f t="shared" si="367"/>
        <v>0</v>
      </c>
      <c r="V684" s="158">
        <f t="shared" si="367"/>
        <v>0</v>
      </c>
      <c r="W684" s="158">
        <f t="shared" si="367"/>
        <v>0</v>
      </c>
      <c r="X684" s="158">
        <f t="shared" si="367"/>
        <v>0</v>
      </c>
      <c r="Y684" s="158">
        <f t="shared" si="367"/>
        <v>0</v>
      </c>
      <c r="Z684" s="158">
        <f t="shared" si="367"/>
        <v>0</v>
      </c>
      <c r="AA684" s="158">
        <f t="shared" si="367"/>
        <v>0</v>
      </c>
      <c r="AB684" s="158">
        <f t="shared" si="367"/>
        <v>0</v>
      </c>
      <c r="AC684" s="158">
        <f t="shared" si="367"/>
        <v>0</v>
      </c>
      <c r="AD684" s="158">
        <f t="shared" si="367"/>
        <v>0</v>
      </c>
      <c r="AE684" s="158">
        <f t="shared" si="367"/>
        <v>0</v>
      </c>
      <c r="AF684" s="158">
        <f t="shared" si="367"/>
        <v>0</v>
      </c>
      <c r="AG684" s="158">
        <f t="shared" si="367"/>
        <v>0</v>
      </c>
      <c r="AH684" s="158">
        <f t="shared" si="367"/>
        <v>0</v>
      </c>
      <c r="AI684" s="158">
        <f t="shared" si="367"/>
        <v>0</v>
      </c>
      <c r="AJ684" s="158">
        <f t="shared" si="367"/>
        <v>0</v>
      </c>
      <c r="AK684" s="158">
        <f t="shared" si="367"/>
        <v>0</v>
      </c>
      <c r="AL684" s="158">
        <f t="shared" si="367"/>
        <v>0</v>
      </c>
      <c r="AM684" s="158">
        <f t="shared" si="367"/>
        <v>0</v>
      </c>
      <c r="AN684" s="158">
        <f t="shared" si="367"/>
        <v>0</v>
      </c>
      <c r="AO684" s="158">
        <f t="shared" si="367"/>
        <v>0</v>
      </c>
      <c r="AP684" s="158">
        <f t="shared" si="367"/>
        <v>0</v>
      </c>
    </row>
    <row r="685" spans="1:42" x14ac:dyDescent="0.2">
      <c r="A685" s="4">
        <f>A684+1</f>
        <v>2</v>
      </c>
      <c r="B685" s="176">
        <f t="shared" si="366"/>
        <v>0</v>
      </c>
      <c r="C685" s="158">
        <f t="shared" ref="C685:AP685" si="368">IF(C$2&gt;analysis_period,0,IF(C$2=equip1_reserve_freq*$A685,equip1_reserve_cost*system_capacity*1000*(1+inflation_rate/100)^B$2,0))</f>
        <v>0</v>
      </c>
      <c r="D685" s="158">
        <f t="shared" si="368"/>
        <v>0</v>
      </c>
      <c r="E685" s="158">
        <f t="shared" si="368"/>
        <v>0</v>
      </c>
      <c r="F685" s="158">
        <f t="shared" si="368"/>
        <v>0</v>
      </c>
      <c r="G685" s="158">
        <f t="shared" si="368"/>
        <v>0</v>
      </c>
      <c r="H685" s="158">
        <f t="shared" si="368"/>
        <v>0</v>
      </c>
      <c r="I685" s="158">
        <f t="shared" si="368"/>
        <v>0</v>
      </c>
      <c r="J685" s="158">
        <f t="shared" si="368"/>
        <v>0</v>
      </c>
      <c r="K685" s="158">
        <f t="shared" si="368"/>
        <v>0</v>
      </c>
      <c r="L685" s="158">
        <f t="shared" si="368"/>
        <v>0</v>
      </c>
      <c r="M685" s="158">
        <f t="shared" si="368"/>
        <v>0</v>
      </c>
      <c r="N685" s="158">
        <f t="shared" si="368"/>
        <v>0</v>
      </c>
      <c r="O685" s="158">
        <f t="shared" si="368"/>
        <v>0</v>
      </c>
      <c r="P685" s="158">
        <f t="shared" si="368"/>
        <v>0</v>
      </c>
      <c r="Q685" s="158">
        <f t="shared" si="368"/>
        <v>0</v>
      </c>
      <c r="R685" s="158">
        <f t="shared" si="368"/>
        <v>0</v>
      </c>
      <c r="S685" s="158">
        <f t="shared" si="368"/>
        <v>0</v>
      </c>
      <c r="T685" s="158">
        <f t="shared" si="368"/>
        <v>0</v>
      </c>
      <c r="U685" s="158">
        <f t="shared" si="368"/>
        <v>0</v>
      </c>
      <c r="V685" s="158">
        <f t="shared" si="368"/>
        <v>0</v>
      </c>
      <c r="W685" s="158">
        <f t="shared" si="368"/>
        <v>0</v>
      </c>
      <c r="X685" s="158">
        <f t="shared" si="368"/>
        <v>0</v>
      </c>
      <c r="Y685" s="158">
        <f t="shared" si="368"/>
        <v>0</v>
      </c>
      <c r="Z685" s="158">
        <f t="shared" si="368"/>
        <v>0</v>
      </c>
      <c r="AA685" s="158">
        <f t="shared" si="368"/>
        <v>0</v>
      </c>
      <c r="AB685" s="158">
        <f t="shared" si="368"/>
        <v>0</v>
      </c>
      <c r="AC685" s="158">
        <f t="shared" si="368"/>
        <v>0</v>
      </c>
      <c r="AD685" s="158">
        <f t="shared" si="368"/>
        <v>0</v>
      </c>
      <c r="AE685" s="158">
        <f t="shared" si="368"/>
        <v>0</v>
      </c>
      <c r="AF685" s="158">
        <f t="shared" si="368"/>
        <v>0</v>
      </c>
      <c r="AG685" s="158">
        <f t="shared" si="368"/>
        <v>0</v>
      </c>
      <c r="AH685" s="158">
        <f t="shared" si="368"/>
        <v>0</v>
      </c>
      <c r="AI685" s="158">
        <f t="shared" si="368"/>
        <v>0</v>
      </c>
      <c r="AJ685" s="158">
        <f t="shared" si="368"/>
        <v>0</v>
      </c>
      <c r="AK685" s="158">
        <f t="shared" si="368"/>
        <v>0</v>
      </c>
      <c r="AL685" s="158">
        <f t="shared" si="368"/>
        <v>0</v>
      </c>
      <c r="AM685" s="158">
        <f t="shared" si="368"/>
        <v>0</v>
      </c>
      <c r="AN685" s="158">
        <f t="shared" si="368"/>
        <v>0</v>
      </c>
      <c r="AO685" s="158">
        <f t="shared" si="368"/>
        <v>0</v>
      </c>
      <c r="AP685" s="158">
        <f t="shared" si="368"/>
        <v>0</v>
      </c>
    </row>
    <row r="686" spans="1:42" x14ac:dyDescent="0.2">
      <c r="A686" s="4">
        <f t="shared" ref="A686:A693" si="369">A685+1</f>
        <v>3</v>
      </c>
      <c r="B686" s="176">
        <f t="shared" si="366"/>
        <v>0</v>
      </c>
      <c r="C686" s="158">
        <f t="shared" ref="C686:AP686" si="370">IF(C$2&gt;analysis_period,0,IF(C$2=equip1_reserve_freq*$A686,equip1_reserve_cost*system_capacity*1000*(1+inflation_rate/100)^B$2,0))</f>
        <v>0</v>
      </c>
      <c r="D686" s="158">
        <f t="shared" si="370"/>
        <v>0</v>
      </c>
      <c r="E686" s="158">
        <f t="shared" si="370"/>
        <v>0</v>
      </c>
      <c r="F686" s="158">
        <f t="shared" si="370"/>
        <v>0</v>
      </c>
      <c r="G686" s="158">
        <f t="shared" si="370"/>
        <v>0</v>
      </c>
      <c r="H686" s="158">
        <f t="shared" si="370"/>
        <v>0</v>
      </c>
      <c r="I686" s="158">
        <f t="shared" si="370"/>
        <v>0</v>
      </c>
      <c r="J686" s="158">
        <f t="shared" si="370"/>
        <v>0</v>
      </c>
      <c r="K686" s="158">
        <f t="shared" si="370"/>
        <v>0</v>
      </c>
      <c r="L686" s="158">
        <f t="shared" si="370"/>
        <v>0</v>
      </c>
      <c r="M686" s="158">
        <f t="shared" si="370"/>
        <v>0</v>
      </c>
      <c r="N686" s="158">
        <f t="shared" si="370"/>
        <v>0</v>
      </c>
      <c r="O686" s="158">
        <f t="shared" si="370"/>
        <v>0</v>
      </c>
      <c r="P686" s="158">
        <f t="shared" si="370"/>
        <v>0</v>
      </c>
      <c r="Q686" s="158">
        <f t="shared" si="370"/>
        <v>0</v>
      </c>
      <c r="R686" s="158">
        <f t="shared" si="370"/>
        <v>0</v>
      </c>
      <c r="S686" s="158">
        <f t="shared" si="370"/>
        <v>0</v>
      </c>
      <c r="T686" s="158">
        <f t="shared" si="370"/>
        <v>0</v>
      </c>
      <c r="U686" s="158">
        <f t="shared" si="370"/>
        <v>0</v>
      </c>
      <c r="V686" s="158">
        <f t="shared" si="370"/>
        <v>0</v>
      </c>
      <c r="W686" s="158">
        <f t="shared" si="370"/>
        <v>0</v>
      </c>
      <c r="X686" s="158">
        <f t="shared" si="370"/>
        <v>0</v>
      </c>
      <c r="Y686" s="158">
        <f t="shared" si="370"/>
        <v>0</v>
      </c>
      <c r="Z686" s="158">
        <f t="shared" si="370"/>
        <v>0</v>
      </c>
      <c r="AA686" s="158">
        <f t="shared" si="370"/>
        <v>0</v>
      </c>
      <c r="AB686" s="158">
        <f t="shared" si="370"/>
        <v>0</v>
      </c>
      <c r="AC686" s="158">
        <f t="shared" si="370"/>
        <v>0</v>
      </c>
      <c r="AD686" s="158">
        <f t="shared" si="370"/>
        <v>0</v>
      </c>
      <c r="AE686" s="158">
        <f t="shared" si="370"/>
        <v>0</v>
      </c>
      <c r="AF686" s="158">
        <f t="shared" si="370"/>
        <v>0</v>
      </c>
      <c r="AG686" s="158">
        <f t="shared" si="370"/>
        <v>0</v>
      </c>
      <c r="AH686" s="158">
        <f t="shared" si="370"/>
        <v>0</v>
      </c>
      <c r="AI686" s="158">
        <f t="shared" si="370"/>
        <v>0</v>
      </c>
      <c r="AJ686" s="158">
        <f t="shared" si="370"/>
        <v>0</v>
      </c>
      <c r="AK686" s="158">
        <f t="shared" si="370"/>
        <v>0</v>
      </c>
      <c r="AL686" s="158">
        <f t="shared" si="370"/>
        <v>0</v>
      </c>
      <c r="AM686" s="158">
        <f t="shared" si="370"/>
        <v>0</v>
      </c>
      <c r="AN686" s="158">
        <f t="shared" si="370"/>
        <v>0</v>
      </c>
      <c r="AO686" s="158">
        <f t="shared" si="370"/>
        <v>0</v>
      </c>
      <c r="AP686" s="158">
        <f t="shared" si="370"/>
        <v>0</v>
      </c>
    </row>
    <row r="687" spans="1:42" x14ac:dyDescent="0.2">
      <c r="A687" s="4">
        <f t="shared" si="369"/>
        <v>4</v>
      </c>
      <c r="B687" s="176">
        <f t="shared" si="366"/>
        <v>0</v>
      </c>
      <c r="C687" s="158">
        <f t="shared" ref="C687:AP687" si="371">IF(C$2&gt;analysis_period,0,IF(C$2=equip1_reserve_freq*$A687,equip1_reserve_cost*system_capacity*1000*(1+inflation_rate/100)^B$2,0))</f>
        <v>0</v>
      </c>
      <c r="D687" s="158">
        <f t="shared" si="371"/>
        <v>0</v>
      </c>
      <c r="E687" s="158">
        <f t="shared" si="371"/>
        <v>0</v>
      </c>
      <c r="F687" s="158">
        <f t="shared" si="371"/>
        <v>0</v>
      </c>
      <c r="G687" s="158">
        <f t="shared" si="371"/>
        <v>0</v>
      </c>
      <c r="H687" s="158">
        <f t="shared" si="371"/>
        <v>0</v>
      </c>
      <c r="I687" s="158">
        <f t="shared" si="371"/>
        <v>0</v>
      </c>
      <c r="J687" s="158">
        <f t="shared" si="371"/>
        <v>0</v>
      </c>
      <c r="K687" s="158">
        <f t="shared" si="371"/>
        <v>0</v>
      </c>
      <c r="L687" s="158">
        <f t="shared" si="371"/>
        <v>0</v>
      </c>
      <c r="M687" s="158">
        <f t="shared" si="371"/>
        <v>0</v>
      </c>
      <c r="N687" s="158">
        <f t="shared" si="371"/>
        <v>0</v>
      </c>
      <c r="O687" s="158">
        <f t="shared" si="371"/>
        <v>0</v>
      </c>
      <c r="P687" s="158">
        <f t="shared" si="371"/>
        <v>0</v>
      </c>
      <c r="Q687" s="158">
        <f t="shared" si="371"/>
        <v>0</v>
      </c>
      <c r="R687" s="158">
        <f t="shared" si="371"/>
        <v>0</v>
      </c>
      <c r="S687" s="158">
        <f t="shared" si="371"/>
        <v>0</v>
      </c>
      <c r="T687" s="158">
        <f t="shared" si="371"/>
        <v>0</v>
      </c>
      <c r="U687" s="158">
        <f t="shared" si="371"/>
        <v>0</v>
      </c>
      <c r="V687" s="158">
        <f t="shared" si="371"/>
        <v>0</v>
      </c>
      <c r="W687" s="158">
        <f t="shared" si="371"/>
        <v>0</v>
      </c>
      <c r="X687" s="158">
        <f t="shared" si="371"/>
        <v>0</v>
      </c>
      <c r="Y687" s="158">
        <f t="shared" si="371"/>
        <v>0</v>
      </c>
      <c r="Z687" s="158">
        <f t="shared" si="371"/>
        <v>0</v>
      </c>
      <c r="AA687" s="158">
        <f t="shared" si="371"/>
        <v>0</v>
      </c>
      <c r="AB687" s="158">
        <f t="shared" si="371"/>
        <v>0</v>
      </c>
      <c r="AC687" s="158">
        <f t="shared" si="371"/>
        <v>0</v>
      </c>
      <c r="AD687" s="158">
        <f t="shared" si="371"/>
        <v>0</v>
      </c>
      <c r="AE687" s="158">
        <f t="shared" si="371"/>
        <v>0</v>
      </c>
      <c r="AF687" s="158">
        <f t="shared" si="371"/>
        <v>0</v>
      </c>
      <c r="AG687" s="158">
        <f t="shared" si="371"/>
        <v>0</v>
      </c>
      <c r="AH687" s="158">
        <f t="shared" si="371"/>
        <v>0</v>
      </c>
      <c r="AI687" s="158">
        <f t="shared" si="371"/>
        <v>0</v>
      </c>
      <c r="AJ687" s="158">
        <f t="shared" si="371"/>
        <v>0</v>
      </c>
      <c r="AK687" s="158">
        <f t="shared" si="371"/>
        <v>0</v>
      </c>
      <c r="AL687" s="158">
        <f t="shared" si="371"/>
        <v>0</v>
      </c>
      <c r="AM687" s="158">
        <f t="shared" si="371"/>
        <v>0</v>
      </c>
      <c r="AN687" s="158">
        <f t="shared" si="371"/>
        <v>0</v>
      </c>
      <c r="AO687" s="158">
        <f t="shared" si="371"/>
        <v>0</v>
      </c>
      <c r="AP687" s="158">
        <f t="shared" si="371"/>
        <v>0</v>
      </c>
    </row>
    <row r="688" spans="1:42" x14ac:dyDescent="0.2">
      <c r="A688" s="4">
        <f t="shared" si="369"/>
        <v>5</v>
      </c>
      <c r="B688" s="176">
        <f t="shared" si="366"/>
        <v>0</v>
      </c>
      <c r="C688" s="158">
        <f t="shared" ref="C688:AP688" si="372">IF(C$2&gt;analysis_period,0,IF(C$2=equip1_reserve_freq*$A688,equip1_reserve_cost*system_capacity*1000*(1+inflation_rate/100)^B$2,0))</f>
        <v>0</v>
      </c>
      <c r="D688" s="158">
        <f t="shared" si="372"/>
        <v>0</v>
      </c>
      <c r="E688" s="158">
        <f t="shared" si="372"/>
        <v>0</v>
      </c>
      <c r="F688" s="158">
        <f t="shared" si="372"/>
        <v>0</v>
      </c>
      <c r="G688" s="158">
        <f t="shared" si="372"/>
        <v>0</v>
      </c>
      <c r="H688" s="158">
        <f t="shared" si="372"/>
        <v>0</v>
      </c>
      <c r="I688" s="158">
        <f t="shared" si="372"/>
        <v>0</v>
      </c>
      <c r="J688" s="158">
        <f t="shared" si="372"/>
        <v>0</v>
      </c>
      <c r="K688" s="158">
        <f t="shared" si="372"/>
        <v>0</v>
      </c>
      <c r="L688" s="158">
        <f t="shared" si="372"/>
        <v>0</v>
      </c>
      <c r="M688" s="158">
        <f t="shared" si="372"/>
        <v>0</v>
      </c>
      <c r="N688" s="158">
        <f t="shared" si="372"/>
        <v>0</v>
      </c>
      <c r="O688" s="158">
        <f t="shared" si="372"/>
        <v>0</v>
      </c>
      <c r="P688" s="158">
        <f t="shared" si="372"/>
        <v>0</v>
      </c>
      <c r="Q688" s="158">
        <f t="shared" si="372"/>
        <v>0</v>
      </c>
      <c r="R688" s="158">
        <f t="shared" si="372"/>
        <v>0</v>
      </c>
      <c r="S688" s="158">
        <f t="shared" si="372"/>
        <v>0</v>
      </c>
      <c r="T688" s="158">
        <f t="shared" si="372"/>
        <v>0</v>
      </c>
      <c r="U688" s="158">
        <f t="shared" si="372"/>
        <v>0</v>
      </c>
      <c r="V688" s="158">
        <f t="shared" si="372"/>
        <v>0</v>
      </c>
      <c r="W688" s="158">
        <f t="shared" si="372"/>
        <v>0</v>
      </c>
      <c r="X688" s="158">
        <f t="shared" si="372"/>
        <v>0</v>
      </c>
      <c r="Y688" s="158">
        <f t="shared" si="372"/>
        <v>0</v>
      </c>
      <c r="Z688" s="158">
        <f t="shared" si="372"/>
        <v>0</v>
      </c>
      <c r="AA688" s="158">
        <f t="shared" si="372"/>
        <v>0</v>
      </c>
      <c r="AB688" s="158">
        <f t="shared" si="372"/>
        <v>0</v>
      </c>
      <c r="AC688" s="158">
        <f t="shared" si="372"/>
        <v>0</v>
      </c>
      <c r="AD688" s="158">
        <f t="shared" si="372"/>
        <v>0</v>
      </c>
      <c r="AE688" s="158">
        <f t="shared" si="372"/>
        <v>0</v>
      </c>
      <c r="AF688" s="158">
        <f t="shared" si="372"/>
        <v>0</v>
      </c>
      <c r="AG688" s="158">
        <f t="shared" si="372"/>
        <v>0</v>
      </c>
      <c r="AH688" s="158">
        <f t="shared" si="372"/>
        <v>0</v>
      </c>
      <c r="AI688" s="158">
        <f t="shared" si="372"/>
        <v>0</v>
      </c>
      <c r="AJ688" s="158">
        <f t="shared" si="372"/>
        <v>0</v>
      </c>
      <c r="AK688" s="158">
        <f t="shared" si="372"/>
        <v>0</v>
      </c>
      <c r="AL688" s="158">
        <f t="shared" si="372"/>
        <v>0</v>
      </c>
      <c r="AM688" s="158">
        <f t="shared" si="372"/>
        <v>0</v>
      </c>
      <c r="AN688" s="158">
        <f t="shared" si="372"/>
        <v>0</v>
      </c>
      <c r="AO688" s="158">
        <f t="shared" si="372"/>
        <v>0</v>
      </c>
      <c r="AP688" s="158">
        <f t="shared" si="372"/>
        <v>0</v>
      </c>
    </row>
    <row r="689" spans="1:42" x14ac:dyDescent="0.2">
      <c r="A689" s="4">
        <f t="shared" si="369"/>
        <v>6</v>
      </c>
      <c r="B689" s="176">
        <f t="shared" si="366"/>
        <v>0</v>
      </c>
      <c r="C689" s="158">
        <f t="shared" ref="C689:AP689" si="373">IF(C$2&gt;analysis_period,0,IF(C$2=equip1_reserve_freq*$A689,equip1_reserve_cost*system_capacity*1000*(1+inflation_rate/100)^B$2,0))</f>
        <v>0</v>
      </c>
      <c r="D689" s="158">
        <f t="shared" si="373"/>
        <v>0</v>
      </c>
      <c r="E689" s="158">
        <f t="shared" si="373"/>
        <v>0</v>
      </c>
      <c r="F689" s="158">
        <f t="shared" si="373"/>
        <v>0</v>
      </c>
      <c r="G689" s="158">
        <f t="shared" si="373"/>
        <v>0</v>
      </c>
      <c r="H689" s="158">
        <f t="shared" si="373"/>
        <v>0</v>
      </c>
      <c r="I689" s="158">
        <f t="shared" si="373"/>
        <v>0</v>
      </c>
      <c r="J689" s="158">
        <f t="shared" si="373"/>
        <v>0</v>
      </c>
      <c r="K689" s="158">
        <f t="shared" si="373"/>
        <v>0</v>
      </c>
      <c r="L689" s="158">
        <f t="shared" si="373"/>
        <v>0</v>
      </c>
      <c r="M689" s="158">
        <f t="shared" si="373"/>
        <v>0</v>
      </c>
      <c r="N689" s="158">
        <f t="shared" si="373"/>
        <v>0</v>
      </c>
      <c r="O689" s="158">
        <f t="shared" si="373"/>
        <v>0</v>
      </c>
      <c r="P689" s="158">
        <f t="shared" si="373"/>
        <v>0</v>
      </c>
      <c r="Q689" s="158">
        <f t="shared" si="373"/>
        <v>0</v>
      </c>
      <c r="R689" s="158">
        <f t="shared" si="373"/>
        <v>0</v>
      </c>
      <c r="S689" s="158">
        <f t="shared" si="373"/>
        <v>0</v>
      </c>
      <c r="T689" s="158">
        <f t="shared" si="373"/>
        <v>0</v>
      </c>
      <c r="U689" s="158">
        <f t="shared" si="373"/>
        <v>0</v>
      </c>
      <c r="V689" s="158">
        <f t="shared" si="373"/>
        <v>0</v>
      </c>
      <c r="W689" s="158">
        <f t="shared" si="373"/>
        <v>0</v>
      </c>
      <c r="X689" s="158">
        <f t="shared" si="373"/>
        <v>0</v>
      </c>
      <c r="Y689" s="158">
        <f t="shared" si="373"/>
        <v>0</v>
      </c>
      <c r="Z689" s="158">
        <f t="shared" si="373"/>
        <v>0</v>
      </c>
      <c r="AA689" s="158">
        <f t="shared" si="373"/>
        <v>0</v>
      </c>
      <c r="AB689" s="158">
        <f t="shared" si="373"/>
        <v>0</v>
      </c>
      <c r="AC689" s="158">
        <f t="shared" si="373"/>
        <v>0</v>
      </c>
      <c r="AD689" s="158">
        <f t="shared" si="373"/>
        <v>0</v>
      </c>
      <c r="AE689" s="158">
        <f t="shared" si="373"/>
        <v>0</v>
      </c>
      <c r="AF689" s="158">
        <f t="shared" si="373"/>
        <v>0</v>
      </c>
      <c r="AG689" s="158">
        <f t="shared" si="373"/>
        <v>0</v>
      </c>
      <c r="AH689" s="158">
        <f t="shared" si="373"/>
        <v>0</v>
      </c>
      <c r="AI689" s="158">
        <f t="shared" si="373"/>
        <v>0</v>
      </c>
      <c r="AJ689" s="158">
        <f t="shared" si="373"/>
        <v>0</v>
      </c>
      <c r="AK689" s="158">
        <f t="shared" si="373"/>
        <v>0</v>
      </c>
      <c r="AL689" s="158">
        <f t="shared" si="373"/>
        <v>0</v>
      </c>
      <c r="AM689" s="158">
        <f t="shared" si="373"/>
        <v>0</v>
      </c>
      <c r="AN689" s="158">
        <f t="shared" si="373"/>
        <v>0</v>
      </c>
      <c r="AO689" s="158">
        <f t="shared" si="373"/>
        <v>0</v>
      </c>
      <c r="AP689" s="158">
        <f t="shared" si="373"/>
        <v>0</v>
      </c>
    </row>
    <row r="690" spans="1:42" x14ac:dyDescent="0.2">
      <c r="A690" s="4">
        <f t="shared" si="369"/>
        <v>7</v>
      </c>
      <c r="B690" s="176">
        <f t="shared" si="366"/>
        <v>0</v>
      </c>
      <c r="C690" s="158">
        <f t="shared" ref="C690:AP690" si="374">IF(C$2&gt;analysis_period,0,IF(C$2=equip1_reserve_freq*$A690,equip1_reserve_cost*system_capacity*1000*(1+inflation_rate/100)^B$2,0))</f>
        <v>0</v>
      </c>
      <c r="D690" s="158">
        <f t="shared" si="374"/>
        <v>0</v>
      </c>
      <c r="E690" s="158">
        <f t="shared" si="374"/>
        <v>0</v>
      </c>
      <c r="F690" s="158">
        <f t="shared" si="374"/>
        <v>0</v>
      </c>
      <c r="G690" s="158">
        <f t="shared" si="374"/>
        <v>0</v>
      </c>
      <c r="H690" s="158">
        <f t="shared" si="374"/>
        <v>0</v>
      </c>
      <c r="I690" s="158">
        <f t="shared" si="374"/>
        <v>0</v>
      </c>
      <c r="J690" s="158">
        <f t="shared" si="374"/>
        <v>0</v>
      </c>
      <c r="K690" s="158">
        <f t="shared" si="374"/>
        <v>0</v>
      </c>
      <c r="L690" s="158">
        <f t="shared" si="374"/>
        <v>0</v>
      </c>
      <c r="M690" s="158">
        <f t="shared" si="374"/>
        <v>0</v>
      </c>
      <c r="N690" s="158">
        <f t="shared" si="374"/>
        <v>0</v>
      </c>
      <c r="O690" s="158">
        <f t="shared" si="374"/>
        <v>0</v>
      </c>
      <c r="P690" s="158">
        <f t="shared" si="374"/>
        <v>0</v>
      </c>
      <c r="Q690" s="158">
        <f t="shared" si="374"/>
        <v>0</v>
      </c>
      <c r="R690" s="158">
        <f t="shared" si="374"/>
        <v>0</v>
      </c>
      <c r="S690" s="158">
        <f t="shared" si="374"/>
        <v>0</v>
      </c>
      <c r="T690" s="158">
        <f t="shared" si="374"/>
        <v>0</v>
      </c>
      <c r="U690" s="158">
        <f t="shared" si="374"/>
        <v>0</v>
      </c>
      <c r="V690" s="158">
        <f t="shared" si="374"/>
        <v>0</v>
      </c>
      <c r="W690" s="158">
        <f t="shared" si="374"/>
        <v>0</v>
      </c>
      <c r="X690" s="158">
        <f t="shared" si="374"/>
        <v>0</v>
      </c>
      <c r="Y690" s="158">
        <f t="shared" si="374"/>
        <v>0</v>
      </c>
      <c r="Z690" s="158">
        <f t="shared" si="374"/>
        <v>0</v>
      </c>
      <c r="AA690" s="158">
        <f t="shared" si="374"/>
        <v>0</v>
      </c>
      <c r="AB690" s="158">
        <f t="shared" si="374"/>
        <v>0</v>
      </c>
      <c r="AC690" s="158">
        <f t="shared" si="374"/>
        <v>0</v>
      </c>
      <c r="AD690" s="158">
        <f t="shared" si="374"/>
        <v>0</v>
      </c>
      <c r="AE690" s="158">
        <f t="shared" si="374"/>
        <v>0</v>
      </c>
      <c r="AF690" s="158">
        <f t="shared" si="374"/>
        <v>0</v>
      </c>
      <c r="AG690" s="158">
        <f t="shared" si="374"/>
        <v>0</v>
      </c>
      <c r="AH690" s="158">
        <f t="shared" si="374"/>
        <v>0</v>
      </c>
      <c r="AI690" s="158">
        <f t="shared" si="374"/>
        <v>0</v>
      </c>
      <c r="AJ690" s="158">
        <f t="shared" si="374"/>
        <v>0</v>
      </c>
      <c r="AK690" s="158">
        <f t="shared" si="374"/>
        <v>0</v>
      </c>
      <c r="AL690" s="158">
        <f t="shared" si="374"/>
        <v>0</v>
      </c>
      <c r="AM690" s="158">
        <f t="shared" si="374"/>
        <v>0</v>
      </c>
      <c r="AN690" s="158">
        <f t="shared" si="374"/>
        <v>0</v>
      </c>
      <c r="AO690" s="158">
        <f t="shared" si="374"/>
        <v>0</v>
      </c>
      <c r="AP690" s="158">
        <f t="shared" si="374"/>
        <v>0</v>
      </c>
    </row>
    <row r="691" spans="1:42" x14ac:dyDescent="0.2">
      <c r="A691" s="4">
        <f t="shared" si="369"/>
        <v>8</v>
      </c>
      <c r="B691" s="176">
        <f t="shared" si="366"/>
        <v>0</v>
      </c>
      <c r="C691" s="158">
        <f t="shared" ref="C691:AP691" si="375">IF(C$2&gt;analysis_period,0,IF(C$2=equip1_reserve_freq*$A691,equip1_reserve_cost*system_capacity*1000*(1+inflation_rate/100)^B$2,0))</f>
        <v>0</v>
      </c>
      <c r="D691" s="158">
        <f t="shared" si="375"/>
        <v>0</v>
      </c>
      <c r="E691" s="158">
        <f t="shared" si="375"/>
        <v>0</v>
      </c>
      <c r="F691" s="158">
        <f t="shared" si="375"/>
        <v>0</v>
      </c>
      <c r="G691" s="158">
        <f t="shared" si="375"/>
        <v>0</v>
      </c>
      <c r="H691" s="158">
        <f t="shared" si="375"/>
        <v>0</v>
      </c>
      <c r="I691" s="158">
        <f t="shared" si="375"/>
        <v>0</v>
      </c>
      <c r="J691" s="158">
        <f t="shared" si="375"/>
        <v>0</v>
      </c>
      <c r="K691" s="158">
        <f t="shared" si="375"/>
        <v>0</v>
      </c>
      <c r="L691" s="158">
        <f t="shared" si="375"/>
        <v>0</v>
      </c>
      <c r="M691" s="158">
        <f t="shared" si="375"/>
        <v>0</v>
      </c>
      <c r="N691" s="158">
        <f t="shared" si="375"/>
        <v>0</v>
      </c>
      <c r="O691" s="158">
        <f t="shared" si="375"/>
        <v>0</v>
      </c>
      <c r="P691" s="158">
        <f t="shared" si="375"/>
        <v>0</v>
      </c>
      <c r="Q691" s="158">
        <f t="shared" si="375"/>
        <v>0</v>
      </c>
      <c r="R691" s="158">
        <f t="shared" si="375"/>
        <v>0</v>
      </c>
      <c r="S691" s="158">
        <f t="shared" si="375"/>
        <v>0</v>
      </c>
      <c r="T691" s="158">
        <f t="shared" si="375"/>
        <v>0</v>
      </c>
      <c r="U691" s="158">
        <f t="shared" si="375"/>
        <v>0</v>
      </c>
      <c r="V691" s="158">
        <f t="shared" si="375"/>
        <v>0</v>
      </c>
      <c r="W691" s="158">
        <f t="shared" si="375"/>
        <v>0</v>
      </c>
      <c r="X691" s="158">
        <f t="shared" si="375"/>
        <v>0</v>
      </c>
      <c r="Y691" s="158">
        <f t="shared" si="375"/>
        <v>0</v>
      </c>
      <c r="Z691" s="158">
        <f t="shared" si="375"/>
        <v>0</v>
      </c>
      <c r="AA691" s="158">
        <f t="shared" si="375"/>
        <v>0</v>
      </c>
      <c r="AB691" s="158">
        <f t="shared" si="375"/>
        <v>0</v>
      </c>
      <c r="AC691" s="158">
        <f t="shared" si="375"/>
        <v>0</v>
      </c>
      <c r="AD691" s="158">
        <f t="shared" si="375"/>
        <v>0</v>
      </c>
      <c r="AE691" s="158">
        <f t="shared" si="375"/>
        <v>0</v>
      </c>
      <c r="AF691" s="158">
        <f t="shared" si="375"/>
        <v>0</v>
      </c>
      <c r="AG691" s="158">
        <f t="shared" si="375"/>
        <v>0</v>
      </c>
      <c r="AH691" s="158">
        <f t="shared" si="375"/>
        <v>0</v>
      </c>
      <c r="AI691" s="158">
        <f t="shared" si="375"/>
        <v>0</v>
      </c>
      <c r="AJ691" s="158">
        <f t="shared" si="375"/>
        <v>0</v>
      </c>
      <c r="AK691" s="158">
        <f t="shared" si="375"/>
        <v>0</v>
      </c>
      <c r="AL691" s="158">
        <f t="shared" si="375"/>
        <v>0</v>
      </c>
      <c r="AM691" s="158">
        <f t="shared" si="375"/>
        <v>0</v>
      </c>
      <c r="AN691" s="158">
        <f t="shared" si="375"/>
        <v>0</v>
      </c>
      <c r="AO691" s="158">
        <f t="shared" si="375"/>
        <v>0</v>
      </c>
      <c r="AP691" s="158">
        <f t="shared" si="375"/>
        <v>0</v>
      </c>
    </row>
    <row r="692" spans="1:42" x14ac:dyDescent="0.2">
      <c r="A692" s="4">
        <f>A691+1</f>
        <v>9</v>
      </c>
      <c r="B692" s="176">
        <f t="shared" si="366"/>
        <v>0</v>
      </c>
      <c r="C692" s="158">
        <f t="shared" ref="C692:AP692" si="376">IF(C$2&gt;analysis_period,0,IF(C$2=equip1_reserve_freq*$A692,equip1_reserve_cost*system_capacity*1000*(1+inflation_rate/100)^B$2,0))</f>
        <v>0</v>
      </c>
      <c r="D692" s="158">
        <f t="shared" si="376"/>
        <v>0</v>
      </c>
      <c r="E692" s="158">
        <f t="shared" si="376"/>
        <v>0</v>
      </c>
      <c r="F692" s="158">
        <f t="shared" si="376"/>
        <v>0</v>
      </c>
      <c r="G692" s="158">
        <f t="shared" si="376"/>
        <v>0</v>
      </c>
      <c r="H692" s="158">
        <f t="shared" si="376"/>
        <v>0</v>
      </c>
      <c r="I692" s="158">
        <f t="shared" si="376"/>
        <v>0</v>
      </c>
      <c r="J692" s="158">
        <f t="shared" si="376"/>
        <v>0</v>
      </c>
      <c r="K692" s="158">
        <f t="shared" si="376"/>
        <v>0</v>
      </c>
      <c r="L692" s="158">
        <f t="shared" si="376"/>
        <v>0</v>
      </c>
      <c r="M692" s="158">
        <f t="shared" si="376"/>
        <v>0</v>
      </c>
      <c r="N692" s="158">
        <f t="shared" si="376"/>
        <v>0</v>
      </c>
      <c r="O692" s="158">
        <f t="shared" si="376"/>
        <v>0</v>
      </c>
      <c r="P692" s="158">
        <f t="shared" si="376"/>
        <v>0</v>
      </c>
      <c r="Q692" s="158">
        <f t="shared" si="376"/>
        <v>0</v>
      </c>
      <c r="R692" s="158">
        <f t="shared" si="376"/>
        <v>0</v>
      </c>
      <c r="S692" s="158">
        <f t="shared" si="376"/>
        <v>0</v>
      </c>
      <c r="T692" s="158">
        <f t="shared" si="376"/>
        <v>0</v>
      </c>
      <c r="U692" s="158">
        <f t="shared" si="376"/>
        <v>0</v>
      </c>
      <c r="V692" s="158">
        <f t="shared" si="376"/>
        <v>0</v>
      </c>
      <c r="W692" s="158">
        <f t="shared" si="376"/>
        <v>0</v>
      </c>
      <c r="X692" s="158">
        <f t="shared" si="376"/>
        <v>0</v>
      </c>
      <c r="Y692" s="158">
        <f t="shared" si="376"/>
        <v>0</v>
      </c>
      <c r="Z692" s="158">
        <f t="shared" si="376"/>
        <v>0</v>
      </c>
      <c r="AA692" s="158">
        <f t="shared" si="376"/>
        <v>0</v>
      </c>
      <c r="AB692" s="158">
        <f t="shared" si="376"/>
        <v>0</v>
      </c>
      <c r="AC692" s="158">
        <f t="shared" si="376"/>
        <v>0</v>
      </c>
      <c r="AD692" s="158">
        <f t="shared" si="376"/>
        <v>0</v>
      </c>
      <c r="AE692" s="158">
        <f t="shared" si="376"/>
        <v>0</v>
      </c>
      <c r="AF692" s="158">
        <f t="shared" si="376"/>
        <v>0</v>
      </c>
      <c r="AG692" s="158">
        <f t="shared" si="376"/>
        <v>0</v>
      </c>
      <c r="AH692" s="158">
        <f t="shared" si="376"/>
        <v>0</v>
      </c>
      <c r="AI692" s="158">
        <f t="shared" si="376"/>
        <v>0</v>
      </c>
      <c r="AJ692" s="158">
        <f t="shared" si="376"/>
        <v>0</v>
      </c>
      <c r="AK692" s="158">
        <f t="shared" si="376"/>
        <v>0</v>
      </c>
      <c r="AL692" s="158">
        <f t="shared" si="376"/>
        <v>0</v>
      </c>
      <c r="AM692" s="158">
        <f t="shared" si="376"/>
        <v>0</v>
      </c>
      <c r="AN692" s="158">
        <f t="shared" si="376"/>
        <v>0</v>
      </c>
      <c r="AO692" s="158">
        <f t="shared" si="376"/>
        <v>0</v>
      </c>
      <c r="AP692" s="158">
        <f t="shared" si="376"/>
        <v>0</v>
      </c>
    </row>
    <row r="693" spans="1:42" x14ac:dyDescent="0.2">
      <c r="A693" s="4">
        <f t="shared" si="369"/>
        <v>10</v>
      </c>
      <c r="B693" s="176">
        <f t="shared" si="366"/>
        <v>0</v>
      </c>
      <c r="C693" s="158">
        <f t="shared" ref="C693:AP693" si="377">IF(C$2&gt;analysis_period,0,IF(C$2=equip1_reserve_freq*$A693,equip1_reserve_cost*system_capacity*1000*(1+inflation_rate/100)^B$2,0))</f>
        <v>0</v>
      </c>
      <c r="D693" s="158">
        <f t="shared" si="377"/>
        <v>0</v>
      </c>
      <c r="E693" s="158">
        <f t="shared" si="377"/>
        <v>0</v>
      </c>
      <c r="F693" s="158">
        <f t="shared" si="377"/>
        <v>0</v>
      </c>
      <c r="G693" s="158">
        <f t="shared" si="377"/>
        <v>0</v>
      </c>
      <c r="H693" s="158">
        <f t="shared" si="377"/>
        <v>0</v>
      </c>
      <c r="I693" s="158">
        <f t="shared" si="377"/>
        <v>0</v>
      </c>
      <c r="J693" s="158">
        <f t="shared" si="377"/>
        <v>0</v>
      </c>
      <c r="K693" s="158">
        <f t="shared" si="377"/>
        <v>0</v>
      </c>
      <c r="L693" s="158">
        <f t="shared" si="377"/>
        <v>0</v>
      </c>
      <c r="M693" s="158">
        <f t="shared" si="377"/>
        <v>0</v>
      </c>
      <c r="N693" s="158">
        <f t="shared" si="377"/>
        <v>0</v>
      </c>
      <c r="O693" s="158">
        <f t="shared" si="377"/>
        <v>0</v>
      </c>
      <c r="P693" s="158">
        <f t="shared" si="377"/>
        <v>0</v>
      </c>
      <c r="Q693" s="158">
        <f t="shared" si="377"/>
        <v>0</v>
      </c>
      <c r="R693" s="158">
        <f t="shared" si="377"/>
        <v>0</v>
      </c>
      <c r="S693" s="158">
        <f t="shared" si="377"/>
        <v>0</v>
      </c>
      <c r="T693" s="158">
        <f t="shared" si="377"/>
        <v>0</v>
      </c>
      <c r="U693" s="158">
        <f t="shared" si="377"/>
        <v>0</v>
      </c>
      <c r="V693" s="158">
        <f t="shared" si="377"/>
        <v>0</v>
      </c>
      <c r="W693" s="158">
        <f t="shared" si="377"/>
        <v>0</v>
      </c>
      <c r="X693" s="158">
        <f t="shared" si="377"/>
        <v>0</v>
      </c>
      <c r="Y693" s="158">
        <f t="shared" si="377"/>
        <v>0</v>
      </c>
      <c r="Z693" s="158">
        <f t="shared" si="377"/>
        <v>0</v>
      </c>
      <c r="AA693" s="158">
        <f t="shared" si="377"/>
        <v>0</v>
      </c>
      <c r="AB693" s="158">
        <f t="shared" si="377"/>
        <v>0</v>
      </c>
      <c r="AC693" s="158">
        <f t="shared" si="377"/>
        <v>0</v>
      </c>
      <c r="AD693" s="158">
        <f t="shared" si="377"/>
        <v>0</v>
      </c>
      <c r="AE693" s="158">
        <f t="shared" si="377"/>
        <v>0</v>
      </c>
      <c r="AF693" s="158">
        <f t="shared" si="377"/>
        <v>0</v>
      </c>
      <c r="AG693" s="158">
        <f t="shared" si="377"/>
        <v>0</v>
      </c>
      <c r="AH693" s="158">
        <f t="shared" si="377"/>
        <v>0</v>
      </c>
      <c r="AI693" s="158">
        <f t="shared" si="377"/>
        <v>0</v>
      </c>
      <c r="AJ693" s="158">
        <f t="shared" si="377"/>
        <v>0</v>
      </c>
      <c r="AK693" s="158">
        <f t="shared" si="377"/>
        <v>0</v>
      </c>
      <c r="AL693" s="158">
        <f t="shared" si="377"/>
        <v>0</v>
      </c>
      <c r="AM693" s="158">
        <f t="shared" si="377"/>
        <v>0</v>
      </c>
      <c r="AN693" s="158">
        <f t="shared" si="377"/>
        <v>0</v>
      </c>
      <c r="AO693" s="158">
        <f t="shared" si="377"/>
        <v>0</v>
      </c>
      <c r="AP693" s="158">
        <f t="shared" si="377"/>
        <v>0</v>
      </c>
    </row>
    <row r="694" spans="1:42" x14ac:dyDescent="0.2">
      <c r="A694" s="27" t="s">
        <v>13</v>
      </c>
      <c r="B694" s="15"/>
      <c r="C694" s="158">
        <f>SUM(C684:C693)</f>
        <v>0</v>
      </c>
      <c r="D694" s="158">
        <f t="shared" ref="D694:AD694" si="378">SUM(D684:D693)</f>
        <v>0</v>
      </c>
      <c r="E694" s="158">
        <f t="shared" si="378"/>
        <v>0</v>
      </c>
      <c r="F694" s="158">
        <f t="shared" si="378"/>
        <v>0</v>
      </c>
      <c r="G694" s="158">
        <f t="shared" si="378"/>
        <v>0</v>
      </c>
      <c r="H694" s="158">
        <f t="shared" si="378"/>
        <v>0</v>
      </c>
      <c r="I694" s="158">
        <f t="shared" si="378"/>
        <v>0</v>
      </c>
      <c r="J694" s="158">
        <f t="shared" si="378"/>
        <v>0</v>
      </c>
      <c r="K694" s="158">
        <f t="shared" si="378"/>
        <v>0</v>
      </c>
      <c r="L694" s="158">
        <f t="shared" si="378"/>
        <v>0</v>
      </c>
      <c r="M694" s="158">
        <f t="shared" si="378"/>
        <v>0</v>
      </c>
      <c r="N694" s="158">
        <f t="shared" si="378"/>
        <v>0</v>
      </c>
      <c r="O694" s="158">
        <f t="shared" si="378"/>
        <v>0</v>
      </c>
      <c r="P694" s="158">
        <f t="shared" si="378"/>
        <v>0</v>
      </c>
      <c r="Q694" s="158">
        <f t="shared" si="378"/>
        <v>14129738.20973766</v>
      </c>
      <c r="R694" s="158">
        <f t="shared" si="378"/>
        <v>0</v>
      </c>
      <c r="S694" s="158">
        <f t="shared" si="378"/>
        <v>0</v>
      </c>
      <c r="T694" s="158">
        <f t="shared" si="378"/>
        <v>0</v>
      </c>
      <c r="U694" s="158">
        <f t="shared" si="378"/>
        <v>0</v>
      </c>
      <c r="V694" s="158">
        <f t="shared" si="378"/>
        <v>0</v>
      </c>
      <c r="W694" s="158">
        <f t="shared" si="378"/>
        <v>0</v>
      </c>
      <c r="X694" s="158">
        <f t="shared" si="378"/>
        <v>0</v>
      </c>
      <c r="Y694" s="158">
        <f t="shared" si="378"/>
        <v>0</v>
      </c>
      <c r="Z694" s="158">
        <f t="shared" si="378"/>
        <v>0</v>
      </c>
      <c r="AA694" s="158">
        <f t="shared" si="378"/>
        <v>0</v>
      </c>
      <c r="AB694" s="158">
        <f t="shared" si="378"/>
        <v>0</v>
      </c>
      <c r="AC694" s="158">
        <f t="shared" si="378"/>
        <v>0</v>
      </c>
      <c r="AD694" s="158">
        <f t="shared" si="378"/>
        <v>0</v>
      </c>
      <c r="AE694" s="158">
        <f t="shared" ref="AE694" si="379">SUM(AE684:AE693)</f>
        <v>0</v>
      </c>
      <c r="AF694" s="158">
        <f t="shared" ref="AF694:AP694" si="380">SUM(AF684:AF693)</f>
        <v>0</v>
      </c>
      <c r="AG694" s="158">
        <f t="shared" si="380"/>
        <v>0</v>
      </c>
      <c r="AH694" s="158">
        <f t="shared" si="380"/>
        <v>0</v>
      </c>
      <c r="AI694" s="158">
        <f t="shared" si="380"/>
        <v>0</v>
      </c>
      <c r="AJ694" s="158">
        <f t="shared" si="380"/>
        <v>0</v>
      </c>
      <c r="AK694" s="158">
        <f t="shared" si="380"/>
        <v>0</v>
      </c>
      <c r="AL694" s="158">
        <f t="shared" si="380"/>
        <v>0</v>
      </c>
      <c r="AM694" s="158">
        <f t="shared" si="380"/>
        <v>0</v>
      </c>
      <c r="AN694" s="158">
        <f t="shared" si="380"/>
        <v>0</v>
      </c>
      <c r="AO694" s="158">
        <f t="shared" si="380"/>
        <v>0</v>
      </c>
      <c r="AP694" s="158">
        <f t="shared" si="380"/>
        <v>0</v>
      </c>
    </row>
    <row r="695" spans="1:42" x14ac:dyDescent="0.2">
      <c r="A695" s="4" t="s">
        <v>302</v>
      </c>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5"/>
    </row>
    <row r="696" spans="1:42" x14ac:dyDescent="0.2">
      <c r="A696" s="4">
        <v>1</v>
      </c>
      <c r="B696" s="176">
        <f t="shared" ref="B696:B705" si="381">SUM(C696:AP696)</f>
        <v>14129738.209737657</v>
      </c>
      <c r="C696" s="158">
        <f t="shared" ref="C696:AP696" si="382">IF(C$2&lt;=equip1_reserve_freq*$A$684,$B$684/(equip1_reserve_freq),0)</f>
        <v>941982.54731584399</v>
      </c>
      <c r="D696" s="158">
        <f t="shared" si="382"/>
        <v>941982.54731584399</v>
      </c>
      <c r="E696" s="158">
        <f t="shared" si="382"/>
        <v>941982.54731584399</v>
      </c>
      <c r="F696" s="158">
        <f t="shared" si="382"/>
        <v>941982.54731584399</v>
      </c>
      <c r="G696" s="158">
        <f t="shared" si="382"/>
        <v>941982.54731584399</v>
      </c>
      <c r="H696" s="158">
        <f t="shared" si="382"/>
        <v>941982.54731584399</v>
      </c>
      <c r="I696" s="158">
        <f t="shared" si="382"/>
        <v>941982.54731584399</v>
      </c>
      <c r="J696" s="158">
        <f t="shared" si="382"/>
        <v>941982.54731584399</v>
      </c>
      <c r="K696" s="158">
        <f t="shared" si="382"/>
        <v>941982.54731584399</v>
      </c>
      <c r="L696" s="158">
        <f t="shared" si="382"/>
        <v>941982.54731584399</v>
      </c>
      <c r="M696" s="158">
        <f t="shared" si="382"/>
        <v>941982.54731584399</v>
      </c>
      <c r="N696" s="158">
        <f t="shared" si="382"/>
        <v>941982.54731584399</v>
      </c>
      <c r="O696" s="158">
        <f t="shared" si="382"/>
        <v>941982.54731584399</v>
      </c>
      <c r="P696" s="158">
        <f t="shared" si="382"/>
        <v>941982.54731584399</v>
      </c>
      <c r="Q696" s="158">
        <f t="shared" si="382"/>
        <v>941982.54731584399</v>
      </c>
      <c r="R696" s="158">
        <f t="shared" si="382"/>
        <v>0</v>
      </c>
      <c r="S696" s="158">
        <f t="shared" si="382"/>
        <v>0</v>
      </c>
      <c r="T696" s="158">
        <f t="shared" si="382"/>
        <v>0</v>
      </c>
      <c r="U696" s="158">
        <f t="shared" si="382"/>
        <v>0</v>
      </c>
      <c r="V696" s="158">
        <f t="shared" si="382"/>
        <v>0</v>
      </c>
      <c r="W696" s="158">
        <f t="shared" si="382"/>
        <v>0</v>
      </c>
      <c r="X696" s="158">
        <f t="shared" si="382"/>
        <v>0</v>
      </c>
      <c r="Y696" s="158">
        <f t="shared" si="382"/>
        <v>0</v>
      </c>
      <c r="Z696" s="158">
        <f t="shared" si="382"/>
        <v>0</v>
      </c>
      <c r="AA696" s="158">
        <f t="shared" si="382"/>
        <v>0</v>
      </c>
      <c r="AB696" s="158">
        <f t="shared" si="382"/>
        <v>0</v>
      </c>
      <c r="AC696" s="158">
        <f t="shared" si="382"/>
        <v>0</v>
      </c>
      <c r="AD696" s="158">
        <f t="shared" si="382"/>
        <v>0</v>
      </c>
      <c r="AE696" s="158">
        <f t="shared" si="382"/>
        <v>0</v>
      </c>
      <c r="AF696" s="158">
        <f t="shared" si="382"/>
        <v>0</v>
      </c>
      <c r="AG696" s="158">
        <f t="shared" si="382"/>
        <v>0</v>
      </c>
      <c r="AH696" s="158">
        <f t="shared" si="382"/>
        <v>0</v>
      </c>
      <c r="AI696" s="158">
        <f t="shared" si="382"/>
        <v>0</v>
      </c>
      <c r="AJ696" s="158">
        <f t="shared" si="382"/>
        <v>0</v>
      </c>
      <c r="AK696" s="158">
        <f t="shared" si="382"/>
        <v>0</v>
      </c>
      <c r="AL696" s="158">
        <f t="shared" si="382"/>
        <v>0</v>
      </c>
      <c r="AM696" s="158">
        <f t="shared" si="382"/>
        <v>0</v>
      </c>
      <c r="AN696" s="158">
        <f t="shared" si="382"/>
        <v>0</v>
      </c>
      <c r="AO696" s="158">
        <f t="shared" si="382"/>
        <v>0</v>
      </c>
      <c r="AP696" s="158">
        <f t="shared" si="382"/>
        <v>0</v>
      </c>
    </row>
    <row r="697" spans="1:42" x14ac:dyDescent="0.2">
      <c r="A697" s="4">
        <f>A696+1</f>
        <v>2</v>
      </c>
      <c r="B697" s="176">
        <f t="shared" si="381"/>
        <v>0</v>
      </c>
      <c r="C697" s="178">
        <f t="shared" ref="C697:AP697" si="383">IF(AND(C$2&gt;equip1_reserve_freq*$A684,C$2&lt;=equip1_reserve_freq*$A685),$B685/(equip1_reserve_freq),0)</f>
        <v>0</v>
      </c>
      <c r="D697" s="158">
        <f t="shared" si="383"/>
        <v>0</v>
      </c>
      <c r="E697" s="158">
        <f t="shared" si="383"/>
        <v>0</v>
      </c>
      <c r="F697" s="158">
        <f t="shared" si="383"/>
        <v>0</v>
      </c>
      <c r="G697" s="158">
        <f t="shared" si="383"/>
        <v>0</v>
      </c>
      <c r="H697" s="158">
        <f t="shared" si="383"/>
        <v>0</v>
      </c>
      <c r="I697" s="158">
        <f t="shared" si="383"/>
        <v>0</v>
      </c>
      <c r="J697" s="158">
        <f t="shared" si="383"/>
        <v>0</v>
      </c>
      <c r="K697" s="158">
        <f t="shared" si="383"/>
        <v>0</v>
      </c>
      <c r="L697" s="158">
        <f t="shared" si="383"/>
        <v>0</v>
      </c>
      <c r="M697" s="158">
        <f t="shared" si="383"/>
        <v>0</v>
      </c>
      <c r="N697" s="158">
        <f t="shared" si="383"/>
        <v>0</v>
      </c>
      <c r="O697" s="158">
        <f t="shared" si="383"/>
        <v>0</v>
      </c>
      <c r="P697" s="158">
        <f t="shared" si="383"/>
        <v>0</v>
      </c>
      <c r="Q697" s="158">
        <f t="shared" si="383"/>
        <v>0</v>
      </c>
      <c r="R697" s="158">
        <f t="shared" si="383"/>
        <v>0</v>
      </c>
      <c r="S697" s="158">
        <f t="shared" si="383"/>
        <v>0</v>
      </c>
      <c r="T697" s="158">
        <f t="shared" si="383"/>
        <v>0</v>
      </c>
      <c r="U697" s="158">
        <f t="shared" si="383"/>
        <v>0</v>
      </c>
      <c r="V697" s="158">
        <f t="shared" si="383"/>
        <v>0</v>
      </c>
      <c r="W697" s="158">
        <f t="shared" si="383"/>
        <v>0</v>
      </c>
      <c r="X697" s="158">
        <f t="shared" si="383"/>
        <v>0</v>
      </c>
      <c r="Y697" s="158">
        <f t="shared" si="383"/>
        <v>0</v>
      </c>
      <c r="Z697" s="158">
        <f t="shared" si="383"/>
        <v>0</v>
      </c>
      <c r="AA697" s="158">
        <f t="shared" si="383"/>
        <v>0</v>
      </c>
      <c r="AB697" s="158">
        <f t="shared" si="383"/>
        <v>0</v>
      </c>
      <c r="AC697" s="158">
        <f t="shared" si="383"/>
        <v>0</v>
      </c>
      <c r="AD697" s="158">
        <f t="shared" si="383"/>
        <v>0</v>
      </c>
      <c r="AE697" s="158">
        <f t="shared" si="383"/>
        <v>0</v>
      </c>
      <c r="AF697" s="158">
        <f t="shared" si="383"/>
        <v>0</v>
      </c>
      <c r="AG697" s="158">
        <f t="shared" si="383"/>
        <v>0</v>
      </c>
      <c r="AH697" s="158">
        <f t="shared" si="383"/>
        <v>0</v>
      </c>
      <c r="AI697" s="158">
        <f t="shared" si="383"/>
        <v>0</v>
      </c>
      <c r="AJ697" s="158">
        <f t="shared" si="383"/>
        <v>0</v>
      </c>
      <c r="AK697" s="158">
        <f t="shared" si="383"/>
        <v>0</v>
      </c>
      <c r="AL697" s="158">
        <f t="shared" si="383"/>
        <v>0</v>
      </c>
      <c r="AM697" s="158">
        <f t="shared" si="383"/>
        <v>0</v>
      </c>
      <c r="AN697" s="158">
        <f t="shared" si="383"/>
        <v>0</v>
      </c>
      <c r="AO697" s="158">
        <f t="shared" si="383"/>
        <v>0</v>
      </c>
      <c r="AP697" s="158">
        <f t="shared" si="383"/>
        <v>0</v>
      </c>
    </row>
    <row r="698" spans="1:42" x14ac:dyDescent="0.2">
      <c r="A698" s="4">
        <f t="shared" ref="A698:A703" si="384">A697+1</f>
        <v>3</v>
      </c>
      <c r="B698" s="176">
        <f t="shared" si="381"/>
        <v>0</v>
      </c>
      <c r="C698" s="178">
        <f t="shared" ref="C698:AP698" si="385">IF(AND(C$2&gt;equip1_reserve_freq*$A685,C$2&lt;=equip1_reserve_freq*$A686),$B686/(equip1_reserve_freq),0)</f>
        <v>0</v>
      </c>
      <c r="D698" s="158">
        <f t="shared" si="385"/>
        <v>0</v>
      </c>
      <c r="E698" s="158">
        <f t="shared" si="385"/>
        <v>0</v>
      </c>
      <c r="F698" s="158">
        <f t="shared" si="385"/>
        <v>0</v>
      </c>
      <c r="G698" s="158">
        <f t="shared" si="385"/>
        <v>0</v>
      </c>
      <c r="H698" s="158">
        <f t="shared" si="385"/>
        <v>0</v>
      </c>
      <c r="I698" s="158">
        <f t="shared" si="385"/>
        <v>0</v>
      </c>
      <c r="J698" s="158">
        <f t="shared" si="385"/>
        <v>0</v>
      </c>
      <c r="K698" s="158">
        <f t="shared" si="385"/>
        <v>0</v>
      </c>
      <c r="L698" s="158">
        <f t="shared" si="385"/>
        <v>0</v>
      </c>
      <c r="M698" s="158">
        <f t="shared" si="385"/>
        <v>0</v>
      </c>
      <c r="N698" s="158">
        <f t="shared" si="385"/>
        <v>0</v>
      </c>
      <c r="O698" s="158">
        <f t="shared" si="385"/>
        <v>0</v>
      </c>
      <c r="P698" s="158">
        <f t="shared" si="385"/>
        <v>0</v>
      </c>
      <c r="Q698" s="158">
        <f t="shared" si="385"/>
        <v>0</v>
      </c>
      <c r="R698" s="158">
        <f t="shared" si="385"/>
        <v>0</v>
      </c>
      <c r="S698" s="158">
        <f t="shared" si="385"/>
        <v>0</v>
      </c>
      <c r="T698" s="158">
        <f t="shared" si="385"/>
        <v>0</v>
      </c>
      <c r="U698" s="158">
        <f t="shared" si="385"/>
        <v>0</v>
      </c>
      <c r="V698" s="158">
        <f t="shared" si="385"/>
        <v>0</v>
      </c>
      <c r="W698" s="158">
        <f t="shared" si="385"/>
        <v>0</v>
      </c>
      <c r="X698" s="158">
        <f t="shared" si="385"/>
        <v>0</v>
      </c>
      <c r="Y698" s="158">
        <f t="shared" si="385"/>
        <v>0</v>
      </c>
      <c r="Z698" s="158">
        <f t="shared" si="385"/>
        <v>0</v>
      </c>
      <c r="AA698" s="158">
        <f t="shared" si="385"/>
        <v>0</v>
      </c>
      <c r="AB698" s="158">
        <f t="shared" si="385"/>
        <v>0</v>
      </c>
      <c r="AC698" s="158">
        <f t="shared" si="385"/>
        <v>0</v>
      </c>
      <c r="AD698" s="158">
        <f t="shared" si="385"/>
        <v>0</v>
      </c>
      <c r="AE698" s="158">
        <f t="shared" si="385"/>
        <v>0</v>
      </c>
      <c r="AF698" s="158">
        <f t="shared" si="385"/>
        <v>0</v>
      </c>
      <c r="AG698" s="158">
        <f t="shared" si="385"/>
        <v>0</v>
      </c>
      <c r="AH698" s="158">
        <f t="shared" si="385"/>
        <v>0</v>
      </c>
      <c r="AI698" s="158">
        <f t="shared" si="385"/>
        <v>0</v>
      </c>
      <c r="AJ698" s="158">
        <f t="shared" si="385"/>
        <v>0</v>
      </c>
      <c r="AK698" s="158">
        <f t="shared" si="385"/>
        <v>0</v>
      </c>
      <c r="AL698" s="158">
        <f t="shared" si="385"/>
        <v>0</v>
      </c>
      <c r="AM698" s="158">
        <f t="shared" si="385"/>
        <v>0</v>
      </c>
      <c r="AN698" s="158">
        <f t="shared" si="385"/>
        <v>0</v>
      </c>
      <c r="AO698" s="158">
        <f t="shared" si="385"/>
        <v>0</v>
      </c>
      <c r="AP698" s="158">
        <f t="shared" si="385"/>
        <v>0</v>
      </c>
    </row>
    <row r="699" spans="1:42" x14ac:dyDescent="0.2">
      <c r="A699" s="4">
        <f t="shared" si="384"/>
        <v>4</v>
      </c>
      <c r="B699" s="176">
        <f t="shared" si="381"/>
        <v>0</v>
      </c>
      <c r="C699" s="178">
        <f t="shared" ref="C699:AP699" si="386">IF(AND(C$2&gt;equip1_reserve_freq*$A686,C$2&lt;=equip1_reserve_freq*$A687),$B687/(equip1_reserve_freq),0)</f>
        <v>0</v>
      </c>
      <c r="D699" s="158">
        <f t="shared" si="386"/>
        <v>0</v>
      </c>
      <c r="E699" s="158">
        <f t="shared" si="386"/>
        <v>0</v>
      </c>
      <c r="F699" s="158">
        <f t="shared" si="386"/>
        <v>0</v>
      </c>
      <c r="G699" s="158">
        <f t="shared" si="386"/>
        <v>0</v>
      </c>
      <c r="H699" s="158">
        <f t="shared" si="386"/>
        <v>0</v>
      </c>
      <c r="I699" s="158">
        <f t="shared" si="386"/>
        <v>0</v>
      </c>
      <c r="J699" s="158">
        <f t="shared" si="386"/>
        <v>0</v>
      </c>
      <c r="K699" s="158">
        <f t="shared" si="386"/>
        <v>0</v>
      </c>
      <c r="L699" s="158">
        <f t="shared" si="386"/>
        <v>0</v>
      </c>
      <c r="M699" s="158">
        <f t="shared" si="386"/>
        <v>0</v>
      </c>
      <c r="N699" s="158">
        <f t="shared" si="386"/>
        <v>0</v>
      </c>
      <c r="O699" s="158">
        <f t="shared" si="386"/>
        <v>0</v>
      </c>
      <c r="P699" s="158">
        <f t="shared" si="386"/>
        <v>0</v>
      </c>
      <c r="Q699" s="158">
        <f t="shared" si="386"/>
        <v>0</v>
      </c>
      <c r="R699" s="158">
        <f t="shared" si="386"/>
        <v>0</v>
      </c>
      <c r="S699" s="158">
        <f t="shared" si="386"/>
        <v>0</v>
      </c>
      <c r="T699" s="158">
        <f t="shared" si="386"/>
        <v>0</v>
      </c>
      <c r="U699" s="158">
        <f t="shared" si="386"/>
        <v>0</v>
      </c>
      <c r="V699" s="158">
        <f t="shared" si="386"/>
        <v>0</v>
      </c>
      <c r="W699" s="158">
        <f t="shared" si="386"/>
        <v>0</v>
      </c>
      <c r="X699" s="158">
        <f t="shared" si="386"/>
        <v>0</v>
      </c>
      <c r="Y699" s="158">
        <f t="shared" si="386"/>
        <v>0</v>
      </c>
      <c r="Z699" s="158">
        <f t="shared" si="386"/>
        <v>0</v>
      </c>
      <c r="AA699" s="158">
        <f t="shared" si="386"/>
        <v>0</v>
      </c>
      <c r="AB699" s="158">
        <f t="shared" si="386"/>
        <v>0</v>
      </c>
      <c r="AC699" s="158">
        <f t="shared" si="386"/>
        <v>0</v>
      </c>
      <c r="AD699" s="158">
        <f t="shared" si="386"/>
        <v>0</v>
      </c>
      <c r="AE699" s="158">
        <f t="shared" si="386"/>
        <v>0</v>
      </c>
      <c r="AF699" s="158">
        <f t="shared" si="386"/>
        <v>0</v>
      </c>
      <c r="AG699" s="158">
        <f t="shared" si="386"/>
        <v>0</v>
      </c>
      <c r="AH699" s="158">
        <f t="shared" si="386"/>
        <v>0</v>
      </c>
      <c r="AI699" s="158">
        <f t="shared" si="386"/>
        <v>0</v>
      </c>
      <c r="AJ699" s="158">
        <f t="shared" si="386"/>
        <v>0</v>
      </c>
      <c r="AK699" s="158">
        <f t="shared" si="386"/>
        <v>0</v>
      </c>
      <c r="AL699" s="158">
        <f t="shared" si="386"/>
        <v>0</v>
      </c>
      <c r="AM699" s="158">
        <f t="shared" si="386"/>
        <v>0</v>
      </c>
      <c r="AN699" s="158">
        <f t="shared" si="386"/>
        <v>0</v>
      </c>
      <c r="AO699" s="158">
        <f t="shared" si="386"/>
        <v>0</v>
      </c>
      <c r="AP699" s="158">
        <f t="shared" si="386"/>
        <v>0</v>
      </c>
    </row>
    <row r="700" spans="1:42" x14ac:dyDescent="0.2">
      <c r="A700" s="4">
        <f t="shared" si="384"/>
        <v>5</v>
      </c>
      <c r="B700" s="176">
        <f t="shared" si="381"/>
        <v>0</v>
      </c>
      <c r="C700" s="178">
        <f t="shared" ref="C700:AP700" si="387">IF(AND(C$2&gt;equip1_reserve_freq*$A687,C$2&lt;=equip1_reserve_freq*$A688),$B688/(equip1_reserve_freq),0)</f>
        <v>0</v>
      </c>
      <c r="D700" s="158">
        <f t="shared" si="387"/>
        <v>0</v>
      </c>
      <c r="E700" s="158">
        <f t="shared" si="387"/>
        <v>0</v>
      </c>
      <c r="F700" s="158">
        <f t="shared" si="387"/>
        <v>0</v>
      </c>
      <c r="G700" s="158">
        <f t="shared" si="387"/>
        <v>0</v>
      </c>
      <c r="H700" s="158">
        <f t="shared" si="387"/>
        <v>0</v>
      </c>
      <c r="I700" s="158">
        <f t="shared" si="387"/>
        <v>0</v>
      </c>
      <c r="J700" s="158">
        <f t="shared" si="387"/>
        <v>0</v>
      </c>
      <c r="K700" s="158">
        <f t="shared" si="387"/>
        <v>0</v>
      </c>
      <c r="L700" s="158">
        <f t="shared" si="387"/>
        <v>0</v>
      </c>
      <c r="M700" s="158">
        <f t="shared" si="387"/>
        <v>0</v>
      </c>
      <c r="N700" s="158">
        <f t="shared" si="387"/>
        <v>0</v>
      </c>
      <c r="O700" s="158">
        <f t="shared" si="387"/>
        <v>0</v>
      </c>
      <c r="P700" s="158">
        <f t="shared" si="387"/>
        <v>0</v>
      </c>
      <c r="Q700" s="158">
        <f t="shared" si="387"/>
        <v>0</v>
      </c>
      <c r="R700" s="158">
        <f t="shared" si="387"/>
        <v>0</v>
      </c>
      <c r="S700" s="158">
        <f t="shared" si="387"/>
        <v>0</v>
      </c>
      <c r="T700" s="158">
        <f t="shared" si="387"/>
        <v>0</v>
      </c>
      <c r="U700" s="158">
        <f t="shared" si="387"/>
        <v>0</v>
      </c>
      <c r="V700" s="158">
        <f t="shared" si="387"/>
        <v>0</v>
      </c>
      <c r="W700" s="158">
        <f t="shared" si="387"/>
        <v>0</v>
      </c>
      <c r="X700" s="158">
        <f t="shared" si="387"/>
        <v>0</v>
      </c>
      <c r="Y700" s="158">
        <f t="shared" si="387"/>
        <v>0</v>
      </c>
      <c r="Z700" s="158">
        <f t="shared" si="387"/>
        <v>0</v>
      </c>
      <c r="AA700" s="158">
        <f t="shared" si="387"/>
        <v>0</v>
      </c>
      <c r="AB700" s="158">
        <f t="shared" si="387"/>
        <v>0</v>
      </c>
      <c r="AC700" s="158">
        <f t="shared" si="387"/>
        <v>0</v>
      </c>
      <c r="AD700" s="158">
        <f t="shared" si="387"/>
        <v>0</v>
      </c>
      <c r="AE700" s="158">
        <f t="shared" si="387"/>
        <v>0</v>
      </c>
      <c r="AF700" s="158">
        <f t="shared" si="387"/>
        <v>0</v>
      </c>
      <c r="AG700" s="158">
        <f t="shared" si="387"/>
        <v>0</v>
      </c>
      <c r="AH700" s="158">
        <f t="shared" si="387"/>
        <v>0</v>
      </c>
      <c r="AI700" s="158">
        <f t="shared" si="387"/>
        <v>0</v>
      </c>
      <c r="AJ700" s="158">
        <f t="shared" si="387"/>
        <v>0</v>
      </c>
      <c r="AK700" s="158">
        <f t="shared" si="387"/>
        <v>0</v>
      </c>
      <c r="AL700" s="158">
        <f t="shared" si="387"/>
        <v>0</v>
      </c>
      <c r="AM700" s="158">
        <f t="shared" si="387"/>
        <v>0</v>
      </c>
      <c r="AN700" s="158">
        <f t="shared" si="387"/>
        <v>0</v>
      </c>
      <c r="AO700" s="158">
        <f t="shared" si="387"/>
        <v>0</v>
      </c>
      <c r="AP700" s="158">
        <f t="shared" si="387"/>
        <v>0</v>
      </c>
    </row>
    <row r="701" spans="1:42" x14ac:dyDescent="0.2">
      <c r="A701" s="4">
        <f t="shared" si="384"/>
        <v>6</v>
      </c>
      <c r="B701" s="176">
        <f t="shared" si="381"/>
        <v>0</v>
      </c>
      <c r="C701" s="178">
        <f t="shared" ref="C701:AP701" si="388">IF(AND(C$2&gt;equip1_reserve_freq*$A688,C$2&lt;=equip1_reserve_freq*$A689),$B689/(equip1_reserve_freq),0)</f>
        <v>0</v>
      </c>
      <c r="D701" s="158">
        <f t="shared" si="388"/>
        <v>0</v>
      </c>
      <c r="E701" s="158">
        <f t="shared" si="388"/>
        <v>0</v>
      </c>
      <c r="F701" s="158">
        <f t="shared" si="388"/>
        <v>0</v>
      </c>
      <c r="G701" s="158">
        <f t="shared" si="388"/>
        <v>0</v>
      </c>
      <c r="H701" s="158">
        <f t="shared" si="388"/>
        <v>0</v>
      </c>
      <c r="I701" s="158">
        <f t="shared" si="388"/>
        <v>0</v>
      </c>
      <c r="J701" s="158">
        <f t="shared" si="388"/>
        <v>0</v>
      </c>
      <c r="K701" s="158">
        <f t="shared" si="388"/>
        <v>0</v>
      </c>
      <c r="L701" s="158">
        <f t="shared" si="388"/>
        <v>0</v>
      </c>
      <c r="M701" s="158">
        <f t="shared" si="388"/>
        <v>0</v>
      </c>
      <c r="N701" s="158">
        <f t="shared" si="388"/>
        <v>0</v>
      </c>
      <c r="O701" s="158">
        <f t="shared" si="388"/>
        <v>0</v>
      </c>
      <c r="P701" s="158">
        <f t="shared" si="388"/>
        <v>0</v>
      </c>
      <c r="Q701" s="158">
        <f t="shared" si="388"/>
        <v>0</v>
      </c>
      <c r="R701" s="158">
        <f t="shared" si="388"/>
        <v>0</v>
      </c>
      <c r="S701" s="158">
        <f t="shared" si="388"/>
        <v>0</v>
      </c>
      <c r="T701" s="158">
        <f t="shared" si="388"/>
        <v>0</v>
      </c>
      <c r="U701" s="158">
        <f t="shared" si="388"/>
        <v>0</v>
      </c>
      <c r="V701" s="158">
        <f t="shared" si="388"/>
        <v>0</v>
      </c>
      <c r="W701" s="158">
        <f t="shared" si="388"/>
        <v>0</v>
      </c>
      <c r="X701" s="158">
        <f t="shared" si="388"/>
        <v>0</v>
      </c>
      <c r="Y701" s="158">
        <f t="shared" si="388"/>
        <v>0</v>
      </c>
      <c r="Z701" s="158">
        <f t="shared" si="388"/>
        <v>0</v>
      </c>
      <c r="AA701" s="158">
        <f t="shared" si="388"/>
        <v>0</v>
      </c>
      <c r="AB701" s="158">
        <f t="shared" si="388"/>
        <v>0</v>
      </c>
      <c r="AC701" s="158">
        <f t="shared" si="388"/>
        <v>0</v>
      </c>
      <c r="AD701" s="158">
        <f t="shared" si="388"/>
        <v>0</v>
      </c>
      <c r="AE701" s="158">
        <f t="shared" si="388"/>
        <v>0</v>
      </c>
      <c r="AF701" s="158">
        <f t="shared" si="388"/>
        <v>0</v>
      </c>
      <c r="AG701" s="158">
        <f t="shared" si="388"/>
        <v>0</v>
      </c>
      <c r="AH701" s="158">
        <f t="shared" si="388"/>
        <v>0</v>
      </c>
      <c r="AI701" s="158">
        <f t="shared" si="388"/>
        <v>0</v>
      </c>
      <c r="AJ701" s="158">
        <f t="shared" si="388"/>
        <v>0</v>
      </c>
      <c r="AK701" s="158">
        <f t="shared" si="388"/>
        <v>0</v>
      </c>
      <c r="AL701" s="158">
        <f t="shared" si="388"/>
        <v>0</v>
      </c>
      <c r="AM701" s="158">
        <f t="shared" si="388"/>
        <v>0</v>
      </c>
      <c r="AN701" s="158">
        <f t="shared" si="388"/>
        <v>0</v>
      </c>
      <c r="AO701" s="158">
        <f t="shared" si="388"/>
        <v>0</v>
      </c>
      <c r="AP701" s="158">
        <f t="shared" si="388"/>
        <v>0</v>
      </c>
    </row>
    <row r="702" spans="1:42" x14ac:dyDescent="0.2">
      <c r="A702" s="4">
        <f t="shared" si="384"/>
        <v>7</v>
      </c>
      <c r="B702" s="176">
        <f t="shared" si="381"/>
        <v>0</v>
      </c>
      <c r="C702" s="178">
        <f t="shared" ref="C702:AP702" si="389">IF(AND(C$2&gt;equip1_reserve_freq*$A689,C$2&lt;=equip1_reserve_freq*$A690),$B690/(equip1_reserve_freq),0)</f>
        <v>0</v>
      </c>
      <c r="D702" s="158">
        <f t="shared" si="389"/>
        <v>0</v>
      </c>
      <c r="E702" s="158">
        <f t="shared" si="389"/>
        <v>0</v>
      </c>
      <c r="F702" s="158">
        <f t="shared" si="389"/>
        <v>0</v>
      </c>
      <c r="G702" s="158">
        <f t="shared" si="389"/>
        <v>0</v>
      </c>
      <c r="H702" s="158">
        <f t="shared" si="389"/>
        <v>0</v>
      </c>
      <c r="I702" s="158">
        <f t="shared" si="389"/>
        <v>0</v>
      </c>
      <c r="J702" s="158">
        <f t="shared" si="389"/>
        <v>0</v>
      </c>
      <c r="K702" s="158">
        <f t="shared" si="389"/>
        <v>0</v>
      </c>
      <c r="L702" s="158">
        <f t="shared" si="389"/>
        <v>0</v>
      </c>
      <c r="M702" s="158">
        <f t="shared" si="389"/>
        <v>0</v>
      </c>
      <c r="N702" s="158">
        <f t="shared" si="389"/>
        <v>0</v>
      </c>
      <c r="O702" s="158">
        <f t="shared" si="389"/>
        <v>0</v>
      </c>
      <c r="P702" s="158">
        <f t="shared" si="389"/>
        <v>0</v>
      </c>
      <c r="Q702" s="158">
        <f t="shared" si="389"/>
        <v>0</v>
      </c>
      <c r="R702" s="158">
        <f t="shared" si="389"/>
        <v>0</v>
      </c>
      <c r="S702" s="158">
        <f t="shared" si="389"/>
        <v>0</v>
      </c>
      <c r="T702" s="158">
        <f t="shared" si="389"/>
        <v>0</v>
      </c>
      <c r="U702" s="158">
        <f t="shared" si="389"/>
        <v>0</v>
      </c>
      <c r="V702" s="158">
        <f t="shared" si="389"/>
        <v>0</v>
      </c>
      <c r="W702" s="158">
        <f t="shared" si="389"/>
        <v>0</v>
      </c>
      <c r="X702" s="158">
        <f t="shared" si="389"/>
        <v>0</v>
      </c>
      <c r="Y702" s="158">
        <f t="shared" si="389"/>
        <v>0</v>
      </c>
      <c r="Z702" s="158">
        <f t="shared" si="389"/>
        <v>0</v>
      </c>
      <c r="AA702" s="158">
        <f t="shared" si="389"/>
        <v>0</v>
      </c>
      <c r="AB702" s="158">
        <f t="shared" si="389"/>
        <v>0</v>
      </c>
      <c r="AC702" s="158">
        <f t="shared" si="389"/>
        <v>0</v>
      </c>
      <c r="AD702" s="158">
        <f t="shared" si="389"/>
        <v>0</v>
      </c>
      <c r="AE702" s="158">
        <f t="shared" si="389"/>
        <v>0</v>
      </c>
      <c r="AF702" s="158">
        <f t="shared" si="389"/>
        <v>0</v>
      </c>
      <c r="AG702" s="158">
        <f t="shared" si="389"/>
        <v>0</v>
      </c>
      <c r="AH702" s="158">
        <f t="shared" si="389"/>
        <v>0</v>
      </c>
      <c r="AI702" s="158">
        <f t="shared" si="389"/>
        <v>0</v>
      </c>
      <c r="AJ702" s="158">
        <f t="shared" si="389"/>
        <v>0</v>
      </c>
      <c r="AK702" s="158">
        <f t="shared" si="389"/>
        <v>0</v>
      </c>
      <c r="AL702" s="158">
        <f t="shared" si="389"/>
        <v>0</v>
      </c>
      <c r="AM702" s="158">
        <f t="shared" si="389"/>
        <v>0</v>
      </c>
      <c r="AN702" s="158">
        <f t="shared" si="389"/>
        <v>0</v>
      </c>
      <c r="AO702" s="158">
        <f t="shared" si="389"/>
        <v>0</v>
      </c>
      <c r="AP702" s="158">
        <f t="shared" si="389"/>
        <v>0</v>
      </c>
    </row>
    <row r="703" spans="1:42" x14ac:dyDescent="0.2">
      <c r="A703" s="4">
        <f t="shared" si="384"/>
        <v>8</v>
      </c>
      <c r="B703" s="176">
        <f t="shared" si="381"/>
        <v>0</v>
      </c>
      <c r="C703" s="178">
        <f t="shared" ref="C703:AP703" si="390">IF(AND(C$2&gt;equip1_reserve_freq*$A690,C$2&lt;=equip1_reserve_freq*$A691),$B691/(equip1_reserve_freq),0)</f>
        <v>0</v>
      </c>
      <c r="D703" s="158">
        <f t="shared" si="390"/>
        <v>0</v>
      </c>
      <c r="E703" s="158">
        <f t="shared" si="390"/>
        <v>0</v>
      </c>
      <c r="F703" s="158">
        <f t="shared" si="390"/>
        <v>0</v>
      </c>
      <c r="G703" s="158">
        <f t="shared" si="390"/>
        <v>0</v>
      </c>
      <c r="H703" s="158">
        <f t="shared" si="390"/>
        <v>0</v>
      </c>
      <c r="I703" s="158">
        <f t="shared" si="390"/>
        <v>0</v>
      </c>
      <c r="J703" s="158">
        <f t="shared" si="390"/>
        <v>0</v>
      </c>
      <c r="K703" s="158">
        <f t="shared" si="390"/>
        <v>0</v>
      </c>
      <c r="L703" s="158">
        <f t="shared" si="390"/>
        <v>0</v>
      </c>
      <c r="M703" s="158">
        <f t="shared" si="390"/>
        <v>0</v>
      </c>
      <c r="N703" s="158">
        <f t="shared" si="390"/>
        <v>0</v>
      </c>
      <c r="O703" s="158">
        <f t="shared" si="390"/>
        <v>0</v>
      </c>
      <c r="P703" s="158">
        <f t="shared" si="390"/>
        <v>0</v>
      </c>
      <c r="Q703" s="158">
        <f t="shared" si="390"/>
        <v>0</v>
      </c>
      <c r="R703" s="158">
        <f t="shared" si="390"/>
        <v>0</v>
      </c>
      <c r="S703" s="158">
        <f t="shared" si="390"/>
        <v>0</v>
      </c>
      <c r="T703" s="158">
        <f t="shared" si="390"/>
        <v>0</v>
      </c>
      <c r="U703" s="158">
        <f t="shared" si="390"/>
        <v>0</v>
      </c>
      <c r="V703" s="158">
        <f t="shared" si="390"/>
        <v>0</v>
      </c>
      <c r="W703" s="158">
        <f t="shared" si="390"/>
        <v>0</v>
      </c>
      <c r="X703" s="158">
        <f t="shared" si="390"/>
        <v>0</v>
      </c>
      <c r="Y703" s="158">
        <f t="shared" si="390"/>
        <v>0</v>
      </c>
      <c r="Z703" s="158">
        <f t="shared" si="390"/>
        <v>0</v>
      </c>
      <c r="AA703" s="158">
        <f t="shared" si="390"/>
        <v>0</v>
      </c>
      <c r="AB703" s="158">
        <f t="shared" si="390"/>
        <v>0</v>
      </c>
      <c r="AC703" s="158">
        <f t="shared" si="390"/>
        <v>0</v>
      </c>
      <c r="AD703" s="158">
        <f t="shared" si="390"/>
        <v>0</v>
      </c>
      <c r="AE703" s="158">
        <f t="shared" si="390"/>
        <v>0</v>
      </c>
      <c r="AF703" s="158">
        <f t="shared" si="390"/>
        <v>0</v>
      </c>
      <c r="AG703" s="158">
        <f t="shared" si="390"/>
        <v>0</v>
      </c>
      <c r="AH703" s="158">
        <f t="shared" si="390"/>
        <v>0</v>
      </c>
      <c r="AI703" s="158">
        <f t="shared" si="390"/>
        <v>0</v>
      </c>
      <c r="AJ703" s="158">
        <f t="shared" si="390"/>
        <v>0</v>
      </c>
      <c r="AK703" s="158">
        <f t="shared" si="390"/>
        <v>0</v>
      </c>
      <c r="AL703" s="158">
        <f t="shared" si="390"/>
        <v>0</v>
      </c>
      <c r="AM703" s="158">
        <f t="shared" si="390"/>
        <v>0</v>
      </c>
      <c r="AN703" s="158">
        <f t="shared" si="390"/>
        <v>0</v>
      </c>
      <c r="AO703" s="158">
        <f t="shared" si="390"/>
        <v>0</v>
      </c>
      <c r="AP703" s="158">
        <f t="shared" si="390"/>
        <v>0</v>
      </c>
    </row>
    <row r="704" spans="1:42" x14ac:dyDescent="0.2">
      <c r="A704" s="4">
        <f>A703+1</f>
        <v>9</v>
      </c>
      <c r="B704" s="176">
        <f t="shared" si="381"/>
        <v>0</v>
      </c>
      <c r="C704" s="178">
        <f t="shared" ref="C704:AP704" si="391">IF(AND(C$2&gt;equip1_reserve_freq*$A691,C$2&lt;=equip1_reserve_freq*$A692),$B692/(equip1_reserve_freq),0)</f>
        <v>0</v>
      </c>
      <c r="D704" s="158">
        <f t="shared" si="391"/>
        <v>0</v>
      </c>
      <c r="E704" s="158">
        <f t="shared" si="391"/>
        <v>0</v>
      </c>
      <c r="F704" s="158">
        <f t="shared" si="391"/>
        <v>0</v>
      </c>
      <c r="G704" s="158">
        <f t="shared" si="391"/>
        <v>0</v>
      </c>
      <c r="H704" s="158">
        <f t="shared" si="391"/>
        <v>0</v>
      </c>
      <c r="I704" s="158">
        <f t="shared" si="391"/>
        <v>0</v>
      </c>
      <c r="J704" s="158">
        <f t="shared" si="391"/>
        <v>0</v>
      </c>
      <c r="K704" s="158">
        <f t="shared" si="391"/>
        <v>0</v>
      </c>
      <c r="L704" s="158">
        <f t="shared" si="391"/>
        <v>0</v>
      </c>
      <c r="M704" s="158">
        <f t="shared" si="391"/>
        <v>0</v>
      </c>
      <c r="N704" s="158">
        <f t="shared" si="391"/>
        <v>0</v>
      </c>
      <c r="O704" s="158">
        <f t="shared" si="391"/>
        <v>0</v>
      </c>
      <c r="P704" s="158">
        <f t="shared" si="391"/>
        <v>0</v>
      </c>
      <c r="Q704" s="158">
        <f t="shared" si="391"/>
        <v>0</v>
      </c>
      <c r="R704" s="158">
        <f t="shared" si="391"/>
        <v>0</v>
      </c>
      <c r="S704" s="158">
        <f t="shared" si="391"/>
        <v>0</v>
      </c>
      <c r="T704" s="158">
        <f t="shared" si="391"/>
        <v>0</v>
      </c>
      <c r="U704" s="158">
        <f t="shared" si="391"/>
        <v>0</v>
      </c>
      <c r="V704" s="158">
        <f t="shared" si="391"/>
        <v>0</v>
      </c>
      <c r="W704" s="158">
        <f t="shared" si="391"/>
        <v>0</v>
      </c>
      <c r="X704" s="158">
        <f t="shared" si="391"/>
        <v>0</v>
      </c>
      <c r="Y704" s="158">
        <f t="shared" si="391"/>
        <v>0</v>
      </c>
      <c r="Z704" s="158">
        <f t="shared" si="391"/>
        <v>0</v>
      </c>
      <c r="AA704" s="158">
        <f t="shared" si="391"/>
        <v>0</v>
      </c>
      <c r="AB704" s="158">
        <f t="shared" si="391"/>
        <v>0</v>
      </c>
      <c r="AC704" s="158">
        <f t="shared" si="391"/>
        <v>0</v>
      </c>
      <c r="AD704" s="158">
        <f t="shared" si="391"/>
        <v>0</v>
      </c>
      <c r="AE704" s="158">
        <f t="shared" si="391"/>
        <v>0</v>
      </c>
      <c r="AF704" s="158">
        <f t="shared" si="391"/>
        <v>0</v>
      </c>
      <c r="AG704" s="158">
        <f t="shared" si="391"/>
        <v>0</v>
      </c>
      <c r="AH704" s="158">
        <f t="shared" si="391"/>
        <v>0</v>
      </c>
      <c r="AI704" s="158">
        <f t="shared" si="391"/>
        <v>0</v>
      </c>
      <c r="AJ704" s="158">
        <f t="shared" si="391"/>
        <v>0</v>
      </c>
      <c r="AK704" s="158">
        <f t="shared" si="391"/>
        <v>0</v>
      </c>
      <c r="AL704" s="158">
        <f t="shared" si="391"/>
        <v>0</v>
      </c>
      <c r="AM704" s="158">
        <f t="shared" si="391"/>
        <v>0</v>
      </c>
      <c r="AN704" s="158">
        <f t="shared" si="391"/>
        <v>0</v>
      </c>
      <c r="AO704" s="158">
        <f t="shared" si="391"/>
        <v>0</v>
      </c>
      <c r="AP704" s="158">
        <f t="shared" si="391"/>
        <v>0</v>
      </c>
    </row>
    <row r="705" spans="1:42" x14ac:dyDescent="0.2">
      <c r="A705" s="4">
        <f t="shared" ref="A705" si="392">A704+1</f>
        <v>10</v>
      </c>
      <c r="B705" s="176">
        <f t="shared" si="381"/>
        <v>0</v>
      </c>
      <c r="C705" s="177">
        <f t="shared" ref="C705:AP705" si="393">IF(AND(C$2&gt;equip1_reserve_freq*$A692,C$2&lt;=equip1_reserve_freq*$A693),$B693/(equip1_reserve_freq),0)</f>
        <v>0</v>
      </c>
      <c r="D705" s="159">
        <f t="shared" si="393"/>
        <v>0</v>
      </c>
      <c r="E705" s="159">
        <f t="shared" si="393"/>
        <v>0</v>
      </c>
      <c r="F705" s="159">
        <f t="shared" si="393"/>
        <v>0</v>
      </c>
      <c r="G705" s="159">
        <f t="shared" si="393"/>
        <v>0</v>
      </c>
      <c r="H705" s="159">
        <f t="shared" si="393"/>
        <v>0</v>
      </c>
      <c r="I705" s="159">
        <f t="shared" si="393"/>
        <v>0</v>
      </c>
      <c r="J705" s="159">
        <f t="shared" si="393"/>
        <v>0</v>
      </c>
      <c r="K705" s="159">
        <f t="shared" si="393"/>
        <v>0</v>
      </c>
      <c r="L705" s="159">
        <f t="shared" si="393"/>
        <v>0</v>
      </c>
      <c r="M705" s="159">
        <f t="shared" si="393"/>
        <v>0</v>
      </c>
      <c r="N705" s="159">
        <f t="shared" si="393"/>
        <v>0</v>
      </c>
      <c r="O705" s="159">
        <f t="shared" si="393"/>
        <v>0</v>
      </c>
      <c r="P705" s="159">
        <f t="shared" si="393"/>
        <v>0</v>
      </c>
      <c r="Q705" s="159">
        <f t="shared" si="393"/>
        <v>0</v>
      </c>
      <c r="R705" s="159">
        <f t="shared" si="393"/>
        <v>0</v>
      </c>
      <c r="S705" s="159">
        <f t="shared" si="393"/>
        <v>0</v>
      </c>
      <c r="T705" s="159">
        <f t="shared" si="393"/>
        <v>0</v>
      </c>
      <c r="U705" s="159">
        <f t="shared" si="393"/>
        <v>0</v>
      </c>
      <c r="V705" s="159">
        <f t="shared" si="393"/>
        <v>0</v>
      </c>
      <c r="W705" s="159">
        <f t="shared" si="393"/>
        <v>0</v>
      </c>
      <c r="X705" s="159">
        <f t="shared" si="393"/>
        <v>0</v>
      </c>
      <c r="Y705" s="159">
        <f t="shared" si="393"/>
        <v>0</v>
      </c>
      <c r="Z705" s="159">
        <f t="shared" si="393"/>
        <v>0</v>
      </c>
      <c r="AA705" s="159">
        <f t="shared" si="393"/>
        <v>0</v>
      </c>
      <c r="AB705" s="159">
        <f t="shared" si="393"/>
        <v>0</v>
      </c>
      <c r="AC705" s="159">
        <f t="shared" si="393"/>
        <v>0</v>
      </c>
      <c r="AD705" s="159">
        <f t="shared" si="393"/>
        <v>0</v>
      </c>
      <c r="AE705" s="159">
        <f t="shared" si="393"/>
        <v>0</v>
      </c>
      <c r="AF705" s="159">
        <f t="shared" si="393"/>
        <v>0</v>
      </c>
      <c r="AG705" s="159">
        <f t="shared" si="393"/>
        <v>0</v>
      </c>
      <c r="AH705" s="159">
        <f t="shared" si="393"/>
        <v>0</v>
      </c>
      <c r="AI705" s="159">
        <f t="shared" si="393"/>
        <v>0</v>
      </c>
      <c r="AJ705" s="159">
        <f t="shared" si="393"/>
        <v>0</v>
      </c>
      <c r="AK705" s="159">
        <f t="shared" si="393"/>
        <v>0</v>
      </c>
      <c r="AL705" s="159">
        <f t="shared" si="393"/>
        <v>0</v>
      </c>
      <c r="AM705" s="159">
        <f t="shared" si="393"/>
        <v>0</v>
      </c>
      <c r="AN705" s="159">
        <f t="shared" si="393"/>
        <v>0</v>
      </c>
      <c r="AO705" s="159">
        <f t="shared" si="393"/>
        <v>0</v>
      </c>
      <c r="AP705" s="159">
        <f t="shared" si="393"/>
        <v>0</v>
      </c>
    </row>
    <row r="706" spans="1:42" x14ac:dyDescent="0.2">
      <c r="A706" s="27" t="s">
        <v>13</v>
      </c>
      <c r="B706" s="15"/>
      <c r="C706" s="15">
        <f>SUM(C696:C705)</f>
        <v>941982.54731584399</v>
      </c>
      <c r="D706" s="15">
        <f t="shared" ref="D706:AP706" si="394">SUM(D696:D705)</f>
        <v>941982.54731584399</v>
      </c>
      <c r="E706" s="15">
        <f t="shared" si="394"/>
        <v>941982.54731584399</v>
      </c>
      <c r="F706" s="15">
        <f t="shared" si="394"/>
        <v>941982.54731584399</v>
      </c>
      <c r="G706" s="15">
        <f t="shared" si="394"/>
        <v>941982.54731584399</v>
      </c>
      <c r="H706" s="15">
        <f t="shared" si="394"/>
        <v>941982.54731584399</v>
      </c>
      <c r="I706" s="15">
        <f t="shared" si="394"/>
        <v>941982.54731584399</v>
      </c>
      <c r="J706" s="15">
        <f t="shared" si="394"/>
        <v>941982.54731584399</v>
      </c>
      <c r="K706" s="15">
        <f t="shared" si="394"/>
        <v>941982.54731584399</v>
      </c>
      <c r="L706" s="15">
        <f t="shared" si="394"/>
        <v>941982.54731584399</v>
      </c>
      <c r="M706" s="15">
        <f t="shared" si="394"/>
        <v>941982.54731584399</v>
      </c>
      <c r="N706" s="15">
        <f t="shared" si="394"/>
        <v>941982.54731584399</v>
      </c>
      <c r="O706" s="15">
        <f t="shared" si="394"/>
        <v>941982.54731584399</v>
      </c>
      <c r="P706" s="15">
        <f t="shared" si="394"/>
        <v>941982.54731584399</v>
      </c>
      <c r="Q706" s="15">
        <f t="shared" si="394"/>
        <v>941982.54731584399</v>
      </c>
      <c r="R706" s="15">
        <f t="shared" si="394"/>
        <v>0</v>
      </c>
      <c r="S706" s="15">
        <f t="shared" si="394"/>
        <v>0</v>
      </c>
      <c r="T706" s="15">
        <f t="shared" si="394"/>
        <v>0</v>
      </c>
      <c r="U706" s="15">
        <f t="shared" si="394"/>
        <v>0</v>
      </c>
      <c r="V706" s="15">
        <f t="shared" si="394"/>
        <v>0</v>
      </c>
      <c r="W706" s="15">
        <f t="shared" si="394"/>
        <v>0</v>
      </c>
      <c r="X706" s="15">
        <f t="shared" si="394"/>
        <v>0</v>
      </c>
      <c r="Y706" s="15">
        <f t="shared" si="394"/>
        <v>0</v>
      </c>
      <c r="Z706" s="15">
        <f t="shared" si="394"/>
        <v>0</v>
      </c>
      <c r="AA706" s="15">
        <f t="shared" si="394"/>
        <v>0</v>
      </c>
      <c r="AB706" s="15">
        <f t="shared" si="394"/>
        <v>0</v>
      </c>
      <c r="AC706" s="15">
        <f t="shared" si="394"/>
        <v>0</v>
      </c>
      <c r="AD706" s="15">
        <f t="shared" si="394"/>
        <v>0</v>
      </c>
      <c r="AE706" s="15">
        <f t="shared" si="394"/>
        <v>0</v>
      </c>
      <c r="AF706" s="15">
        <f t="shared" si="394"/>
        <v>0</v>
      </c>
      <c r="AG706" s="15">
        <f t="shared" si="394"/>
        <v>0</v>
      </c>
      <c r="AH706" s="15">
        <f t="shared" si="394"/>
        <v>0</v>
      </c>
      <c r="AI706" s="15">
        <f t="shared" si="394"/>
        <v>0</v>
      </c>
      <c r="AJ706" s="15">
        <f t="shared" si="394"/>
        <v>0</v>
      </c>
      <c r="AK706" s="15">
        <f t="shared" si="394"/>
        <v>0</v>
      </c>
      <c r="AL706" s="15">
        <f t="shared" si="394"/>
        <v>0</v>
      </c>
      <c r="AM706" s="15">
        <f t="shared" si="394"/>
        <v>0</v>
      </c>
      <c r="AN706" s="15">
        <f t="shared" si="394"/>
        <v>0</v>
      </c>
      <c r="AO706" s="15">
        <f t="shared" si="394"/>
        <v>0</v>
      </c>
      <c r="AP706" s="15">
        <f t="shared" si="394"/>
        <v>0</v>
      </c>
    </row>
    <row r="707" spans="1:42" x14ac:dyDescent="0.2">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5"/>
    </row>
    <row r="708" spans="1:42" x14ac:dyDescent="0.2">
      <c r="A708" s="20" t="s">
        <v>305</v>
      </c>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5"/>
    </row>
    <row r="709" spans="1:42" x14ac:dyDescent="0.2">
      <c r="A709" s="4" t="s">
        <v>297</v>
      </c>
      <c r="B709" s="158">
        <v>0</v>
      </c>
      <c r="C709" s="158">
        <f>B712</f>
        <v>0</v>
      </c>
      <c r="D709" s="158">
        <f t="shared" ref="D709:AP709" si="395">C712</f>
        <v>0</v>
      </c>
      <c r="E709" s="158">
        <f t="shared" si="395"/>
        <v>0</v>
      </c>
      <c r="F709" s="158">
        <f t="shared" si="395"/>
        <v>0</v>
      </c>
      <c r="G709" s="158">
        <f t="shared" si="395"/>
        <v>0</v>
      </c>
      <c r="H709" s="158">
        <f t="shared" si="395"/>
        <v>0</v>
      </c>
      <c r="I709" s="158">
        <f t="shared" si="395"/>
        <v>0</v>
      </c>
      <c r="J709" s="158">
        <f t="shared" si="395"/>
        <v>0</v>
      </c>
      <c r="K709" s="158">
        <f t="shared" si="395"/>
        <v>0</v>
      </c>
      <c r="L709" s="158">
        <f t="shared" si="395"/>
        <v>0</v>
      </c>
      <c r="M709" s="158">
        <f t="shared" si="395"/>
        <v>0</v>
      </c>
      <c r="N709" s="158">
        <f t="shared" si="395"/>
        <v>0</v>
      </c>
      <c r="O709" s="158">
        <f t="shared" si="395"/>
        <v>0</v>
      </c>
      <c r="P709" s="158">
        <f t="shared" si="395"/>
        <v>0</v>
      </c>
      <c r="Q709" s="158">
        <f t="shared" si="395"/>
        <v>0</v>
      </c>
      <c r="R709" s="158">
        <f t="shared" si="395"/>
        <v>0</v>
      </c>
      <c r="S709" s="158">
        <f t="shared" si="395"/>
        <v>0</v>
      </c>
      <c r="T709" s="158">
        <f t="shared" si="395"/>
        <v>0</v>
      </c>
      <c r="U709" s="158">
        <f t="shared" si="395"/>
        <v>0</v>
      </c>
      <c r="V709" s="158">
        <f t="shared" si="395"/>
        <v>0</v>
      </c>
      <c r="W709" s="158">
        <f t="shared" si="395"/>
        <v>0</v>
      </c>
      <c r="X709" s="158">
        <f t="shared" si="395"/>
        <v>0</v>
      </c>
      <c r="Y709" s="158">
        <f t="shared" si="395"/>
        <v>0</v>
      </c>
      <c r="Z709" s="158">
        <f t="shared" si="395"/>
        <v>0</v>
      </c>
      <c r="AA709" s="158">
        <f t="shared" si="395"/>
        <v>0</v>
      </c>
      <c r="AB709" s="158">
        <f t="shared" si="395"/>
        <v>0</v>
      </c>
      <c r="AC709" s="158">
        <f t="shared" si="395"/>
        <v>0</v>
      </c>
      <c r="AD709" s="158">
        <f t="shared" si="395"/>
        <v>0</v>
      </c>
      <c r="AE709" s="158">
        <f t="shared" si="395"/>
        <v>0</v>
      </c>
      <c r="AF709" s="158">
        <f t="shared" si="395"/>
        <v>0</v>
      </c>
      <c r="AG709" s="158">
        <f t="shared" si="395"/>
        <v>0</v>
      </c>
      <c r="AH709" s="158">
        <f t="shared" si="395"/>
        <v>0</v>
      </c>
      <c r="AI709" s="158">
        <f t="shared" si="395"/>
        <v>0</v>
      </c>
      <c r="AJ709" s="158">
        <f t="shared" si="395"/>
        <v>0</v>
      </c>
      <c r="AK709" s="158">
        <f t="shared" si="395"/>
        <v>0</v>
      </c>
      <c r="AL709" s="158">
        <f t="shared" si="395"/>
        <v>0</v>
      </c>
      <c r="AM709" s="158">
        <f t="shared" si="395"/>
        <v>0</v>
      </c>
      <c r="AN709" s="158">
        <f t="shared" si="395"/>
        <v>0</v>
      </c>
      <c r="AO709" s="158">
        <f t="shared" si="395"/>
        <v>0</v>
      </c>
      <c r="AP709" s="158">
        <f t="shared" si="395"/>
        <v>0</v>
      </c>
    </row>
    <row r="710" spans="1:42" x14ac:dyDescent="0.2">
      <c r="A710" s="4" t="s">
        <v>75</v>
      </c>
      <c r="B710" s="158">
        <v>0</v>
      </c>
      <c r="C710" s="158">
        <f>C738</f>
        <v>0</v>
      </c>
      <c r="D710" s="158">
        <f t="shared" ref="D710:AP710" si="396">D738</f>
        <v>0</v>
      </c>
      <c r="E710" s="158">
        <f t="shared" si="396"/>
        <v>0</v>
      </c>
      <c r="F710" s="158">
        <f t="shared" si="396"/>
        <v>0</v>
      </c>
      <c r="G710" s="158">
        <f t="shared" si="396"/>
        <v>0</v>
      </c>
      <c r="H710" s="158">
        <f t="shared" si="396"/>
        <v>0</v>
      </c>
      <c r="I710" s="158">
        <f t="shared" si="396"/>
        <v>0</v>
      </c>
      <c r="J710" s="158">
        <f t="shared" si="396"/>
        <v>0</v>
      </c>
      <c r="K710" s="158">
        <f t="shared" si="396"/>
        <v>0</v>
      </c>
      <c r="L710" s="158">
        <f t="shared" si="396"/>
        <v>0</v>
      </c>
      <c r="M710" s="158">
        <f t="shared" si="396"/>
        <v>0</v>
      </c>
      <c r="N710" s="158">
        <f t="shared" si="396"/>
        <v>0</v>
      </c>
      <c r="O710" s="158">
        <f t="shared" si="396"/>
        <v>0</v>
      </c>
      <c r="P710" s="158">
        <f t="shared" si="396"/>
        <v>0</v>
      </c>
      <c r="Q710" s="158">
        <f t="shared" si="396"/>
        <v>0</v>
      </c>
      <c r="R710" s="158">
        <f t="shared" si="396"/>
        <v>0</v>
      </c>
      <c r="S710" s="158">
        <f t="shared" si="396"/>
        <v>0</v>
      </c>
      <c r="T710" s="158">
        <f t="shared" si="396"/>
        <v>0</v>
      </c>
      <c r="U710" s="158">
        <f t="shared" si="396"/>
        <v>0</v>
      </c>
      <c r="V710" s="158">
        <f t="shared" si="396"/>
        <v>0</v>
      </c>
      <c r="W710" s="158">
        <f t="shared" si="396"/>
        <v>0</v>
      </c>
      <c r="X710" s="158">
        <f t="shared" si="396"/>
        <v>0</v>
      </c>
      <c r="Y710" s="158">
        <f t="shared" si="396"/>
        <v>0</v>
      </c>
      <c r="Z710" s="158">
        <f t="shared" si="396"/>
        <v>0</v>
      </c>
      <c r="AA710" s="158">
        <f t="shared" si="396"/>
        <v>0</v>
      </c>
      <c r="AB710" s="158">
        <f t="shared" si="396"/>
        <v>0</v>
      </c>
      <c r="AC710" s="158">
        <f t="shared" si="396"/>
        <v>0</v>
      </c>
      <c r="AD710" s="158">
        <f t="shared" si="396"/>
        <v>0</v>
      </c>
      <c r="AE710" s="158">
        <f t="shared" si="396"/>
        <v>0</v>
      </c>
      <c r="AF710" s="158">
        <f t="shared" si="396"/>
        <v>0</v>
      </c>
      <c r="AG710" s="158">
        <f t="shared" si="396"/>
        <v>0</v>
      </c>
      <c r="AH710" s="158">
        <f t="shared" si="396"/>
        <v>0</v>
      </c>
      <c r="AI710" s="158">
        <f t="shared" si="396"/>
        <v>0</v>
      </c>
      <c r="AJ710" s="158">
        <f t="shared" si="396"/>
        <v>0</v>
      </c>
      <c r="AK710" s="158">
        <f t="shared" si="396"/>
        <v>0</v>
      </c>
      <c r="AL710" s="158">
        <f t="shared" si="396"/>
        <v>0</v>
      </c>
      <c r="AM710" s="158">
        <f t="shared" si="396"/>
        <v>0</v>
      </c>
      <c r="AN710" s="158">
        <f t="shared" si="396"/>
        <v>0</v>
      </c>
      <c r="AO710" s="158">
        <f t="shared" si="396"/>
        <v>0</v>
      </c>
      <c r="AP710" s="158">
        <f t="shared" si="396"/>
        <v>0</v>
      </c>
    </row>
    <row r="711" spans="1:42" x14ac:dyDescent="0.2">
      <c r="A711" s="4" t="s">
        <v>298</v>
      </c>
      <c r="B711" s="159">
        <v>0</v>
      </c>
      <c r="C711" s="159">
        <f>-C726</f>
        <v>0</v>
      </c>
      <c r="D711" s="159">
        <f t="shared" ref="D711:AP711" si="397">-D726</f>
        <v>0</v>
      </c>
      <c r="E711" s="159">
        <f t="shared" si="397"/>
        <v>0</v>
      </c>
      <c r="F711" s="159">
        <f t="shared" si="397"/>
        <v>0</v>
      </c>
      <c r="G711" s="159">
        <f t="shared" si="397"/>
        <v>0</v>
      </c>
      <c r="H711" s="159">
        <f t="shared" si="397"/>
        <v>0</v>
      </c>
      <c r="I711" s="159">
        <f t="shared" si="397"/>
        <v>0</v>
      </c>
      <c r="J711" s="159">
        <f t="shared" si="397"/>
        <v>0</v>
      </c>
      <c r="K711" s="159">
        <f t="shared" si="397"/>
        <v>0</v>
      </c>
      <c r="L711" s="159">
        <f t="shared" si="397"/>
        <v>0</v>
      </c>
      <c r="M711" s="159">
        <f t="shared" si="397"/>
        <v>0</v>
      </c>
      <c r="N711" s="159">
        <f t="shared" si="397"/>
        <v>0</v>
      </c>
      <c r="O711" s="159">
        <f t="shared" si="397"/>
        <v>0</v>
      </c>
      <c r="P711" s="159">
        <f t="shared" si="397"/>
        <v>0</v>
      </c>
      <c r="Q711" s="159">
        <f t="shared" si="397"/>
        <v>0</v>
      </c>
      <c r="R711" s="159">
        <f t="shared" si="397"/>
        <v>0</v>
      </c>
      <c r="S711" s="159">
        <f t="shared" si="397"/>
        <v>0</v>
      </c>
      <c r="T711" s="159">
        <f t="shared" si="397"/>
        <v>0</v>
      </c>
      <c r="U711" s="159">
        <f t="shared" si="397"/>
        <v>0</v>
      </c>
      <c r="V711" s="159">
        <f t="shared" si="397"/>
        <v>0</v>
      </c>
      <c r="W711" s="159">
        <f t="shared" si="397"/>
        <v>0</v>
      </c>
      <c r="X711" s="159">
        <f t="shared" si="397"/>
        <v>0</v>
      </c>
      <c r="Y711" s="159">
        <f t="shared" si="397"/>
        <v>0</v>
      </c>
      <c r="Z711" s="159">
        <f t="shared" si="397"/>
        <v>0</v>
      </c>
      <c r="AA711" s="159">
        <f t="shared" si="397"/>
        <v>0</v>
      </c>
      <c r="AB711" s="159">
        <f t="shared" si="397"/>
        <v>0</v>
      </c>
      <c r="AC711" s="159">
        <f t="shared" si="397"/>
        <v>0</v>
      </c>
      <c r="AD711" s="159">
        <f t="shared" si="397"/>
        <v>0</v>
      </c>
      <c r="AE711" s="159">
        <f t="shared" si="397"/>
        <v>0</v>
      </c>
      <c r="AF711" s="159">
        <f t="shared" si="397"/>
        <v>0</v>
      </c>
      <c r="AG711" s="159">
        <f t="shared" si="397"/>
        <v>0</v>
      </c>
      <c r="AH711" s="159">
        <f t="shared" si="397"/>
        <v>0</v>
      </c>
      <c r="AI711" s="159">
        <f t="shared" si="397"/>
        <v>0</v>
      </c>
      <c r="AJ711" s="159">
        <f t="shared" si="397"/>
        <v>0</v>
      </c>
      <c r="AK711" s="159">
        <f t="shared" si="397"/>
        <v>0</v>
      </c>
      <c r="AL711" s="159">
        <f t="shared" si="397"/>
        <v>0</v>
      </c>
      <c r="AM711" s="159">
        <f t="shared" si="397"/>
        <v>0</v>
      </c>
      <c r="AN711" s="159">
        <f t="shared" si="397"/>
        <v>0</v>
      </c>
      <c r="AO711" s="159">
        <f t="shared" si="397"/>
        <v>0</v>
      </c>
      <c r="AP711" s="159">
        <f t="shared" si="397"/>
        <v>0</v>
      </c>
    </row>
    <row r="712" spans="1:42" x14ac:dyDescent="0.2">
      <c r="A712" s="4" t="s">
        <v>258</v>
      </c>
      <c r="B712" s="158">
        <f>SUM(B709:B711)</f>
        <v>0</v>
      </c>
      <c r="C712" s="158">
        <f>SUM(C709:C711)</f>
        <v>0</v>
      </c>
      <c r="D712" s="158">
        <f t="shared" ref="D712:AP712" si="398">SUM(D709:D711)</f>
        <v>0</v>
      </c>
      <c r="E712" s="158">
        <f t="shared" si="398"/>
        <v>0</v>
      </c>
      <c r="F712" s="158">
        <f t="shared" si="398"/>
        <v>0</v>
      </c>
      <c r="G712" s="158">
        <f t="shared" si="398"/>
        <v>0</v>
      </c>
      <c r="H712" s="158">
        <f t="shared" si="398"/>
        <v>0</v>
      </c>
      <c r="I712" s="158">
        <f t="shared" si="398"/>
        <v>0</v>
      </c>
      <c r="J712" s="158">
        <f t="shared" si="398"/>
        <v>0</v>
      </c>
      <c r="K712" s="158">
        <f t="shared" si="398"/>
        <v>0</v>
      </c>
      <c r="L712" s="158">
        <f t="shared" si="398"/>
        <v>0</v>
      </c>
      <c r="M712" s="158">
        <f t="shared" si="398"/>
        <v>0</v>
      </c>
      <c r="N712" s="158">
        <f t="shared" si="398"/>
        <v>0</v>
      </c>
      <c r="O712" s="158">
        <f t="shared" si="398"/>
        <v>0</v>
      </c>
      <c r="P712" s="158">
        <f t="shared" si="398"/>
        <v>0</v>
      </c>
      <c r="Q712" s="158">
        <f t="shared" si="398"/>
        <v>0</v>
      </c>
      <c r="R712" s="158">
        <f t="shared" si="398"/>
        <v>0</v>
      </c>
      <c r="S712" s="158">
        <f t="shared" si="398"/>
        <v>0</v>
      </c>
      <c r="T712" s="158">
        <f t="shared" si="398"/>
        <v>0</v>
      </c>
      <c r="U712" s="158">
        <f t="shared" si="398"/>
        <v>0</v>
      </c>
      <c r="V712" s="158">
        <f t="shared" si="398"/>
        <v>0</v>
      </c>
      <c r="W712" s="158">
        <f t="shared" si="398"/>
        <v>0</v>
      </c>
      <c r="X712" s="158">
        <f t="shared" si="398"/>
        <v>0</v>
      </c>
      <c r="Y712" s="158">
        <f t="shared" si="398"/>
        <v>0</v>
      </c>
      <c r="Z712" s="158">
        <f t="shared" si="398"/>
        <v>0</v>
      </c>
      <c r="AA712" s="158">
        <f t="shared" si="398"/>
        <v>0</v>
      </c>
      <c r="AB712" s="158">
        <f t="shared" si="398"/>
        <v>0</v>
      </c>
      <c r="AC712" s="158">
        <f t="shared" si="398"/>
        <v>0</v>
      </c>
      <c r="AD712" s="158">
        <f t="shared" si="398"/>
        <v>0</v>
      </c>
      <c r="AE712" s="158">
        <f t="shared" si="398"/>
        <v>0</v>
      </c>
      <c r="AF712" s="158">
        <f t="shared" si="398"/>
        <v>0</v>
      </c>
      <c r="AG712" s="158">
        <f t="shared" si="398"/>
        <v>0</v>
      </c>
      <c r="AH712" s="158">
        <f t="shared" si="398"/>
        <v>0</v>
      </c>
      <c r="AI712" s="158">
        <f t="shared" si="398"/>
        <v>0</v>
      </c>
      <c r="AJ712" s="158">
        <f t="shared" si="398"/>
        <v>0</v>
      </c>
      <c r="AK712" s="158">
        <f t="shared" si="398"/>
        <v>0</v>
      </c>
      <c r="AL712" s="158">
        <f t="shared" si="398"/>
        <v>0</v>
      </c>
      <c r="AM712" s="158">
        <f t="shared" si="398"/>
        <v>0</v>
      </c>
      <c r="AN712" s="158">
        <f t="shared" si="398"/>
        <v>0</v>
      </c>
      <c r="AO712" s="158">
        <f t="shared" si="398"/>
        <v>0</v>
      </c>
      <c r="AP712" s="158">
        <f t="shared" si="398"/>
        <v>0</v>
      </c>
    </row>
    <row r="714" spans="1:42" x14ac:dyDescent="0.2">
      <c r="A714" s="4" t="s">
        <v>300</v>
      </c>
    </row>
    <row r="715" spans="1:42" x14ac:dyDescent="0.2">
      <c r="A715" s="4" t="s">
        <v>301</v>
      </c>
    </row>
    <row r="716" spans="1:42" x14ac:dyDescent="0.2">
      <c r="A716" s="4">
        <v>1</v>
      </c>
      <c r="B716" s="176">
        <f t="shared" ref="B716:B725" si="399">SUM(C716:AP716)</f>
        <v>0</v>
      </c>
      <c r="C716" s="158">
        <f t="shared" ref="C716:AP716" si="400">IF(C$2&gt;analysis_period,0,IF(C$2=equip2_reserve_freq*$A716,equip2_reserve_cost*system_capacity*1000*(1+inflation_rate/100)^B$2,0))</f>
        <v>0</v>
      </c>
      <c r="D716" s="158">
        <f t="shared" si="400"/>
        <v>0</v>
      </c>
      <c r="E716" s="158">
        <f t="shared" si="400"/>
        <v>0</v>
      </c>
      <c r="F716" s="158">
        <f t="shared" si="400"/>
        <v>0</v>
      </c>
      <c r="G716" s="158">
        <f t="shared" si="400"/>
        <v>0</v>
      </c>
      <c r="H716" s="158">
        <f t="shared" si="400"/>
        <v>0</v>
      </c>
      <c r="I716" s="158">
        <f t="shared" si="400"/>
        <v>0</v>
      </c>
      <c r="J716" s="158">
        <f t="shared" si="400"/>
        <v>0</v>
      </c>
      <c r="K716" s="158">
        <f t="shared" si="400"/>
        <v>0</v>
      </c>
      <c r="L716" s="158">
        <f t="shared" si="400"/>
        <v>0</v>
      </c>
      <c r="M716" s="158">
        <f t="shared" si="400"/>
        <v>0</v>
      </c>
      <c r="N716" s="158">
        <f t="shared" si="400"/>
        <v>0</v>
      </c>
      <c r="O716" s="158">
        <f t="shared" si="400"/>
        <v>0</v>
      </c>
      <c r="P716" s="158">
        <f t="shared" si="400"/>
        <v>0</v>
      </c>
      <c r="Q716" s="158">
        <f t="shared" si="400"/>
        <v>0</v>
      </c>
      <c r="R716" s="158">
        <f t="shared" si="400"/>
        <v>0</v>
      </c>
      <c r="S716" s="158">
        <f t="shared" si="400"/>
        <v>0</v>
      </c>
      <c r="T716" s="158">
        <f t="shared" si="400"/>
        <v>0</v>
      </c>
      <c r="U716" s="158">
        <f t="shared" si="400"/>
        <v>0</v>
      </c>
      <c r="V716" s="158">
        <f t="shared" si="400"/>
        <v>0</v>
      </c>
      <c r="W716" s="158">
        <f t="shared" si="400"/>
        <v>0</v>
      </c>
      <c r="X716" s="158">
        <f t="shared" si="400"/>
        <v>0</v>
      </c>
      <c r="Y716" s="158">
        <f t="shared" si="400"/>
        <v>0</v>
      </c>
      <c r="Z716" s="158">
        <f t="shared" si="400"/>
        <v>0</v>
      </c>
      <c r="AA716" s="158">
        <f t="shared" si="400"/>
        <v>0</v>
      </c>
      <c r="AB716" s="158">
        <f t="shared" si="400"/>
        <v>0</v>
      </c>
      <c r="AC716" s="158">
        <f t="shared" si="400"/>
        <v>0</v>
      </c>
      <c r="AD716" s="158">
        <f t="shared" si="400"/>
        <v>0</v>
      </c>
      <c r="AE716" s="158">
        <f t="shared" si="400"/>
        <v>0</v>
      </c>
      <c r="AF716" s="158">
        <f t="shared" si="400"/>
        <v>0</v>
      </c>
      <c r="AG716" s="158">
        <f t="shared" si="400"/>
        <v>0</v>
      </c>
      <c r="AH716" s="158">
        <f t="shared" si="400"/>
        <v>0</v>
      </c>
      <c r="AI716" s="158">
        <f t="shared" si="400"/>
        <v>0</v>
      </c>
      <c r="AJ716" s="158">
        <f t="shared" si="400"/>
        <v>0</v>
      </c>
      <c r="AK716" s="158">
        <f t="shared" si="400"/>
        <v>0</v>
      </c>
      <c r="AL716" s="158">
        <f t="shared" si="400"/>
        <v>0</v>
      </c>
      <c r="AM716" s="158">
        <f t="shared" si="400"/>
        <v>0</v>
      </c>
      <c r="AN716" s="158">
        <f t="shared" si="400"/>
        <v>0</v>
      </c>
      <c r="AO716" s="158">
        <f t="shared" si="400"/>
        <v>0</v>
      </c>
      <c r="AP716" s="158">
        <f t="shared" si="400"/>
        <v>0</v>
      </c>
    </row>
    <row r="717" spans="1:42" x14ac:dyDescent="0.2">
      <c r="A717" s="4">
        <f>A716+1</f>
        <v>2</v>
      </c>
      <c r="B717" s="176">
        <f t="shared" si="399"/>
        <v>0</v>
      </c>
      <c r="C717" s="158">
        <f t="shared" ref="C717:AP717" si="401">IF(C$2&gt;analysis_period,0,IF(C$2=equip2_reserve_freq*$A717,equip2_reserve_cost*system_capacity*1000*(1+inflation_rate/100)^B$2,0))</f>
        <v>0</v>
      </c>
      <c r="D717" s="158">
        <f t="shared" si="401"/>
        <v>0</v>
      </c>
      <c r="E717" s="158">
        <f t="shared" si="401"/>
        <v>0</v>
      </c>
      <c r="F717" s="158">
        <f t="shared" si="401"/>
        <v>0</v>
      </c>
      <c r="G717" s="158">
        <f t="shared" si="401"/>
        <v>0</v>
      </c>
      <c r="H717" s="158">
        <f t="shared" si="401"/>
        <v>0</v>
      </c>
      <c r="I717" s="158">
        <f t="shared" si="401"/>
        <v>0</v>
      </c>
      <c r="J717" s="158">
        <f t="shared" si="401"/>
        <v>0</v>
      </c>
      <c r="K717" s="158">
        <f t="shared" si="401"/>
        <v>0</v>
      </c>
      <c r="L717" s="158">
        <f t="shared" si="401"/>
        <v>0</v>
      </c>
      <c r="M717" s="158">
        <f t="shared" si="401"/>
        <v>0</v>
      </c>
      <c r="N717" s="158">
        <f t="shared" si="401"/>
        <v>0</v>
      </c>
      <c r="O717" s="158">
        <f t="shared" si="401"/>
        <v>0</v>
      </c>
      <c r="P717" s="158">
        <f t="shared" si="401"/>
        <v>0</v>
      </c>
      <c r="Q717" s="158">
        <f t="shared" si="401"/>
        <v>0</v>
      </c>
      <c r="R717" s="158">
        <f t="shared" si="401"/>
        <v>0</v>
      </c>
      <c r="S717" s="158">
        <f t="shared" si="401"/>
        <v>0</v>
      </c>
      <c r="T717" s="158">
        <f t="shared" si="401"/>
        <v>0</v>
      </c>
      <c r="U717" s="158">
        <f t="shared" si="401"/>
        <v>0</v>
      </c>
      <c r="V717" s="158">
        <f t="shared" si="401"/>
        <v>0</v>
      </c>
      <c r="W717" s="158">
        <f t="shared" si="401"/>
        <v>0</v>
      </c>
      <c r="X717" s="158">
        <f t="shared" si="401"/>
        <v>0</v>
      </c>
      <c r="Y717" s="158">
        <f t="shared" si="401"/>
        <v>0</v>
      </c>
      <c r="Z717" s="158">
        <f t="shared" si="401"/>
        <v>0</v>
      </c>
      <c r="AA717" s="158">
        <f t="shared" si="401"/>
        <v>0</v>
      </c>
      <c r="AB717" s="158">
        <f t="shared" si="401"/>
        <v>0</v>
      </c>
      <c r="AC717" s="158">
        <f t="shared" si="401"/>
        <v>0</v>
      </c>
      <c r="AD717" s="158">
        <f t="shared" si="401"/>
        <v>0</v>
      </c>
      <c r="AE717" s="158">
        <f t="shared" si="401"/>
        <v>0</v>
      </c>
      <c r="AF717" s="158">
        <f t="shared" si="401"/>
        <v>0</v>
      </c>
      <c r="AG717" s="158">
        <f t="shared" si="401"/>
        <v>0</v>
      </c>
      <c r="AH717" s="158">
        <f t="shared" si="401"/>
        <v>0</v>
      </c>
      <c r="AI717" s="158">
        <f t="shared" si="401"/>
        <v>0</v>
      </c>
      <c r="AJ717" s="158">
        <f t="shared" si="401"/>
        <v>0</v>
      </c>
      <c r="AK717" s="158">
        <f t="shared" si="401"/>
        <v>0</v>
      </c>
      <c r="AL717" s="158">
        <f t="shared" si="401"/>
        <v>0</v>
      </c>
      <c r="AM717" s="158">
        <f t="shared" si="401"/>
        <v>0</v>
      </c>
      <c r="AN717" s="158">
        <f t="shared" si="401"/>
        <v>0</v>
      </c>
      <c r="AO717" s="158">
        <f t="shared" si="401"/>
        <v>0</v>
      </c>
      <c r="AP717" s="158">
        <f t="shared" si="401"/>
        <v>0</v>
      </c>
    </row>
    <row r="718" spans="1:42" x14ac:dyDescent="0.2">
      <c r="A718" s="4">
        <f t="shared" ref="A718:A725" si="402">A717+1</f>
        <v>3</v>
      </c>
      <c r="B718" s="176">
        <f t="shared" si="399"/>
        <v>0</v>
      </c>
      <c r="C718" s="158">
        <f t="shared" ref="C718:AP718" si="403">IF(C$2&gt;analysis_period,0,IF(C$2=equip2_reserve_freq*$A718,equip2_reserve_cost*system_capacity*1000*(1+inflation_rate/100)^B$2,0))</f>
        <v>0</v>
      </c>
      <c r="D718" s="158">
        <f t="shared" si="403"/>
        <v>0</v>
      </c>
      <c r="E718" s="158">
        <f t="shared" si="403"/>
        <v>0</v>
      </c>
      <c r="F718" s="158">
        <f t="shared" si="403"/>
        <v>0</v>
      </c>
      <c r="G718" s="158">
        <f t="shared" si="403"/>
        <v>0</v>
      </c>
      <c r="H718" s="158">
        <f t="shared" si="403"/>
        <v>0</v>
      </c>
      <c r="I718" s="158">
        <f t="shared" si="403"/>
        <v>0</v>
      </c>
      <c r="J718" s="158">
        <f t="shared" si="403"/>
        <v>0</v>
      </c>
      <c r="K718" s="158">
        <f t="shared" si="403"/>
        <v>0</v>
      </c>
      <c r="L718" s="158">
        <f t="shared" si="403"/>
        <v>0</v>
      </c>
      <c r="M718" s="158">
        <f t="shared" si="403"/>
        <v>0</v>
      </c>
      <c r="N718" s="158">
        <f t="shared" si="403"/>
        <v>0</v>
      </c>
      <c r="O718" s="158">
        <f t="shared" si="403"/>
        <v>0</v>
      </c>
      <c r="P718" s="158">
        <f t="shared" si="403"/>
        <v>0</v>
      </c>
      <c r="Q718" s="158">
        <f t="shared" si="403"/>
        <v>0</v>
      </c>
      <c r="R718" s="158">
        <f t="shared" si="403"/>
        <v>0</v>
      </c>
      <c r="S718" s="158">
        <f t="shared" si="403"/>
        <v>0</v>
      </c>
      <c r="T718" s="158">
        <f t="shared" si="403"/>
        <v>0</v>
      </c>
      <c r="U718" s="158">
        <f t="shared" si="403"/>
        <v>0</v>
      </c>
      <c r="V718" s="158">
        <f t="shared" si="403"/>
        <v>0</v>
      </c>
      <c r="W718" s="158">
        <f t="shared" si="403"/>
        <v>0</v>
      </c>
      <c r="X718" s="158">
        <f t="shared" si="403"/>
        <v>0</v>
      </c>
      <c r="Y718" s="158">
        <f t="shared" si="403"/>
        <v>0</v>
      </c>
      <c r="Z718" s="158">
        <f t="shared" si="403"/>
        <v>0</v>
      </c>
      <c r="AA718" s="158">
        <f t="shared" si="403"/>
        <v>0</v>
      </c>
      <c r="AB718" s="158">
        <f t="shared" si="403"/>
        <v>0</v>
      </c>
      <c r="AC718" s="158">
        <f t="shared" si="403"/>
        <v>0</v>
      </c>
      <c r="AD718" s="158">
        <f t="shared" si="403"/>
        <v>0</v>
      </c>
      <c r="AE718" s="158">
        <f t="shared" si="403"/>
        <v>0</v>
      </c>
      <c r="AF718" s="158">
        <f t="shared" si="403"/>
        <v>0</v>
      </c>
      <c r="AG718" s="158">
        <f t="shared" si="403"/>
        <v>0</v>
      </c>
      <c r="AH718" s="158">
        <f t="shared" si="403"/>
        <v>0</v>
      </c>
      <c r="AI718" s="158">
        <f t="shared" si="403"/>
        <v>0</v>
      </c>
      <c r="AJ718" s="158">
        <f t="shared" si="403"/>
        <v>0</v>
      </c>
      <c r="AK718" s="158">
        <f t="shared" si="403"/>
        <v>0</v>
      </c>
      <c r="AL718" s="158">
        <f t="shared" si="403"/>
        <v>0</v>
      </c>
      <c r="AM718" s="158">
        <f t="shared" si="403"/>
        <v>0</v>
      </c>
      <c r="AN718" s="158">
        <f t="shared" si="403"/>
        <v>0</v>
      </c>
      <c r="AO718" s="158">
        <f t="shared" si="403"/>
        <v>0</v>
      </c>
      <c r="AP718" s="158">
        <f t="shared" si="403"/>
        <v>0</v>
      </c>
    </row>
    <row r="719" spans="1:42" x14ac:dyDescent="0.2">
      <c r="A719" s="4">
        <f t="shared" si="402"/>
        <v>4</v>
      </c>
      <c r="B719" s="176">
        <f t="shared" si="399"/>
        <v>0</v>
      </c>
      <c r="C719" s="158">
        <f t="shared" ref="C719:AP719" si="404">IF(C$2&gt;analysis_period,0,IF(C$2=equip2_reserve_freq*$A719,equip2_reserve_cost*system_capacity*1000*(1+inflation_rate/100)^B$2,0))</f>
        <v>0</v>
      </c>
      <c r="D719" s="158">
        <f t="shared" si="404"/>
        <v>0</v>
      </c>
      <c r="E719" s="158">
        <f t="shared" si="404"/>
        <v>0</v>
      </c>
      <c r="F719" s="158">
        <f t="shared" si="404"/>
        <v>0</v>
      </c>
      <c r="G719" s="158">
        <f t="shared" si="404"/>
        <v>0</v>
      </c>
      <c r="H719" s="158">
        <f t="shared" si="404"/>
        <v>0</v>
      </c>
      <c r="I719" s="158">
        <f t="shared" si="404"/>
        <v>0</v>
      </c>
      <c r="J719" s="158">
        <f t="shared" si="404"/>
        <v>0</v>
      </c>
      <c r="K719" s="158">
        <f t="shared" si="404"/>
        <v>0</v>
      </c>
      <c r="L719" s="158">
        <f t="shared" si="404"/>
        <v>0</v>
      </c>
      <c r="M719" s="158">
        <f t="shared" si="404"/>
        <v>0</v>
      </c>
      <c r="N719" s="158">
        <f t="shared" si="404"/>
        <v>0</v>
      </c>
      <c r="O719" s="158">
        <f t="shared" si="404"/>
        <v>0</v>
      </c>
      <c r="P719" s="158">
        <f t="shared" si="404"/>
        <v>0</v>
      </c>
      <c r="Q719" s="158">
        <f t="shared" si="404"/>
        <v>0</v>
      </c>
      <c r="R719" s="158">
        <f t="shared" si="404"/>
        <v>0</v>
      </c>
      <c r="S719" s="158">
        <f t="shared" si="404"/>
        <v>0</v>
      </c>
      <c r="T719" s="158">
        <f t="shared" si="404"/>
        <v>0</v>
      </c>
      <c r="U719" s="158">
        <f t="shared" si="404"/>
        <v>0</v>
      </c>
      <c r="V719" s="158">
        <f t="shared" si="404"/>
        <v>0</v>
      </c>
      <c r="W719" s="158">
        <f t="shared" si="404"/>
        <v>0</v>
      </c>
      <c r="X719" s="158">
        <f t="shared" si="404"/>
        <v>0</v>
      </c>
      <c r="Y719" s="158">
        <f t="shared" si="404"/>
        <v>0</v>
      </c>
      <c r="Z719" s="158">
        <f t="shared" si="404"/>
        <v>0</v>
      </c>
      <c r="AA719" s="158">
        <f t="shared" si="404"/>
        <v>0</v>
      </c>
      <c r="AB719" s="158">
        <f t="shared" si="404"/>
        <v>0</v>
      </c>
      <c r="AC719" s="158">
        <f t="shared" si="404"/>
        <v>0</v>
      </c>
      <c r="AD719" s="158">
        <f t="shared" si="404"/>
        <v>0</v>
      </c>
      <c r="AE719" s="158">
        <f t="shared" si="404"/>
        <v>0</v>
      </c>
      <c r="AF719" s="158">
        <f t="shared" si="404"/>
        <v>0</v>
      </c>
      <c r="AG719" s="158">
        <f t="shared" si="404"/>
        <v>0</v>
      </c>
      <c r="AH719" s="158">
        <f t="shared" si="404"/>
        <v>0</v>
      </c>
      <c r="AI719" s="158">
        <f t="shared" si="404"/>
        <v>0</v>
      </c>
      <c r="AJ719" s="158">
        <f t="shared" si="404"/>
        <v>0</v>
      </c>
      <c r="AK719" s="158">
        <f t="shared" si="404"/>
        <v>0</v>
      </c>
      <c r="AL719" s="158">
        <f t="shared" si="404"/>
        <v>0</v>
      </c>
      <c r="AM719" s="158">
        <f t="shared" si="404"/>
        <v>0</v>
      </c>
      <c r="AN719" s="158">
        <f t="shared" si="404"/>
        <v>0</v>
      </c>
      <c r="AO719" s="158">
        <f t="shared" si="404"/>
        <v>0</v>
      </c>
      <c r="AP719" s="158">
        <f t="shared" si="404"/>
        <v>0</v>
      </c>
    </row>
    <row r="720" spans="1:42" x14ac:dyDescent="0.2">
      <c r="A720" s="4">
        <f t="shared" si="402"/>
        <v>5</v>
      </c>
      <c r="B720" s="176">
        <f t="shared" si="399"/>
        <v>0</v>
      </c>
      <c r="C720" s="158">
        <f t="shared" ref="C720:AP720" si="405">IF(C$2&gt;analysis_period,0,IF(C$2=equip2_reserve_freq*$A720,equip2_reserve_cost*system_capacity*1000*(1+inflation_rate/100)^B$2,0))</f>
        <v>0</v>
      </c>
      <c r="D720" s="158">
        <f t="shared" si="405"/>
        <v>0</v>
      </c>
      <c r="E720" s="158">
        <f t="shared" si="405"/>
        <v>0</v>
      </c>
      <c r="F720" s="158">
        <f t="shared" si="405"/>
        <v>0</v>
      </c>
      <c r="G720" s="158">
        <f t="shared" si="405"/>
        <v>0</v>
      </c>
      <c r="H720" s="158">
        <f t="shared" si="405"/>
        <v>0</v>
      </c>
      <c r="I720" s="158">
        <f t="shared" si="405"/>
        <v>0</v>
      </c>
      <c r="J720" s="158">
        <f t="shared" si="405"/>
        <v>0</v>
      </c>
      <c r="K720" s="158">
        <f t="shared" si="405"/>
        <v>0</v>
      </c>
      <c r="L720" s="158">
        <f t="shared" si="405"/>
        <v>0</v>
      </c>
      <c r="M720" s="158">
        <f t="shared" si="405"/>
        <v>0</v>
      </c>
      <c r="N720" s="158">
        <f t="shared" si="405"/>
        <v>0</v>
      </c>
      <c r="O720" s="158">
        <f t="shared" si="405"/>
        <v>0</v>
      </c>
      <c r="P720" s="158">
        <f t="shared" si="405"/>
        <v>0</v>
      </c>
      <c r="Q720" s="158">
        <f t="shared" si="405"/>
        <v>0</v>
      </c>
      <c r="R720" s="158">
        <f t="shared" si="405"/>
        <v>0</v>
      </c>
      <c r="S720" s="158">
        <f t="shared" si="405"/>
        <v>0</v>
      </c>
      <c r="T720" s="158">
        <f t="shared" si="405"/>
        <v>0</v>
      </c>
      <c r="U720" s="158">
        <f t="shared" si="405"/>
        <v>0</v>
      </c>
      <c r="V720" s="158">
        <f t="shared" si="405"/>
        <v>0</v>
      </c>
      <c r="W720" s="158">
        <f t="shared" si="405"/>
        <v>0</v>
      </c>
      <c r="X720" s="158">
        <f t="shared" si="405"/>
        <v>0</v>
      </c>
      <c r="Y720" s="158">
        <f t="shared" si="405"/>
        <v>0</v>
      </c>
      <c r="Z720" s="158">
        <f t="shared" si="405"/>
        <v>0</v>
      </c>
      <c r="AA720" s="158">
        <f t="shared" si="405"/>
        <v>0</v>
      </c>
      <c r="AB720" s="158">
        <f t="shared" si="405"/>
        <v>0</v>
      </c>
      <c r="AC720" s="158">
        <f t="shared" si="405"/>
        <v>0</v>
      </c>
      <c r="AD720" s="158">
        <f t="shared" si="405"/>
        <v>0</v>
      </c>
      <c r="AE720" s="158">
        <f t="shared" si="405"/>
        <v>0</v>
      </c>
      <c r="AF720" s="158">
        <f t="shared" si="405"/>
        <v>0</v>
      </c>
      <c r="AG720" s="158">
        <f t="shared" si="405"/>
        <v>0</v>
      </c>
      <c r="AH720" s="158">
        <f t="shared" si="405"/>
        <v>0</v>
      </c>
      <c r="AI720" s="158">
        <f t="shared" si="405"/>
        <v>0</v>
      </c>
      <c r="AJ720" s="158">
        <f t="shared" si="405"/>
        <v>0</v>
      </c>
      <c r="AK720" s="158">
        <f t="shared" si="405"/>
        <v>0</v>
      </c>
      <c r="AL720" s="158">
        <f t="shared" si="405"/>
        <v>0</v>
      </c>
      <c r="AM720" s="158">
        <f t="shared" si="405"/>
        <v>0</v>
      </c>
      <c r="AN720" s="158">
        <f t="shared" si="405"/>
        <v>0</v>
      </c>
      <c r="AO720" s="158">
        <f t="shared" si="405"/>
        <v>0</v>
      </c>
      <c r="AP720" s="158">
        <f t="shared" si="405"/>
        <v>0</v>
      </c>
    </row>
    <row r="721" spans="1:42" x14ac:dyDescent="0.2">
      <c r="A721" s="4">
        <f t="shared" si="402"/>
        <v>6</v>
      </c>
      <c r="B721" s="176">
        <f t="shared" si="399"/>
        <v>0</v>
      </c>
      <c r="C721" s="158">
        <f t="shared" ref="C721:AP721" si="406">IF(C$2&gt;analysis_period,0,IF(C$2=equip2_reserve_freq*$A721,equip2_reserve_cost*system_capacity*1000*(1+inflation_rate/100)^B$2,0))</f>
        <v>0</v>
      </c>
      <c r="D721" s="158">
        <f t="shared" si="406"/>
        <v>0</v>
      </c>
      <c r="E721" s="158">
        <f t="shared" si="406"/>
        <v>0</v>
      </c>
      <c r="F721" s="158">
        <f t="shared" si="406"/>
        <v>0</v>
      </c>
      <c r="G721" s="158">
        <f t="shared" si="406"/>
        <v>0</v>
      </c>
      <c r="H721" s="158">
        <f t="shared" si="406"/>
        <v>0</v>
      </c>
      <c r="I721" s="158">
        <f t="shared" si="406"/>
        <v>0</v>
      </c>
      <c r="J721" s="158">
        <f t="shared" si="406"/>
        <v>0</v>
      </c>
      <c r="K721" s="158">
        <f t="shared" si="406"/>
        <v>0</v>
      </c>
      <c r="L721" s="158">
        <f t="shared" si="406"/>
        <v>0</v>
      </c>
      <c r="M721" s="158">
        <f t="shared" si="406"/>
        <v>0</v>
      </c>
      <c r="N721" s="158">
        <f t="shared" si="406"/>
        <v>0</v>
      </c>
      <c r="O721" s="158">
        <f t="shared" si="406"/>
        <v>0</v>
      </c>
      <c r="P721" s="158">
        <f t="shared" si="406"/>
        <v>0</v>
      </c>
      <c r="Q721" s="158">
        <f t="shared" si="406"/>
        <v>0</v>
      </c>
      <c r="R721" s="158">
        <f t="shared" si="406"/>
        <v>0</v>
      </c>
      <c r="S721" s="158">
        <f t="shared" si="406"/>
        <v>0</v>
      </c>
      <c r="T721" s="158">
        <f t="shared" si="406"/>
        <v>0</v>
      </c>
      <c r="U721" s="158">
        <f t="shared" si="406"/>
        <v>0</v>
      </c>
      <c r="V721" s="158">
        <f t="shared" si="406"/>
        <v>0</v>
      </c>
      <c r="W721" s="158">
        <f t="shared" si="406"/>
        <v>0</v>
      </c>
      <c r="X721" s="158">
        <f t="shared" si="406"/>
        <v>0</v>
      </c>
      <c r="Y721" s="158">
        <f t="shared" si="406"/>
        <v>0</v>
      </c>
      <c r="Z721" s="158">
        <f t="shared" si="406"/>
        <v>0</v>
      </c>
      <c r="AA721" s="158">
        <f t="shared" si="406"/>
        <v>0</v>
      </c>
      <c r="AB721" s="158">
        <f t="shared" si="406"/>
        <v>0</v>
      </c>
      <c r="AC721" s="158">
        <f t="shared" si="406"/>
        <v>0</v>
      </c>
      <c r="AD721" s="158">
        <f t="shared" si="406"/>
        <v>0</v>
      </c>
      <c r="AE721" s="158">
        <f t="shared" si="406"/>
        <v>0</v>
      </c>
      <c r="AF721" s="158">
        <f t="shared" si="406"/>
        <v>0</v>
      </c>
      <c r="AG721" s="158">
        <f t="shared" si="406"/>
        <v>0</v>
      </c>
      <c r="AH721" s="158">
        <f t="shared" si="406"/>
        <v>0</v>
      </c>
      <c r="AI721" s="158">
        <f t="shared" si="406"/>
        <v>0</v>
      </c>
      <c r="AJ721" s="158">
        <f t="shared" si="406"/>
        <v>0</v>
      </c>
      <c r="AK721" s="158">
        <f t="shared" si="406"/>
        <v>0</v>
      </c>
      <c r="AL721" s="158">
        <f t="shared" si="406"/>
        <v>0</v>
      </c>
      <c r="AM721" s="158">
        <f t="shared" si="406"/>
        <v>0</v>
      </c>
      <c r="AN721" s="158">
        <f t="shared" si="406"/>
        <v>0</v>
      </c>
      <c r="AO721" s="158">
        <f t="shared" si="406"/>
        <v>0</v>
      </c>
      <c r="AP721" s="158">
        <f t="shared" si="406"/>
        <v>0</v>
      </c>
    </row>
    <row r="722" spans="1:42" x14ac:dyDescent="0.2">
      <c r="A722" s="4">
        <f t="shared" si="402"/>
        <v>7</v>
      </c>
      <c r="B722" s="176">
        <f t="shared" si="399"/>
        <v>0</v>
      </c>
      <c r="C722" s="158">
        <f t="shared" ref="C722:AP722" si="407">IF(C$2&gt;analysis_period,0,IF(C$2=equip2_reserve_freq*$A722,equip2_reserve_cost*system_capacity*1000*(1+inflation_rate/100)^B$2,0))</f>
        <v>0</v>
      </c>
      <c r="D722" s="158">
        <f t="shared" si="407"/>
        <v>0</v>
      </c>
      <c r="E722" s="158">
        <f t="shared" si="407"/>
        <v>0</v>
      </c>
      <c r="F722" s="158">
        <f t="shared" si="407"/>
        <v>0</v>
      </c>
      <c r="G722" s="158">
        <f t="shared" si="407"/>
        <v>0</v>
      </c>
      <c r="H722" s="158">
        <f t="shared" si="407"/>
        <v>0</v>
      </c>
      <c r="I722" s="158">
        <f t="shared" si="407"/>
        <v>0</v>
      </c>
      <c r="J722" s="158">
        <f t="shared" si="407"/>
        <v>0</v>
      </c>
      <c r="K722" s="158">
        <f t="shared" si="407"/>
        <v>0</v>
      </c>
      <c r="L722" s="158">
        <f t="shared" si="407"/>
        <v>0</v>
      </c>
      <c r="M722" s="158">
        <f t="shared" si="407"/>
        <v>0</v>
      </c>
      <c r="N722" s="158">
        <f t="shared" si="407"/>
        <v>0</v>
      </c>
      <c r="O722" s="158">
        <f t="shared" si="407"/>
        <v>0</v>
      </c>
      <c r="P722" s="158">
        <f t="shared" si="407"/>
        <v>0</v>
      </c>
      <c r="Q722" s="158">
        <f t="shared" si="407"/>
        <v>0</v>
      </c>
      <c r="R722" s="158">
        <f t="shared" si="407"/>
        <v>0</v>
      </c>
      <c r="S722" s="158">
        <f t="shared" si="407"/>
        <v>0</v>
      </c>
      <c r="T722" s="158">
        <f t="shared" si="407"/>
        <v>0</v>
      </c>
      <c r="U722" s="158">
        <f t="shared" si="407"/>
        <v>0</v>
      </c>
      <c r="V722" s="158">
        <f t="shared" si="407"/>
        <v>0</v>
      </c>
      <c r="W722" s="158">
        <f t="shared" si="407"/>
        <v>0</v>
      </c>
      <c r="X722" s="158">
        <f t="shared" si="407"/>
        <v>0</v>
      </c>
      <c r="Y722" s="158">
        <f t="shared" si="407"/>
        <v>0</v>
      </c>
      <c r="Z722" s="158">
        <f t="shared" si="407"/>
        <v>0</v>
      </c>
      <c r="AA722" s="158">
        <f t="shared" si="407"/>
        <v>0</v>
      </c>
      <c r="AB722" s="158">
        <f t="shared" si="407"/>
        <v>0</v>
      </c>
      <c r="AC722" s="158">
        <f t="shared" si="407"/>
        <v>0</v>
      </c>
      <c r="AD722" s="158">
        <f t="shared" si="407"/>
        <v>0</v>
      </c>
      <c r="AE722" s="158">
        <f t="shared" si="407"/>
        <v>0</v>
      </c>
      <c r="AF722" s="158">
        <f t="shared" si="407"/>
        <v>0</v>
      </c>
      <c r="AG722" s="158">
        <f t="shared" si="407"/>
        <v>0</v>
      </c>
      <c r="AH722" s="158">
        <f t="shared" si="407"/>
        <v>0</v>
      </c>
      <c r="AI722" s="158">
        <f t="shared" si="407"/>
        <v>0</v>
      </c>
      <c r="AJ722" s="158">
        <f t="shared" si="407"/>
        <v>0</v>
      </c>
      <c r="AK722" s="158">
        <f t="shared" si="407"/>
        <v>0</v>
      </c>
      <c r="AL722" s="158">
        <f t="shared" si="407"/>
        <v>0</v>
      </c>
      <c r="AM722" s="158">
        <f t="shared" si="407"/>
        <v>0</v>
      </c>
      <c r="AN722" s="158">
        <f t="shared" si="407"/>
        <v>0</v>
      </c>
      <c r="AO722" s="158">
        <f t="shared" si="407"/>
        <v>0</v>
      </c>
      <c r="AP722" s="158">
        <f t="shared" si="407"/>
        <v>0</v>
      </c>
    </row>
    <row r="723" spans="1:42" x14ac:dyDescent="0.2">
      <c r="A723" s="4">
        <f t="shared" si="402"/>
        <v>8</v>
      </c>
      <c r="B723" s="176">
        <f t="shared" si="399"/>
        <v>0</v>
      </c>
      <c r="C723" s="158">
        <f t="shared" ref="C723:AP723" si="408">IF(C$2&gt;analysis_period,0,IF(C$2=equip2_reserve_freq*$A723,equip2_reserve_cost*system_capacity*1000*(1+inflation_rate/100)^B$2,0))</f>
        <v>0</v>
      </c>
      <c r="D723" s="158">
        <f t="shared" si="408"/>
        <v>0</v>
      </c>
      <c r="E723" s="158">
        <f t="shared" si="408"/>
        <v>0</v>
      </c>
      <c r="F723" s="158">
        <f t="shared" si="408"/>
        <v>0</v>
      </c>
      <c r="G723" s="158">
        <f t="shared" si="408"/>
        <v>0</v>
      </c>
      <c r="H723" s="158">
        <f t="shared" si="408"/>
        <v>0</v>
      </c>
      <c r="I723" s="158">
        <f t="shared" si="408"/>
        <v>0</v>
      </c>
      <c r="J723" s="158">
        <f t="shared" si="408"/>
        <v>0</v>
      </c>
      <c r="K723" s="158">
        <f t="shared" si="408"/>
        <v>0</v>
      </c>
      <c r="L723" s="158">
        <f t="shared" si="408"/>
        <v>0</v>
      </c>
      <c r="M723" s="158">
        <f t="shared" si="408"/>
        <v>0</v>
      </c>
      <c r="N723" s="158">
        <f t="shared" si="408"/>
        <v>0</v>
      </c>
      <c r="O723" s="158">
        <f t="shared" si="408"/>
        <v>0</v>
      </c>
      <c r="P723" s="158">
        <f t="shared" si="408"/>
        <v>0</v>
      </c>
      <c r="Q723" s="158">
        <f t="shared" si="408"/>
        <v>0</v>
      </c>
      <c r="R723" s="158">
        <f t="shared" si="408"/>
        <v>0</v>
      </c>
      <c r="S723" s="158">
        <f t="shared" si="408"/>
        <v>0</v>
      </c>
      <c r="T723" s="158">
        <f t="shared" si="408"/>
        <v>0</v>
      </c>
      <c r="U723" s="158">
        <f t="shared" si="408"/>
        <v>0</v>
      </c>
      <c r="V723" s="158">
        <f t="shared" si="408"/>
        <v>0</v>
      </c>
      <c r="W723" s="158">
        <f t="shared" si="408"/>
        <v>0</v>
      </c>
      <c r="X723" s="158">
        <f t="shared" si="408"/>
        <v>0</v>
      </c>
      <c r="Y723" s="158">
        <f t="shared" si="408"/>
        <v>0</v>
      </c>
      <c r="Z723" s="158">
        <f t="shared" si="408"/>
        <v>0</v>
      </c>
      <c r="AA723" s="158">
        <f t="shared" si="408"/>
        <v>0</v>
      </c>
      <c r="AB723" s="158">
        <f t="shared" si="408"/>
        <v>0</v>
      </c>
      <c r="AC723" s="158">
        <f t="shared" si="408"/>
        <v>0</v>
      </c>
      <c r="AD723" s="158">
        <f t="shared" si="408"/>
        <v>0</v>
      </c>
      <c r="AE723" s="158">
        <f t="shared" si="408"/>
        <v>0</v>
      </c>
      <c r="AF723" s="158">
        <f t="shared" si="408"/>
        <v>0</v>
      </c>
      <c r="AG723" s="158">
        <f t="shared" si="408"/>
        <v>0</v>
      </c>
      <c r="AH723" s="158">
        <f t="shared" si="408"/>
        <v>0</v>
      </c>
      <c r="AI723" s="158">
        <f t="shared" si="408"/>
        <v>0</v>
      </c>
      <c r="AJ723" s="158">
        <f t="shared" si="408"/>
        <v>0</v>
      </c>
      <c r="AK723" s="158">
        <f t="shared" si="408"/>
        <v>0</v>
      </c>
      <c r="AL723" s="158">
        <f t="shared" si="408"/>
        <v>0</v>
      </c>
      <c r="AM723" s="158">
        <f t="shared" si="408"/>
        <v>0</v>
      </c>
      <c r="AN723" s="158">
        <f t="shared" si="408"/>
        <v>0</v>
      </c>
      <c r="AO723" s="158">
        <f t="shared" si="408"/>
        <v>0</v>
      </c>
      <c r="AP723" s="158">
        <f t="shared" si="408"/>
        <v>0</v>
      </c>
    </row>
    <row r="724" spans="1:42" x14ac:dyDescent="0.2">
      <c r="A724" s="4">
        <f>A723+1</f>
        <v>9</v>
      </c>
      <c r="B724" s="176">
        <f t="shared" si="399"/>
        <v>0</v>
      </c>
      <c r="C724" s="158">
        <f t="shared" ref="C724:AP724" si="409">IF(C$2&gt;analysis_period,0,IF(C$2=equip2_reserve_freq*$A724,equip2_reserve_cost*system_capacity*1000*(1+inflation_rate/100)^B$2,0))</f>
        <v>0</v>
      </c>
      <c r="D724" s="158">
        <f t="shared" si="409"/>
        <v>0</v>
      </c>
      <c r="E724" s="158">
        <f t="shared" si="409"/>
        <v>0</v>
      </c>
      <c r="F724" s="158">
        <f t="shared" si="409"/>
        <v>0</v>
      </c>
      <c r="G724" s="158">
        <f t="shared" si="409"/>
        <v>0</v>
      </c>
      <c r="H724" s="158">
        <f t="shared" si="409"/>
        <v>0</v>
      </c>
      <c r="I724" s="158">
        <f t="shared" si="409"/>
        <v>0</v>
      </c>
      <c r="J724" s="158">
        <f t="shared" si="409"/>
        <v>0</v>
      </c>
      <c r="K724" s="158">
        <f t="shared" si="409"/>
        <v>0</v>
      </c>
      <c r="L724" s="158">
        <f t="shared" si="409"/>
        <v>0</v>
      </c>
      <c r="M724" s="158">
        <f t="shared" si="409"/>
        <v>0</v>
      </c>
      <c r="N724" s="158">
        <f t="shared" si="409"/>
        <v>0</v>
      </c>
      <c r="O724" s="158">
        <f t="shared" si="409"/>
        <v>0</v>
      </c>
      <c r="P724" s="158">
        <f t="shared" si="409"/>
        <v>0</v>
      </c>
      <c r="Q724" s="158">
        <f t="shared" si="409"/>
        <v>0</v>
      </c>
      <c r="R724" s="158">
        <f t="shared" si="409"/>
        <v>0</v>
      </c>
      <c r="S724" s="158">
        <f t="shared" si="409"/>
        <v>0</v>
      </c>
      <c r="T724" s="158">
        <f t="shared" si="409"/>
        <v>0</v>
      </c>
      <c r="U724" s="158">
        <f t="shared" si="409"/>
        <v>0</v>
      </c>
      <c r="V724" s="158">
        <f t="shared" si="409"/>
        <v>0</v>
      </c>
      <c r="W724" s="158">
        <f t="shared" si="409"/>
        <v>0</v>
      </c>
      <c r="X724" s="158">
        <f t="shared" si="409"/>
        <v>0</v>
      </c>
      <c r="Y724" s="158">
        <f t="shared" si="409"/>
        <v>0</v>
      </c>
      <c r="Z724" s="158">
        <f t="shared" si="409"/>
        <v>0</v>
      </c>
      <c r="AA724" s="158">
        <f t="shared" si="409"/>
        <v>0</v>
      </c>
      <c r="AB724" s="158">
        <f t="shared" si="409"/>
        <v>0</v>
      </c>
      <c r="AC724" s="158">
        <f t="shared" si="409"/>
        <v>0</v>
      </c>
      <c r="AD724" s="158">
        <f t="shared" si="409"/>
        <v>0</v>
      </c>
      <c r="AE724" s="158">
        <f t="shared" si="409"/>
        <v>0</v>
      </c>
      <c r="AF724" s="158">
        <f t="shared" si="409"/>
        <v>0</v>
      </c>
      <c r="AG724" s="158">
        <f t="shared" si="409"/>
        <v>0</v>
      </c>
      <c r="AH724" s="158">
        <f t="shared" si="409"/>
        <v>0</v>
      </c>
      <c r="AI724" s="158">
        <f t="shared" si="409"/>
        <v>0</v>
      </c>
      <c r="AJ724" s="158">
        <f t="shared" si="409"/>
        <v>0</v>
      </c>
      <c r="AK724" s="158">
        <f t="shared" si="409"/>
        <v>0</v>
      </c>
      <c r="AL724" s="158">
        <f t="shared" si="409"/>
        <v>0</v>
      </c>
      <c r="AM724" s="158">
        <f t="shared" si="409"/>
        <v>0</v>
      </c>
      <c r="AN724" s="158">
        <f t="shared" si="409"/>
        <v>0</v>
      </c>
      <c r="AO724" s="158">
        <f t="shared" si="409"/>
        <v>0</v>
      </c>
      <c r="AP724" s="158">
        <f t="shared" si="409"/>
        <v>0</v>
      </c>
    </row>
    <row r="725" spans="1:42" x14ac:dyDescent="0.2">
      <c r="A725" s="4">
        <f t="shared" si="402"/>
        <v>10</v>
      </c>
      <c r="B725" s="176">
        <f t="shared" si="399"/>
        <v>0</v>
      </c>
      <c r="C725" s="158">
        <f t="shared" ref="C725:AP725" si="410">IF(C$2&gt;analysis_period,0,IF(C$2=equip2_reserve_freq*$A725,equip2_reserve_cost*system_capacity*1000*(1+inflation_rate/100)^B$2,0))</f>
        <v>0</v>
      </c>
      <c r="D725" s="158">
        <f t="shared" si="410"/>
        <v>0</v>
      </c>
      <c r="E725" s="158">
        <f t="shared" si="410"/>
        <v>0</v>
      </c>
      <c r="F725" s="158">
        <f t="shared" si="410"/>
        <v>0</v>
      </c>
      <c r="G725" s="158">
        <f t="shared" si="410"/>
        <v>0</v>
      </c>
      <c r="H725" s="158">
        <f t="shared" si="410"/>
        <v>0</v>
      </c>
      <c r="I725" s="158">
        <f t="shared" si="410"/>
        <v>0</v>
      </c>
      <c r="J725" s="158">
        <f t="shared" si="410"/>
        <v>0</v>
      </c>
      <c r="K725" s="158">
        <f t="shared" si="410"/>
        <v>0</v>
      </c>
      <c r="L725" s="158">
        <f t="shared" si="410"/>
        <v>0</v>
      </c>
      <c r="M725" s="158">
        <f t="shared" si="410"/>
        <v>0</v>
      </c>
      <c r="N725" s="158">
        <f t="shared" si="410"/>
        <v>0</v>
      </c>
      <c r="O725" s="158">
        <f t="shared" si="410"/>
        <v>0</v>
      </c>
      <c r="P725" s="158">
        <f t="shared" si="410"/>
        <v>0</v>
      </c>
      <c r="Q725" s="158">
        <f t="shared" si="410"/>
        <v>0</v>
      </c>
      <c r="R725" s="158">
        <f t="shared" si="410"/>
        <v>0</v>
      </c>
      <c r="S725" s="158">
        <f t="shared" si="410"/>
        <v>0</v>
      </c>
      <c r="T725" s="158">
        <f t="shared" si="410"/>
        <v>0</v>
      </c>
      <c r="U725" s="158">
        <f t="shared" si="410"/>
        <v>0</v>
      </c>
      <c r="V725" s="158">
        <f t="shared" si="410"/>
        <v>0</v>
      </c>
      <c r="W725" s="158">
        <f t="shared" si="410"/>
        <v>0</v>
      </c>
      <c r="X725" s="158">
        <f t="shared" si="410"/>
        <v>0</v>
      </c>
      <c r="Y725" s="158">
        <f t="shared" si="410"/>
        <v>0</v>
      </c>
      <c r="Z725" s="158">
        <f t="shared" si="410"/>
        <v>0</v>
      </c>
      <c r="AA725" s="158">
        <f t="shared" si="410"/>
        <v>0</v>
      </c>
      <c r="AB725" s="158">
        <f t="shared" si="410"/>
        <v>0</v>
      </c>
      <c r="AC725" s="158">
        <f t="shared" si="410"/>
        <v>0</v>
      </c>
      <c r="AD725" s="158">
        <f t="shared" si="410"/>
        <v>0</v>
      </c>
      <c r="AE725" s="158">
        <f t="shared" si="410"/>
        <v>0</v>
      </c>
      <c r="AF725" s="158">
        <f t="shared" si="410"/>
        <v>0</v>
      </c>
      <c r="AG725" s="158">
        <f t="shared" si="410"/>
        <v>0</v>
      </c>
      <c r="AH725" s="158">
        <f t="shared" si="410"/>
        <v>0</v>
      </c>
      <c r="AI725" s="158">
        <f t="shared" si="410"/>
        <v>0</v>
      </c>
      <c r="AJ725" s="158">
        <f t="shared" si="410"/>
        <v>0</v>
      </c>
      <c r="AK725" s="158">
        <f t="shared" si="410"/>
        <v>0</v>
      </c>
      <c r="AL725" s="158">
        <f t="shared" si="410"/>
        <v>0</v>
      </c>
      <c r="AM725" s="158">
        <f t="shared" si="410"/>
        <v>0</v>
      </c>
      <c r="AN725" s="158">
        <f t="shared" si="410"/>
        <v>0</v>
      </c>
      <c r="AO725" s="158">
        <f t="shared" si="410"/>
        <v>0</v>
      </c>
      <c r="AP725" s="158">
        <f t="shared" si="410"/>
        <v>0</v>
      </c>
    </row>
    <row r="726" spans="1:42" x14ac:dyDescent="0.2">
      <c r="A726" s="27" t="s">
        <v>13</v>
      </c>
      <c r="B726" s="15"/>
      <c r="C726" s="158">
        <f>SUM(C716:C725)</f>
        <v>0</v>
      </c>
      <c r="D726" s="158">
        <f t="shared" ref="D726:AP726" si="411">SUM(D716:D725)</f>
        <v>0</v>
      </c>
      <c r="E726" s="158">
        <f t="shared" si="411"/>
        <v>0</v>
      </c>
      <c r="F726" s="158">
        <f t="shared" si="411"/>
        <v>0</v>
      </c>
      <c r="G726" s="158">
        <f t="shared" si="411"/>
        <v>0</v>
      </c>
      <c r="H726" s="158">
        <f t="shared" si="411"/>
        <v>0</v>
      </c>
      <c r="I726" s="158">
        <f t="shared" si="411"/>
        <v>0</v>
      </c>
      <c r="J726" s="158">
        <f t="shared" si="411"/>
        <v>0</v>
      </c>
      <c r="K726" s="158">
        <f t="shared" si="411"/>
        <v>0</v>
      </c>
      <c r="L726" s="158">
        <f t="shared" si="411"/>
        <v>0</v>
      </c>
      <c r="M726" s="158">
        <f t="shared" si="411"/>
        <v>0</v>
      </c>
      <c r="N726" s="158">
        <f t="shared" si="411"/>
        <v>0</v>
      </c>
      <c r="O726" s="158">
        <f t="shared" si="411"/>
        <v>0</v>
      </c>
      <c r="P726" s="158">
        <f t="shared" si="411"/>
        <v>0</v>
      </c>
      <c r="Q726" s="158">
        <f t="shared" si="411"/>
        <v>0</v>
      </c>
      <c r="R726" s="158">
        <f t="shared" si="411"/>
        <v>0</v>
      </c>
      <c r="S726" s="158">
        <f t="shared" si="411"/>
        <v>0</v>
      </c>
      <c r="T726" s="158">
        <f t="shared" si="411"/>
        <v>0</v>
      </c>
      <c r="U726" s="158">
        <f t="shared" si="411"/>
        <v>0</v>
      </c>
      <c r="V726" s="158">
        <f t="shared" si="411"/>
        <v>0</v>
      </c>
      <c r="W726" s="158">
        <f t="shared" si="411"/>
        <v>0</v>
      </c>
      <c r="X726" s="158">
        <f t="shared" si="411"/>
        <v>0</v>
      </c>
      <c r="Y726" s="158">
        <f t="shared" si="411"/>
        <v>0</v>
      </c>
      <c r="Z726" s="158">
        <f t="shared" si="411"/>
        <v>0</v>
      </c>
      <c r="AA726" s="158">
        <f t="shared" si="411"/>
        <v>0</v>
      </c>
      <c r="AB726" s="158">
        <f t="shared" si="411"/>
        <v>0</v>
      </c>
      <c r="AC726" s="158">
        <f t="shared" si="411"/>
        <v>0</v>
      </c>
      <c r="AD726" s="158">
        <f t="shared" si="411"/>
        <v>0</v>
      </c>
      <c r="AE726" s="158">
        <f t="shared" si="411"/>
        <v>0</v>
      </c>
      <c r="AF726" s="158">
        <f t="shared" si="411"/>
        <v>0</v>
      </c>
      <c r="AG726" s="158">
        <f t="shared" si="411"/>
        <v>0</v>
      </c>
      <c r="AH726" s="158">
        <f t="shared" si="411"/>
        <v>0</v>
      </c>
      <c r="AI726" s="158">
        <f t="shared" si="411"/>
        <v>0</v>
      </c>
      <c r="AJ726" s="158">
        <f t="shared" si="411"/>
        <v>0</v>
      </c>
      <c r="AK726" s="158">
        <f t="shared" si="411"/>
        <v>0</v>
      </c>
      <c r="AL726" s="158">
        <f t="shared" si="411"/>
        <v>0</v>
      </c>
      <c r="AM726" s="158">
        <f t="shared" si="411"/>
        <v>0</v>
      </c>
      <c r="AN726" s="158">
        <f t="shared" si="411"/>
        <v>0</v>
      </c>
      <c r="AO726" s="158">
        <f t="shared" si="411"/>
        <v>0</v>
      </c>
      <c r="AP726" s="158">
        <f t="shared" si="411"/>
        <v>0</v>
      </c>
    </row>
    <row r="727" spans="1:42" x14ac:dyDescent="0.2">
      <c r="A727" s="4" t="s">
        <v>302</v>
      </c>
    </row>
    <row r="728" spans="1:42" x14ac:dyDescent="0.2">
      <c r="A728" s="4">
        <v>1</v>
      </c>
      <c r="B728" s="181">
        <f t="shared" ref="B728:B737" si="412">SUM(C728:AP728)</f>
        <v>0</v>
      </c>
      <c r="C728" s="158">
        <f t="shared" ref="C728:AP728" si="413">IF(C$2&lt;=equip2_reserve_freq*$A$716,$B$716/(equip2_reserve_freq),0)</f>
        <v>0</v>
      </c>
      <c r="D728" s="158">
        <f t="shared" si="413"/>
        <v>0</v>
      </c>
      <c r="E728" s="158">
        <f t="shared" si="413"/>
        <v>0</v>
      </c>
      <c r="F728" s="158">
        <f t="shared" si="413"/>
        <v>0</v>
      </c>
      <c r="G728" s="158">
        <f t="shared" si="413"/>
        <v>0</v>
      </c>
      <c r="H728" s="158">
        <f t="shared" si="413"/>
        <v>0</v>
      </c>
      <c r="I728" s="158">
        <f t="shared" si="413"/>
        <v>0</v>
      </c>
      <c r="J728" s="158">
        <f t="shared" si="413"/>
        <v>0</v>
      </c>
      <c r="K728" s="158">
        <f t="shared" si="413"/>
        <v>0</v>
      </c>
      <c r="L728" s="158">
        <f t="shared" si="413"/>
        <v>0</v>
      </c>
      <c r="M728" s="158">
        <f t="shared" si="413"/>
        <v>0</v>
      </c>
      <c r="N728" s="158">
        <f t="shared" si="413"/>
        <v>0</v>
      </c>
      <c r="O728" s="158">
        <f t="shared" si="413"/>
        <v>0</v>
      </c>
      <c r="P728" s="158">
        <f t="shared" si="413"/>
        <v>0</v>
      </c>
      <c r="Q728" s="158">
        <f t="shared" si="413"/>
        <v>0</v>
      </c>
      <c r="R728" s="158">
        <f t="shared" si="413"/>
        <v>0</v>
      </c>
      <c r="S728" s="158">
        <f t="shared" si="413"/>
        <v>0</v>
      </c>
      <c r="T728" s="158">
        <f t="shared" si="413"/>
        <v>0</v>
      </c>
      <c r="U728" s="158">
        <f t="shared" si="413"/>
        <v>0</v>
      </c>
      <c r="V728" s="158">
        <f t="shared" si="413"/>
        <v>0</v>
      </c>
      <c r="W728" s="158">
        <f t="shared" si="413"/>
        <v>0</v>
      </c>
      <c r="X728" s="158">
        <f t="shared" si="413"/>
        <v>0</v>
      </c>
      <c r="Y728" s="158">
        <f t="shared" si="413"/>
        <v>0</v>
      </c>
      <c r="Z728" s="158">
        <f t="shared" si="413"/>
        <v>0</v>
      </c>
      <c r="AA728" s="158">
        <f t="shared" si="413"/>
        <v>0</v>
      </c>
      <c r="AB728" s="158">
        <f t="shared" si="413"/>
        <v>0</v>
      </c>
      <c r="AC728" s="158">
        <f t="shared" si="413"/>
        <v>0</v>
      </c>
      <c r="AD728" s="158">
        <f t="shared" si="413"/>
        <v>0</v>
      </c>
      <c r="AE728" s="158">
        <f t="shared" si="413"/>
        <v>0</v>
      </c>
      <c r="AF728" s="158">
        <f t="shared" si="413"/>
        <v>0</v>
      </c>
      <c r="AG728" s="158">
        <f t="shared" si="413"/>
        <v>0</v>
      </c>
      <c r="AH728" s="158">
        <f t="shared" si="413"/>
        <v>0</v>
      </c>
      <c r="AI728" s="158">
        <f t="shared" si="413"/>
        <v>0</v>
      </c>
      <c r="AJ728" s="158">
        <f t="shared" si="413"/>
        <v>0</v>
      </c>
      <c r="AK728" s="158">
        <f t="shared" si="413"/>
        <v>0</v>
      </c>
      <c r="AL728" s="158">
        <f t="shared" si="413"/>
        <v>0</v>
      </c>
      <c r="AM728" s="158">
        <f t="shared" si="413"/>
        <v>0</v>
      </c>
      <c r="AN728" s="158">
        <f t="shared" si="413"/>
        <v>0</v>
      </c>
      <c r="AO728" s="158">
        <f t="shared" si="413"/>
        <v>0</v>
      </c>
      <c r="AP728" s="158">
        <f t="shared" si="413"/>
        <v>0</v>
      </c>
    </row>
    <row r="729" spans="1:42" x14ac:dyDescent="0.2">
      <c r="A729" s="4">
        <f>A728+1</f>
        <v>2</v>
      </c>
      <c r="B729" s="181">
        <f t="shared" si="412"/>
        <v>0</v>
      </c>
      <c r="C729" s="158">
        <f t="shared" ref="C729:AP729" si="414">IF(AND(C$2&gt;equip2_reserve_freq*$A716,C$2&lt;=equip2_reserve_freq*$A717),$B717/(equip2_reserve_freq),0)</f>
        <v>0</v>
      </c>
      <c r="D729" s="158">
        <f t="shared" si="414"/>
        <v>0</v>
      </c>
      <c r="E729" s="158">
        <f t="shared" si="414"/>
        <v>0</v>
      </c>
      <c r="F729" s="158">
        <f t="shared" si="414"/>
        <v>0</v>
      </c>
      <c r="G729" s="158">
        <f t="shared" si="414"/>
        <v>0</v>
      </c>
      <c r="H729" s="158">
        <f t="shared" si="414"/>
        <v>0</v>
      </c>
      <c r="I729" s="158">
        <f t="shared" si="414"/>
        <v>0</v>
      </c>
      <c r="J729" s="158">
        <f t="shared" si="414"/>
        <v>0</v>
      </c>
      <c r="K729" s="158">
        <f t="shared" si="414"/>
        <v>0</v>
      </c>
      <c r="L729" s="158">
        <f t="shared" si="414"/>
        <v>0</v>
      </c>
      <c r="M729" s="158">
        <f t="shared" si="414"/>
        <v>0</v>
      </c>
      <c r="N729" s="158">
        <f t="shared" si="414"/>
        <v>0</v>
      </c>
      <c r="O729" s="158">
        <f t="shared" si="414"/>
        <v>0</v>
      </c>
      <c r="P729" s="158">
        <f t="shared" si="414"/>
        <v>0</v>
      </c>
      <c r="Q729" s="158">
        <f t="shared" si="414"/>
        <v>0</v>
      </c>
      <c r="R729" s="158">
        <f t="shared" si="414"/>
        <v>0</v>
      </c>
      <c r="S729" s="158">
        <f t="shared" si="414"/>
        <v>0</v>
      </c>
      <c r="T729" s="158">
        <f t="shared" si="414"/>
        <v>0</v>
      </c>
      <c r="U729" s="158">
        <f t="shared" si="414"/>
        <v>0</v>
      </c>
      <c r="V729" s="158">
        <f t="shared" si="414"/>
        <v>0</v>
      </c>
      <c r="W729" s="158">
        <f t="shared" si="414"/>
        <v>0</v>
      </c>
      <c r="X729" s="158">
        <f t="shared" si="414"/>
        <v>0</v>
      </c>
      <c r="Y729" s="158">
        <f t="shared" si="414"/>
        <v>0</v>
      </c>
      <c r="Z729" s="158">
        <f t="shared" si="414"/>
        <v>0</v>
      </c>
      <c r="AA729" s="158">
        <f t="shared" si="414"/>
        <v>0</v>
      </c>
      <c r="AB729" s="158">
        <f t="shared" si="414"/>
        <v>0</v>
      </c>
      <c r="AC729" s="158">
        <f t="shared" si="414"/>
        <v>0</v>
      </c>
      <c r="AD729" s="158">
        <f t="shared" si="414"/>
        <v>0</v>
      </c>
      <c r="AE729" s="158">
        <f t="shared" si="414"/>
        <v>0</v>
      </c>
      <c r="AF729" s="158">
        <f t="shared" si="414"/>
        <v>0</v>
      </c>
      <c r="AG729" s="158">
        <f t="shared" si="414"/>
        <v>0</v>
      </c>
      <c r="AH729" s="158">
        <f t="shared" si="414"/>
        <v>0</v>
      </c>
      <c r="AI729" s="158">
        <f t="shared" si="414"/>
        <v>0</v>
      </c>
      <c r="AJ729" s="158">
        <f t="shared" si="414"/>
        <v>0</v>
      </c>
      <c r="AK729" s="158">
        <f t="shared" si="414"/>
        <v>0</v>
      </c>
      <c r="AL729" s="158">
        <f t="shared" si="414"/>
        <v>0</v>
      </c>
      <c r="AM729" s="158">
        <f t="shared" si="414"/>
        <v>0</v>
      </c>
      <c r="AN729" s="158">
        <f t="shared" si="414"/>
        <v>0</v>
      </c>
      <c r="AO729" s="158">
        <f t="shared" si="414"/>
        <v>0</v>
      </c>
      <c r="AP729" s="158">
        <f t="shared" si="414"/>
        <v>0</v>
      </c>
    </row>
    <row r="730" spans="1:42" x14ac:dyDescent="0.2">
      <c r="A730" s="4">
        <f t="shared" ref="A730:A735" si="415">A729+1</f>
        <v>3</v>
      </c>
      <c r="B730" s="181">
        <f t="shared" si="412"/>
        <v>0</v>
      </c>
      <c r="C730" s="158">
        <f t="shared" ref="C730:AP730" si="416">IF(AND(C$2&gt;equip2_reserve_freq*$A717,C$2&lt;=equip2_reserve_freq*$A718),$B718/(equip2_reserve_freq),0)</f>
        <v>0</v>
      </c>
      <c r="D730" s="158">
        <f t="shared" si="416"/>
        <v>0</v>
      </c>
      <c r="E730" s="158">
        <f t="shared" si="416"/>
        <v>0</v>
      </c>
      <c r="F730" s="158">
        <f t="shared" si="416"/>
        <v>0</v>
      </c>
      <c r="G730" s="158">
        <f t="shared" si="416"/>
        <v>0</v>
      </c>
      <c r="H730" s="158">
        <f t="shared" si="416"/>
        <v>0</v>
      </c>
      <c r="I730" s="158">
        <f t="shared" si="416"/>
        <v>0</v>
      </c>
      <c r="J730" s="158">
        <f t="shared" si="416"/>
        <v>0</v>
      </c>
      <c r="K730" s="158">
        <f t="shared" si="416"/>
        <v>0</v>
      </c>
      <c r="L730" s="158">
        <f t="shared" si="416"/>
        <v>0</v>
      </c>
      <c r="M730" s="158">
        <f t="shared" si="416"/>
        <v>0</v>
      </c>
      <c r="N730" s="158">
        <f t="shared" si="416"/>
        <v>0</v>
      </c>
      <c r="O730" s="158">
        <f t="shared" si="416"/>
        <v>0</v>
      </c>
      <c r="P730" s="158">
        <f t="shared" si="416"/>
        <v>0</v>
      </c>
      <c r="Q730" s="158">
        <f t="shared" si="416"/>
        <v>0</v>
      </c>
      <c r="R730" s="158">
        <f t="shared" si="416"/>
        <v>0</v>
      </c>
      <c r="S730" s="158">
        <f t="shared" si="416"/>
        <v>0</v>
      </c>
      <c r="T730" s="158">
        <f t="shared" si="416"/>
        <v>0</v>
      </c>
      <c r="U730" s="158">
        <f t="shared" si="416"/>
        <v>0</v>
      </c>
      <c r="V730" s="158">
        <f t="shared" si="416"/>
        <v>0</v>
      </c>
      <c r="W730" s="158">
        <f t="shared" si="416"/>
        <v>0</v>
      </c>
      <c r="X730" s="158">
        <f t="shared" si="416"/>
        <v>0</v>
      </c>
      <c r="Y730" s="158">
        <f t="shared" si="416"/>
        <v>0</v>
      </c>
      <c r="Z730" s="158">
        <f t="shared" si="416"/>
        <v>0</v>
      </c>
      <c r="AA730" s="158">
        <f t="shared" si="416"/>
        <v>0</v>
      </c>
      <c r="AB730" s="158">
        <f t="shared" si="416"/>
        <v>0</v>
      </c>
      <c r="AC730" s="158">
        <f t="shared" si="416"/>
        <v>0</v>
      </c>
      <c r="AD730" s="158">
        <f t="shared" si="416"/>
        <v>0</v>
      </c>
      <c r="AE730" s="158">
        <f t="shared" si="416"/>
        <v>0</v>
      </c>
      <c r="AF730" s="158">
        <f t="shared" si="416"/>
        <v>0</v>
      </c>
      <c r="AG730" s="158">
        <f t="shared" si="416"/>
        <v>0</v>
      </c>
      <c r="AH730" s="158">
        <f t="shared" si="416"/>
        <v>0</v>
      </c>
      <c r="AI730" s="158">
        <f t="shared" si="416"/>
        <v>0</v>
      </c>
      <c r="AJ730" s="158">
        <f t="shared" si="416"/>
        <v>0</v>
      </c>
      <c r="AK730" s="158">
        <f t="shared" si="416"/>
        <v>0</v>
      </c>
      <c r="AL730" s="158">
        <f t="shared" si="416"/>
        <v>0</v>
      </c>
      <c r="AM730" s="158">
        <f t="shared" si="416"/>
        <v>0</v>
      </c>
      <c r="AN730" s="158">
        <f t="shared" si="416"/>
        <v>0</v>
      </c>
      <c r="AO730" s="158">
        <f t="shared" si="416"/>
        <v>0</v>
      </c>
      <c r="AP730" s="158">
        <f t="shared" si="416"/>
        <v>0</v>
      </c>
    </row>
    <row r="731" spans="1:42" x14ac:dyDescent="0.2">
      <c r="A731" s="4">
        <f t="shared" si="415"/>
        <v>4</v>
      </c>
      <c r="B731" s="181">
        <f t="shared" si="412"/>
        <v>0</v>
      </c>
      <c r="C731" s="158">
        <f t="shared" ref="C731:AP731" si="417">IF(AND(C$2&gt;equip2_reserve_freq*$A718,C$2&lt;=equip2_reserve_freq*$A719),$B719/(equip2_reserve_freq),0)</f>
        <v>0</v>
      </c>
      <c r="D731" s="158">
        <f t="shared" si="417"/>
        <v>0</v>
      </c>
      <c r="E731" s="158">
        <f t="shared" si="417"/>
        <v>0</v>
      </c>
      <c r="F731" s="158">
        <f t="shared" si="417"/>
        <v>0</v>
      </c>
      <c r="G731" s="158">
        <f t="shared" si="417"/>
        <v>0</v>
      </c>
      <c r="H731" s="158">
        <f t="shared" si="417"/>
        <v>0</v>
      </c>
      <c r="I731" s="158">
        <f t="shared" si="417"/>
        <v>0</v>
      </c>
      <c r="J731" s="158">
        <f t="shared" si="417"/>
        <v>0</v>
      </c>
      <c r="K731" s="158">
        <f t="shared" si="417"/>
        <v>0</v>
      </c>
      <c r="L731" s="158">
        <f t="shared" si="417"/>
        <v>0</v>
      </c>
      <c r="M731" s="158">
        <f t="shared" si="417"/>
        <v>0</v>
      </c>
      <c r="N731" s="158">
        <f t="shared" si="417"/>
        <v>0</v>
      </c>
      <c r="O731" s="158">
        <f t="shared" si="417"/>
        <v>0</v>
      </c>
      <c r="P731" s="158">
        <f t="shared" si="417"/>
        <v>0</v>
      </c>
      <c r="Q731" s="158">
        <f t="shared" si="417"/>
        <v>0</v>
      </c>
      <c r="R731" s="158">
        <f t="shared" si="417"/>
        <v>0</v>
      </c>
      <c r="S731" s="158">
        <f t="shared" si="417"/>
        <v>0</v>
      </c>
      <c r="T731" s="158">
        <f t="shared" si="417"/>
        <v>0</v>
      </c>
      <c r="U731" s="158">
        <f t="shared" si="417"/>
        <v>0</v>
      </c>
      <c r="V731" s="158">
        <f t="shared" si="417"/>
        <v>0</v>
      </c>
      <c r="W731" s="158">
        <f t="shared" si="417"/>
        <v>0</v>
      </c>
      <c r="X731" s="158">
        <f t="shared" si="417"/>
        <v>0</v>
      </c>
      <c r="Y731" s="158">
        <f t="shared" si="417"/>
        <v>0</v>
      </c>
      <c r="Z731" s="158">
        <f t="shared" si="417"/>
        <v>0</v>
      </c>
      <c r="AA731" s="158">
        <f t="shared" si="417"/>
        <v>0</v>
      </c>
      <c r="AB731" s="158">
        <f t="shared" si="417"/>
        <v>0</v>
      </c>
      <c r="AC731" s="158">
        <f t="shared" si="417"/>
        <v>0</v>
      </c>
      <c r="AD731" s="158">
        <f t="shared" si="417"/>
        <v>0</v>
      </c>
      <c r="AE731" s="158">
        <f t="shared" si="417"/>
        <v>0</v>
      </c>
      <c r="AF731" s="158">
        <f t="shared" si="417"/>
        <v>0</v>
      </c>
      <c r="AG731" s="158">
        <f t="shared" si="417"/>
        <v>0</v>
      </c>
      <c r="AH731" s="158">
        <f t="shared" si="417"/>
        <v>0</v>
      </c>
      <c r="AI731" s="158">
        <f t="shared" si="417"/>
        <v>0</v>
      </c>
      <c r="AJ731" s="158">
        <f t="shared" si="417"/>
        <v>0</v>
      </c>
      <c r="AK731" s="158">
        <f t="shared" si="417"/>
        <v>0</v>
      </c>
      <c r="AL731" s="158">
        <f t="shared" si="417"/>
        <v>0</v>
      </c>
      <c r="AM731" s="158">
        <f t="shared" si="417"/>
        <v>0</v>
      </c>
      <c r="AN731" s="158">
        <f t="shared" si="417"/>
        <v>0</v>
      </c>
      <c r="AO731" s="158">
        <f t="shared" si="417"/>
        <v>0</v>
      </c>
      <c r="AP731" s="158">
        <f t="shared" si="417"/>
        <v>0</v>
      </c>
    </row>
    <row r="732" spans="1:42" x14ac:dyDescent="0.2">
      <c r="A732" s="4">
        <f t="shared" si="415"/>
        <v>5</v>
      </c>
      <c r="B732" s="181">
        <f t="shared" si="412"/>
        <v>0</v>
      </c>
      <c r="C732" s="158">
        <f t="shared" ref="C732:AP732" si="418">IF(AND(C$2&gt;equip2_reserve_freq*$A719,C$2&lt;=equip2_reserve_freq*$A720),$B720/(equip2_reserve_freq),0)</f>
        <v>0</v>
      </c>
      <c r="D732" s="158">
        <f t="shared" si="418"/>
        <v>0</v>
      </c>
      <c r="E732" s="158">
        <f t="shared" si="418"/>
        <v>0</v>
      </c>
      <c r="F732" s="158">
        <f t="shared" si="418"/>
        <v>0</v>
      </c>
      <c r="G732" s="158">
        <f t="shared" si="418"/>
        <v>0</v>
      </c>
      <c r="H732" s="158">
        <f t="shared" si="418"/>
        <v>0</v>
      </c>
      <c r="I732" s="158">
        <f t="shared" si="418"/>
        <v>0</v>
      </c>
      <c r="J732" s="158">
        <f t="shared" si="418"/>
        <v>0</v>
      </c>
      <c r="K732" s="158">
        <f t="shared" si="418"/>
        <v>0</v>
      </c>
      <c r="L732" s="158">
        <f t="shared" si="418"/>
        <v>0</v>
      </c>
      <c r="M732" s="158">
        <f t="shared" si="418"/>
        <v>0</v>
      </c>
      <c r="N732" s="158">
        <f t="shared" si="418"/>
        <v>0</v>
      </c>
      <c r="O732" s="158">
        <f t="shared" si="418"/>
        <v>0</v>
      </c>
      <c r="P732" s="158">
        <f t="shared" si="418"/>
        <v>0</v>
      </c>
      <c r="Q732" s="158">
        <f t="shared" si="418"/>
        <v>0</v>
      </c>
      <c r="R732" s="158">
        <f t="shared" si="418"/>
        <v>0</v>
      </c>
      <c r="S732" s="158">
        <f t="shared" si="418"/>
        <v>0</v>
      </c>
      <c r="T732" s="158">
        <f t="shared" si="418"/>
        <v>0</v>
      </c>
      <c r="U732" s="158">
        <f t="shared" si="418"/>
        <v>0</v>
      </c>
      <c r="V732" s="158">
        <f t="shared" si="418"/>
        <v>0</v>
      </c>
      <c r="W732" s="158">
        <f t="shared" si="418"/>
        <v>0</v>
      </c>
      <c r="X732" s="158">
        <f t="shared" si="418"/>
        <v>0</v>
      </c>
      <c r="Y732" s="158">
        <f t="shared" si="418"/>
        <v>0</v>
      </c>
      <c r="Z732" s="158">
        <f t="shared" si="418"/>
        <v>0</v>
      </c>
      <c r="AA732" s="158">
        <f t="shared" si="418"/>
        <v>0</v>
      </c>
      <c r="AB732" s="158">
        <f t="shared" si="418"/>
        <v>0</v>
      </c>
      <c r="AC732" s="158">
        <f t="shared" si="418"/>
        <v>0</v>
      </c>
      <c r="AD732" s="158">
        <f t="shared" si="418"/>
        <v>0</v>
      </c>
      <c r="AE732" s="158">
        <f t="shared" si="418"/>
        <v>0</v>
      </c>
      <c r="AF732" s="158">
        <f t="shared" si="418"/>
        <v>0</v>
      </c>
      <c r="AG732" s="158">
        <f t="shared" si="418"/>
        <v>0</v>
      </c>
      <c r="AH732" s="158">
        <f t="shared" si="418"/>
        <v>0</v>
      </c>
      <c r="AI732" s="158">
        <f t="shared" si="418"/>
        <v>0</v>
      </c>
      <c r="AJ732" s="158">
        <f t="shared" si="418"/>
        <v>0</v>
      </c>
      <c r="AK732" s="158">
        <f t="shared" si="418"/>
        <v>0</v>
      </c>
      <c r="AL732" s="158">
        <f t="shared" si="418"/>
        <v>0</v>
      </c>
      <c r="AM732" s="158">
        <f t="shared" si="418"/>
        <v>0</v>
      </c>
      <c r="AN732" s="158">
        <f t="shared" si="418"/>
        <v>0</v>
      </c>
      <c r="AO732" s="158">
        <f t="shared" si="418"/>
        <v>0</v>
      </c>
      <c r="AP732" s="158">
        <f t="shared" si="418"/>
        <v>0</v>
      </c>
    </row>
    <row r="733" spans="1:42" x14ac:dyDescent="0.2">
      <c r="A733" s="4">
        <f t="shared" si="415"/>
        <v>6</v>
      </c>
      <c r="B733" s="181">
        <f t="shared" si="412"/>
        <v>0</v>
      </c>
      <c r="C733" s="158">
        <f t="shared" ref="C733:AP733" si="419">IF(AND(C$2&gt;equip2_reserve_freq*$A720,C$2&lt;=equip2_reserve_freq*$A721),$B721/(equip2_reserve_freq),0)</f>
        <v>0</v>
      </c>
      <c r="D733" s="158">
        <f t="shared" si="419"/>
        <v>0</v>
      </c>
      <c r="E733" s="158">
        <f t="shared" si="419"/>
        <v>0</v>
      </c>
      <c r="F733" s="158">
        <f t="shared" si="419"/>
        <v>0</v>
      </c>
      <c r="G733" s="158">
        <f t="shared" si="419"/>
        <v>0</v>
      </c>
      <c r="H733" s="158">
        <f t="shared" si="419"/>
        <v>0</v>
      </c>
      <c r="I733" s="158">
        <f t="shared" si="419"/>
        <v>0</v>
      </c>
      <c r="J733" s="158">
        <f t="shared" si="419"/>
        <v>0</v>
      </c>
      <c r="K733" s="158">
        <f t="shared" si="419"/>
        <v>0</v>
      </c>
      <c r="L733" s="158">
        <f t="shared" si="419"/>
        <v>0</v>
      </c>
      <c r="M733" s="158">
        <f t="shared" si="419"/>
        <v>0</v>
      </c>
      <c r="N733" s="158">
        <f t="shared" si="419"/>
        <v>0</v>
      </c>
      <c r="O733" s="158">
        <f t="shared" si="419"/>
        <v>0</v>
      </c>
      <c r="P733" s="158">
        <f t="shared" si="419"/>
        <v>0</v>
      </c>
      <c r="Q733" s="158">
        <f t="shared" si="419"/>
        <v>0</v>
      </c>
      <c r="R733" s="158">
        <f t="shared" si="419"/>
        <v>0</v>
      </c>
      <c r="S733" s="158">
        <f t="shared" si="419"/>
        <v>0</v>
      </c>
      <c r="T733" s="158">
        <f t="shared" si="419"/>
        <v>0</v>
      </c>
      <c r="U733" s="158">
        <f t="shared" si="419"/>
        <v>0</v>
      </c>
      <c r="V733" s="158">
        <f t="shared" si="419"/>
        <v>0</v>
      </c>
      <c r="W733" s="158">
        <f t="shared" si="419"/>
        <v>0</v>
      </c>
      <c r="X733" s="158">
        <f t="shared" si="419"/>
        <v>0</v>
      </c>
      <c r="Y733" s="158">
        <f t="shared" si="419"/>
        <v>0</v>
      </c>
      <c r="Z733" s="158">
        <f t="shared" si="419"/>
        <v>0</v>
      </c>
      <c r="AA733" s="158">
        <f t="shared" si="419"/>
        <v>0</v>
      </c>
      <c r="AB733" s="158">
        <f t="shared" si="419"/>
        <v>0</v>
      </c>
      <c r="AC733" s="158">
        <f t="shared" si="419"/>
        <v>0</v>
      </c>
      <c r="AD733" s="158">
        <f t="shared" si="419"/>
        <v>0</v>
      </c>
      <c r="AE733" s="158">
        <f t="shared" si="419"/>
        <v>0</v>
      </c>
      <c r="AF733" s="158">
        <f t="shared" si="419"/>
        <v>0</v>
      </c>
      <c r="AG733" s="158">
        <f t="shared" si="419"/>
        <v>0</v>
      </c>
      <c r="AH733" s="158">
        <f t="shared" si="419"/>
        <v>0</v>
      </c>
      <c r="AI733" s="158">
        <f t="shared" si="419"/>
        <v>0</v>
      </c>
      <c r="AJ733" s="158">
        <f t="shared" si="419"/>
        <v>0</v>
      </c>
      <c r="AK733" s="158">
        <f t="shared" si="419"/>
        <v>0</v>
      </c>
      <c r="AL733" s="158">
        <f t="shared" si="419"/>
        <v>0</v>
      </c>
      <c r="AM733" s="158">
        <f t="shared" si="419"/>
        <v>0</v>
      </c>
      <c r="AN733" s="158">
        <f t="shared" si="419"/>
        <v>0</v>
      </c>
      <c r="AO733" s="158">
        <f t="shared" si="419"/>
        <v>0</v>
      </c>
      <c r="AP733" s="158">
        <f t="shared" si="419"/>
        <v>0</v>
      </c>
    </row>
    <row r="734" spans="1:42" x14ac:dyDescent="0.2">
      <c r="A734" s="4">
        <f t="shared" si="415"/>
        <v>7</v>
      </c>
      <c r="B734" s="181">
        <f t="shared" si="412"/>
        <v>0</v>
      </c>
      <c r="C734" s="158">
        <f t="shared" ref="C734:AP734" si="420">IF(AND(C$2&gt;equip2_reserve_freq*$A721,C$2&lt;=equip2_reserve_freq*$A722),$B722/(equip2_reserve_freq),0)</f>
        <v>0</v>
      </c>
      <c r="D734" s="158">
        <f t="shared" si="420"/>
        <v>0</v>
      </c>
      <c r="E734" s="158">
        <f t="shared" si="420"/>
        <v>0</v>
      </c>
      <c r="F734" s="158">
        <f t="shared" si="420"/>
        <v>0</v>
      </c>
      <c r="G734" s="158">
        <f t="shared" si="420"/>
        <v>0</v>
      </c>
      <c r="H734" s="158">
        <f t="shared" si="420"/>
        <v>0</v>
      </c>
      <c r="I734" s="158">
        <f t="shared" si="420"/>
        <v>0</v>
      </c>
      <c r="J734" s="158">
        <f t="shared" si="420"/>
        <v>0</v>
      </c>
      <c r="K734" s="158">
        <f t="shared" si="420"/>
        <v>0</v>
      </c>
      <c r="L734" s="158">
        <f t="shared" si="420"/>
        <v>0</v>
      </c>
      <c r="M734" s="158">
        <f t="shared" si="420"/>
        <v>0</v>
      </c>
      <c r="N734" s="158">
        <f t="shared" si="420"/>
        <v>0</v>
      </c>
      <c r="O734" s="158">
        <f t="shared" si="420"/>
        <v>0</v>
      </c>
      <c r="P734" s="158">
        <f t="shared" si="420"/>
        <v>0</v>
      </c>
      <c r="Q734" s="158">
        <f t="shared" si="420"/>
        <v>0</v>
      </c>
      <c r="R734" s="158">
        <f t="shared" si="420"/>
        <v>0</v>
      </c>
      <c r="S734" s="158">
        <f t="shared" si="420"/>
        <v>0</v>
      </c>
      <c r="T734" s="158">
        <f t="shared" si="420"/>
        <v>0</v>
      </c>
      <c r="U734" s="158">
        <f t="shared" si="420"/>
        <v>0</v>
      </c>
      <c r="V734" s="158">
        <f t="shared" si="420"/>
        <v>0</v>
      </c>
      <c r="W734" s="158">
        <f t="shared" si="420"/>
        <v>0</v>
      </c>
      <c r="X734" s="158">
        <f t="shared" si="420"/>
        <v>0</v>
      </c>
      <c r="Y734" s="158">
        <f t="shared" si="420"/>
        <v>0</v>
      </c>
      <c r="Z734" s="158">
        <f t="shared" si="420"/>
        <v>0</v>
      </c>
      <c r="AA734" s="158">
        <f t="shared" si="420"/>
        <v>0</v>
      </c>
      <c r="AB734" s="158">
        <f t="shared" si="420"/>
        <v>0</v>
      </c>
      <c r="AC734" s="158">
        <f t="shared" si="420"/>
        <v>0</v>
      </c>
      <c r="AD734" s="158">
        <f t="shared" si="420"/>
        <v>0</v>
      </c>
      <c r="AE734" s="158">
        <f t="shared" si="420"/>
        <v>0</v>
      </c>
      <c r="AF734" s="158">
        <f t="shared" si="420"/>
        <v>0</v>
      </c>
      <c r="AG734" s="158">
        <f t="shared" si="420"/>
        <v>0</v>
      </c>
      <c r="AH734" s="158">
        <f t="shared" si="420"/>
        <v>0</v>
      </c>
      <c r="AI734" s="158">
        <f t="shared" si="420"/>
        <v>0</v>
      </c>
      <c r="AJ734" s="158">
        <f t="shared" si="420"/>
        <v>0</v>
      </c>
      <c r="AK734" s="158">
        <f t="shared" si="420"/>
        <v>0</v>
      </c>
      <c r="AL734" s="158">
        <f t="shared" si="420"/>
        <v>0</v>
      </c>
      <c r="AM734" s="158">
        <f t="shared" si="420"/>
        <v>0</v>
      </c>
      <c r="AN734" s="158">
        <f t="shared" si="420"/>
        <v>0</v>
      </c>
      <c r="AO734" s="158">
        <f t="shared" si="420"/>
        <v>0</v>
      </c>
      <c r="AP734" s="158">
        <f t="shared" si="420"/>
        <v>0</v>
      </c>
    </row>
    <row r="735" spans="1:42" x14ac:dyDescent="0.2">
      <c r="A735" s="4">
        <f t="shared" si="415"/>
        <v>8</v>
      </c>
      <c r="B735" s="181">
        <f t="shared" si="412"/>
        <v>0</v>
      </c>
      <c r="C735" s="158">
        <f t="shared" ref="C735:AP735" si="421">IF(AND(C$2&gt;equip2_reserve_freq*$A722,C$2&lt;=equip2_reserve_freq*$A723),$B723/(equip2_reserve_freq),0)</f>
        <v>0</v>
      </c>
      <c r="D735" s="158">
        <f t="shared" si="421"/>
        <v>0</v>
      </c>
      <c r="E735" s="158">
        <f t="shared" si="421"/>
        <v>0</v>
      </c>
      <c r="F735" s="158">
        <f t="shared" si="421"/>
        <v>0</v>
      </c>
      <c r="G735" s="158">
        <f t="shared" si="421"/>
        <v>0</v>
      </c>
      <c r="H735" s="158">
        <f t="shared" si="421"/>
        <v>0</v>
      </c>
      <c r="I735" s="158">
        <f t="shared" si="421"/>
        <v>0</v>
      </c>
      <c r="J735" s="158">
        <f t="shared" si="421"/>
        <v>0</v>
      </c>
      <c r="K735" s="158">
        <f t="shared" si="421"/>
        <v>0</v>
      </c>
      <c r="L735" s="158">
        <f t="shared" si="421"/>
        <v>0</v>
      </c>
      <c r="M735" s="158">
        <f t="shared" si="421"/>
        <v>0</v>
      </c>
      <c r="N735" s="158">
        <f t="shared" si="421"/>
        <v>0</v>
      </c>
      <c r="O735" s="158">
        <f t="shared" si="421"/>
        <v>0</v>
      </c>
      <c r="P735" s="158">
        <f t="shared" si="421"/>
        <v>0</v>
      </c>
      <c r="Q735" s="158">
        <f t="shared" si="421"/>
        <v>0</v>
      </c>
      <c r="R735" s="158">
        <f t="shared" si="421"/>
        <v>0</v>
      </c>
      <c r="S735" s="158">
        <f t="shared" si="421"/>
        <v>0</v>
      </c>
      <c r="T735" s="158">
        <f t="shared" si="421"/>
        <v>0</v>
      </c>
      <c r="U735" s="158">
        <f t="shared" si="421"/>
        <v>0</v>
      </c>
      <c r="V735" s="158">
        <f t="shared" si="421"/>
        <v>0</v>
      </c>
      <c r="W735" s="158">
        <f t="shared" si="421"/>
        <v>0</v>
      </c>
      <c r="X735" s="158">
        <f t="shared" si="421"/>
        <v>0</v>
      </c>
      <c r="Y735" s="158">
        <f t="shared" si="421"/>
        <v>0</v>
      </c>
      <c r="Z735" s="158">
        <f t="shared" si="421"/>
        <v>0</v>
      </c>
      <c r="AA735" s="158">
        <f t="shared" si="421"/>
        <v>0</v>
      </c>
      <c r="AB735" s="158">
        <f t="shared" si="421"/>
        <v>0</v>
      </c>
      <c r="AC735" s="158">
        <f t="shared" si="421"/>
        <v>0</v>
      </c>
      <c r="AD735" s="158">
        <f t="shared" si="421"/>
        <v>0</v>
      </c>
      <c r="AE735" s="158">
        <f t="shared" si="421"/>
        <v>0</v>
      </c>
      <c r="AF735" s="158">
        <f t="shared" si="421"/>
        <v>0</v>
      </c>
      <c r="AG735" s="158">
        <f t="shared" si="421"/>
        <v>0</v>
      </c>
      <c r="AH735" s="158">
        <f t="shared" si="421"/>
        <v>0</v>
      </c>
      <c r="AI735" s="158">
        <f t="shared" si="421"/>
        <v>0</v>
      </c>
      <c r="AJ735" s="158">
        <f t="shared" si="421"/>
        <v>0</v>
      </c>
      <c r="AK735" s="158">
        <f t="shared" si="421"/>
        <v>0</v>
      </c>
      <c r="AL735" s="158">
        <f t="shared" si="421"/>
        <v>0</v>
      </c>
      <c r="AM735" s="158">
        <f t="shared" si="421"/>
        <v>0</v>
      </c>
      <c r="AN735" s="158">
        <f t="shared" si="421"/>
        <v>0</v>
      </c>
      <c r="AO735" s="158">
        <f t="shared" si="421"/>
        <v>0</v>
      </c>
      <c r="AP735" s="158">
        <f t="shared" si="421"/>
        <v>0</v>
      </c>
    </row>
    <row r="736" spans="1:42" x14ac:dyDescent="0.2">
      <c r="A736" s="4">
        <f>A735+1</f>
        <v>9</v>
      </c>
      <c r="B736" s="181">
        <f t="shared" si="412"/>
        <v>0</v>
      </c>
      <c r="C736" s="158">
        <f t="shared" ref="C736:AP736" si="422">IF(AND(C$2&gt;equip2_reserve_freq*$A723,C$2&lt;=equip2_reserve_freq*$A724),$B724/(equip2_reserve_freq),0)</f>
        <v>0</v>
      </c>
      <c r="D736" s="158">
        <f t="shared" si="422"/>
        <v>0</v>
      </c>
      <c r="E736" s="158">
        <f t="shared" si="422"/>
        <v>0</v>
      </c>
      <c r="F736" s="158">
        <f t="shared" si="422"/>
        <v>0</v>
      </c>
      <c r="G736" s="158">
        <f t="shared" si="422"/>
        <v>0</v>
      </c>
      <c r="H736" s="158">
        <f t="shared" si="422"/>
        <v>0</v>
      </c>
      <c r="I736" s="158">
        <f t="shared" si="422"/>
        <v>0</v>
      </c>
      <c r="J736" s="158">
        <f t="shared" si="422"/>
        <v>0</v>
      </c>
      <c r="K736" s="158">
        <f t="shared" si="422"/>
        <v>0</v>
      </c>
      <c r="L736" s="158">
        <f t="shared" si="422"/>
        <v>0</v>
      </c>
      <c r="M736" s="158">
        <f t="shared" si="422"/>
        <v>0</v>
      </c>
      <c r="N736" s="158">
        <f t="shared" si="422"/>
        <v>0</v>
      </c>
      <c r="O736" s="158">
        <f t="shared" si="422"/>
        <v>0</v>
      </c>
      <c r="P736" s="158">
        <f t="shared" si="422"/>
        <v>0</v>
      </c>
      <c r="Q736" s="158">
        <f t="shared" si="422"/>
        <v>0</v>
      </c>
      <c r="R736" s="158">
        <f t="shared" si="422"/>
        <v>0</v>
      </c>
      <c r="S736" s="158">
        <f t="shared" si="422"/>
        <v>0</v>
      </c>
      <c r="T736" s="158">
        <f t="shared" si="422"/>
        <v>0</v>
      </c>
      <c r="U736" s="158">
        <f t="shared" si="422"/>
        <v>0</v>
      </c>
      <c r="V736" s="158">
        <f t="shared" si="422"/>
        <v>0</v>
      </c>
      <c r="W736" s="158">
        <f t="shared" si="422"/>
        <v>0</v>
      </c>
      <c r="X736" s="158">
        <f t="shared" si="422"/>
        <v>0</v>
      </c>
      <c r="Y736" s="158">
        <f t="shared" si="422"/>
        <v>0</v>
      </c>
      <c r="Z736" s="158">
        <f t="shared" si="422"/>
        <v>0</v>
      </c>
      <c r="AA736" s="158">
        <f t="shared" si="422"/>
        <v>0</v>
      </c>
      <c r="AB736" s="158">
        <f t="shared" si="422"/>
        <v>0</v>
      </c>
      <c r="AC736" s="158">
        <f t="shared" si="422"/>
        <v>0</v>
      </c>
      <c r="AD736" s="158">
        <f t="shared" si="422"/>
        <v>0</v>
      </c>
      <c r="AE736" s="158">
        <f t="shared" si="422"/>
        <v>0</v>
      </c>
      <c r="AF736" s="158">
        <f t="shared" si="422"/>
        <v>0</v>
      </c>
      <c r="AG736" s="158">
        <f t="shared" si="422"/>
        <v>0</v>
      </c>
      <c r="AH736" s="158">
        <f t="shared" si="422"/>
        <v>0</v>
      </c>
      <c r="AI736" s="158">
        <f t="shared" si="422"/>
        <v>0</v>
      </c>
      <c r="AJ736" s="158">
        <f t="shared" si="422"/>
        <v>0</v>
      </c>
      <c r="AK736" s="158">
        <f t="shared" si="422"/>
        <v>0</v>
      </c>
      <c r="AL736" s="158">
        <f t="shared" si="422"/>
        <v>0</v>
      </c>
      <c r="AM736" s="158">
        <f t="shared" si="422"/>
        <v>0</v>
      </c>
      <c r="AN736" s="158">
        <f t="shared" si="422"/>
        <v>0</v>
      </c>
      <c r="AO736" s="158">
        <f t="shared" si="422"/>
        <v>0</v>
      </c>
      <c r="AP736" s="158">
        <f t="shared" si="422"/>
        <v>0</v>
      </c>
    </row>
    <row r="737" spans="1:42" x14ac:dyDescent="0.2">
      <c r="A737" s="4">
        <f t="shared" ref="A737" si="423">A736+1</f>
        <v>10</v>
      </c>
      <c r="B737" s="181">
        <f t="shared" si="412"/>
        <v>0</v>
      </c>
      <c r="C737" s="159">
        <f t="shared" ref="C737:AP737" si="424">IF(AND(C$2&gt;equip2_reserve_freq*$A724,C$2&lt;=equip2_reserve_freq*$A725),$B725/(equip2_reserve_freq),0)</f>
        <v>0</v>
      </c>
      <c r="D737" s="159">
        <f t="shared" si="424"/>
        <v>0</v>
      </c>
      <c r="E737" s="159">
        <f t="shared" si="424"/>
        <v>0</v>
      </c>
      <c r="F737" s="159">
        <f t="shared" si="424"/>
        <v>0</v>
      </c>
      <c r="G737" s="159">
        <f t="shared" si="424"/>
        <v>0</v>
      </c>
      <c r="H737" s="159">
        <f t="shared" si="424"/>
        <v>0</v>
      </c>
      <c r="I737" s="159">
        <f t="shared" si="424"/>
        <v>0</v>
      </c>
      <c r="J737" s="159">
        <f t="shared" si="424"/>
        <v>0</v>
      </c>
      <c r="K737" s="159">
        <f t="shared" si="424"/>
        <v>0</v>
      </c>
      <c r="L737" s="159">
        <f t="shared" si="424"/>
        <v>0</v>
      </c>
      <c r="M737" s="159">
        <f t="shared" si="424"/>
        <v>0</v>
      </c>
      <c r="N737" s="159">
        <f t="shared" si="424"/>
        <v>0</v>
      </c>
      <c r="O737" s="159">
        <f t="shared" si="424"/>
        <v>0</v>
      </c>
      <c r="P737" s="159">
        <f t="shared" si="424"/>
        <v>0</v>
      </c>
      <c r="Q737" s="159">
        <f t="shared" si="424"/>
        <v>0</v>
      </c>
      <c r="R737" s="159">
        <f t="shared" si="424"/>
        <v>0</v>
      </c>
      <c r="S737" s="159">
        <f t="shared" si="424"/>
        <v>0</v>
      </c>
      <c r="T737" s="159">
        <f t="shared" si="424"/>
        <v>0</v>
      </c>
      <c r="U737" s="159">
        <f t="shared" si="424"/>
        <v>0</v>
      </c>
      <c r="V737" s="159">
        <f t="shared" si="424"/>
        <v>0</v>
      </c>
      <c r="W737" s="159">
        <f t="shared" si="424"/>
        <v>0</v>
      </c>
      <c r="X737" s="159">
        <f t="shared" si="424"/>
        <v>0</v>
      </c>
      <c r="Y737" s="159">
        <f t="shared" si="424"/>
        <v>0</v>
      </c>
      <c r="Z737" s="159">
        <f t="shared" si="424"/>
        <v>0</v>
      </c>
      <c r="AA737" s="159">
        <f t="shared" si="424"/>
        <v>0</v>
      </c>
      <c r="AB737" s="159">
        <f t="shared" si="424"/>
        <v>0</v>
      </c>
      <c r="AC737" s="159">
        <f t="shared" si="424"/>
        <v>0</v>
      </c>
      <c r="AD737" s="159">
        <f t="shared" si="424"/>
        <v>0</v>
      </c>
      <c r="AE737" s="159">
        <f t="shared" si="424"/>
        <v>0</v>
      </c>
      <c r="AF737" s="159">
        <f t="shared" si="424"/>
        <v>0</v>
      </c>
      <c r="AG737" s="159">
        <f t="shared" si="424"/>
        <v>0</v>
      </c>
      <c r="AH737" s="159">
        <f t="shared" si="424"/>
        <v>0</v>
      </c>
      <c r="AI737" s="159">
        <f t="shared" si="424"/>
        <v>0</v>
      </c>
      <c r="AJ737" s="159">
        <f t="shared" si="424"/>
        <v>0</v>
      </c>
      <c r="AK737" s="159">
        <f t="shared" si="424"/>
        <v>0</v>
      </c>
      <c r="AL737" s="159">
        <f t="shared" si="424"/>
        <v>0</v>
      </c>
      <c r="AM737" s="159">
        <f t="shared" si="424"/>
        <v>0</v>
      </c>
      <c r="AN737" s="159">
        <f t="shared" si="424"/>
        <v>0</v>
      </c>
      <c r="AO737" s="159">
        <f t="shared" si="424"/>
        <v>0</v>
      </c>
      <c r="AP737" s="159">
        <f t="shared" si="424"/>
        <v>0</v>
      </c>
    </row>
    <row r="738" spans="1:42" x14ac:dyDescent="0.2">
      <c r="A738" s="27" t="s">
        <v>13</v>
      </c>
      <c r="B738" s="15"/>
      <c r="C738" s="158">
        <f>SUM(C728:C737)</f>
        <v>0</v>
      </c>
      <c r="D738" s="158">
        <f t="shared" ref="D738:AP738" si="425">SUM(D728:D737)</f>
        <v>0</v>
      </c>
      <c r="E738" s="158">
        <f t="shared" si="425"/>
        <v>0</v>
      </c>
      <c r="F738" s="158">
        <f t="shared" si="425"/>
        <v>0</v>
      </c>
      <c r="G738" s="158">
        <f t="shared" si="425"/>
        <v>0</v>
      </c>
      <c r="H738" s="158">
        <f t="shared" si="425"/>
        <v>0</v>
      </c>
      <c r="I738" s="158">
        <f t="shared" si="425"/>
        <v>0</v>
      </c>
      <c r="J738" s="158">
        <f t="shared" si="425"/>
        <v>0</v>
      </c>
      <c r="K738" s="158">
        <f t="shared" si="425"/>
        <v>0</v>
      </c>
      <c r="L738" s="158">
        <f t="shared" si="425"/>
        <v>0</v>
      </c>
      <c r="M738" s="158">
        <f t="shared" si="425"/>
        <v>0</v>
      </c>
      <c r="N738" s="158">
        <f t="shared" si="425"/>
        <v>0</v>
      </c>
      <c r="O738" s="158">
        <f t="shared" si="425"/>
        <v>0</v>
      </c>
      <c r="P738" s="158">
        <f t="shared" si="425"/>
        <v>0</v>
      </c>
      <c r="Q738" s="158">
        <f t="shared" si="425"/>
        <v>0</v>
      </c>
      <c r="R738" s="158">
        <f t="shared" si="425"/>
        <v>0</v>
      </c>
      <c r="S738" s="158">
        <f t="shared" si="425"/>
        <v>0</v>
      </c>
      <c r="T738" s="158">
        <f t="shared" si="425"/>
        <v>0</v>
      </c>
      <c r="U738" s="158">
        <f t="shared" si="425"/>
        <v>0</v>
      </c>
      <c r="V738" s="158">
        <f t="shared" si="425"/>
        <v>0</v>
      </c>
      <c r="W738" s="158">
        <f t="shared" si="425"/>
        <v>0</v>
      </c>
      <c r="X738" s="158">
        <f t="shared" si="425"/>
        <v>0</v>
      </c>
      <c r="Y738" s="158">
        <f t="shared" si="425"/>
        <v>0</v>
      </c>
      <c r="Z738" s="158">
        <f t="shared" si="425"/>
        <v>0</v>
      </c>
      <c r="AA738" s="158">
        <f t="shared" si="425"/>
        <v>0</v>
      </c>
      <c r="AB738" s="158">
        <f t="shared" si="425"/>
        <v>0</v>
      </c>
      <c r="AC738" s="158">
        <f t="shared" si="425"/>
        <v>0</v>
      </c>
      <c r="AD738" s="158">
        <f t="shared" si="425"/>
        <v>0</v>
      </c>
      <c r="AE738" s="158">
        <f t="shared" si="425"/>
        <v>0</v>
      </c>
      <c r="AF738" s="158">
        <f t="shared" si="425"/>
        <v>0</v>
      </c>
      <c r="AG738" s="158">
        <f t="shared" si="425"/>
        <v>0</v>
      </c>
      <c r="AH738" s="158">
        <f t="shared" si="425"/>
        <v>0</v>
      </c>
      <c r="AI738" s="158">
        <f t="shared" si="425"/>
        <v>0</v>
      </c>
      <c r="AJ738" s="158">
        <f t="shared" si="425"/>
        <v>0</v>
      </c>
      <c r="AK738" s="158">
        <f t="shared" si="425"/>
        <v>0</v>
      </c>
      <c r="AL738" s="158">
        <f t="shared" si="425"/>
        <v>0</v>
      </c>
      <c r="AM738" s="158">
        <f t="shared" si="425"/>
        <v>0</v>
      </c>
      <c r="AN738" s="158">
        <f t="shared" si="425"/>
        <v>0</v>
      </c>
      <c r="AO738" s="158">
        <f t="shared" si="425"/>
        <v>0</v>
      </c>
      <c r="AP738" s="158">
        <f t="shared" si="425"/>
        <v>0</v>
      </c>
    </row>
    <row r="740" spans="1:42" x14ac:dyDescent="0.2">
      <c r="A740" s="20" t="s">
        <v>306</v>
      </c>
    </row>
    <row r="741" spans="1:42" x14ac:dyDescent="0.2">
      <c r="A741" s="4" t="s">
        <v>297</v>
      </c>
      <c r="B741" s="158">
        <v>0</v>
      </c>
      <c r="C741" s="158">
        <f>B744</f>
        <v>0</v>
      </c>
      <c r="D741" s="158">
        <f t="shared" ref="D741:AP741" si="426">C744</f>
        <v>0</v>
      </c>
      <c r="E741" s="158">
        <f t="shared" si="426"/>
        <v>0</v>
      </c>
      <c r="F741" s="158">
        <f t="shared" si="426"/>
        <v>0</v>
      </c>
      <c r="G741" s="158">
        <f t="shared" si="426"/>
        <v>0</v>
      </c>
      <c r="H741" s="158">
        <f t="shared" si="426"/>
        <v>0</v>
      </c>
      <c r="I741" s="158">
        <f t="shared" si="426"/>
        <v>0</v>
      </c>
      <c r="J741" s="158">
        <f t="shared" si="426"/>
        <v>0</v>
      </c>
      <c r="K741" s="158">
        <f t="shared" si="426"/>
        <v>0</v>
      </c>
      <c r="L741" s="158">
        <f t="shared" si="426"/>
        <v>0</v>
      </c>
      <c r="M741" s="158">
        <f t="shared" si="426"/>
        <v>0</v>
      </c>
      <c r="N741" s="158">
        <f t="shared" si="426"/>
        <v>0</v>
      </c>
      <c r="O741" s="158">
        <f t="shared" si="426"/>
        <v>0</v>
      </c>
      <c r="P741" s="158">
        <f t="shared" si="426"/>
        <v>0</v>
      </c>
      <c r="Q741" s="158">
        <f t="shared" si="426"/>
        <v>0</v>
      </c>
      <c r="R741" s="158">
        <f t="shared" si="426"/>
        <v>0</v>
      </c>
      <c r="S741" s="158">
        <f t="shared" si="426"/>
        <v>0</v>
      </c>
      <c r="T741" s="158">
        <f t="shared" si="426"/>
        <v>0</v>
      </c>
      <c r="U741" s="158">
        <f t="shared" si="426"/>
        <v>0</v>
      </c>
      <c r="V741" s="158">
        <f t="shared" si="426"/>
        <v>0</v>
      </c>
      <c r="W741" s="158">
        <f t="shared" si="426"/>
        <v>0</v>
      </c>
      <c r="X741" s="158">
        <f t="shared" si="426"/>
        <v>0</v>
      </c>
      <c r="Y741" s="158">
        <f t="shared" si="426"/>
        <v>0</v>
      </c>
      <c r="Z741" s="158">
        <f t="shared" si="426"/>
        <v>0</v>
      </c>
      <c r="AA741" s="158">
        <f t="shared" si="426"/>
        <v>0</v>
      </c>
      <c r="AB741" s="158">
        <f t="shared" si="426"/>
        <v>0</v>
      </c>
      <c r="AC741" s="158">
        <f t="shared" si="426"/>
        <v>0</v>
      </c>
      <c r="AD741" s="158">
        <f t="shared" si="426"/>
        <v>0</v>
      </c>
      <c r="AE741" s="158">
        <f t="shared" si="426"/>
        <v>0</v>
      </c>
      <c r="AF741" s="158">
        <f t="shared" si="426"/>
        <v>0</v>
      </c>
      <c r="AG741" s="158">
        <f t="shared" si="426"/>
        <v>0</v>
      </c>
      <c r="AH741" s="158">
        <f t="shared" si="426"/>
        <v>0</v>
      </c>
      <c r="AI741" s="158">
        <f t="shared" si="426"/>
        <v>0</v>
      </c>
      <c r="AJ741" s="158">
        <f t="shared" si="426"/>
        <v>0</v>
      </c>
      <c r="AK741" s="158">
        <f t="shared" si="426"/>
        <v>0</v>
      </c>
      <c r="AL741" s="158">
        <f t="shared" si="426"/>
        <v>0</v>
      </c>
      <c r="AM741" s="158">
        <f t="shared" si="426"/>
        <v>0</v>
      </c>
      <c r="AN741" s="158">
        <f t="shared" si="426"/>
        <v>0</v>
      </c>
      <c r="AO741" s="158">
        <f t="shared" si="426"/>
        <v>0</v>
      </c>
      <c r="AP741" s="158">
        <f t="shared" si="426"/>
        <v>0</v>
      </c>
    </row>
    <row r="742" spans="1:42" x14ac:dyDescent="0.2">
      <c r="A742" s="4" t="s">
        <v>75</v>
      </c>
      <c r="B742" s="158">
        <v>0</v>
      </c>
      <c r="C742" s="158">
        <f>C770</f>
        <v>0</v>
      </c>
      <c r="D742" s="158">
        <f t="shared" ref="D742:AP742" si="427">D770</f>
        <v>0</v>
      </c>
      <c r="E742" s="158">
        <f t="shared" si="427"/>
        <v>0</v>
      </c>
      <c r="F742" s="158">
        <f t="shared" si="427"/>
        <v>0</v>
      </c>
      <c r="G742" s="158">
        <f t="shared" si="427"/>
        <v>0</v>
      </c>
      <c r="H742" s="158">
        <f t="shared" si="427"/>
        <v>0</v>
      </c>
      <c r="I742" s="158">
        <f t="shared" si="427"/>
        <v>0</v>
      </c>
      <c r="J742" s="158">
        <f t="shared" si="427"/>
        <v>0</v>
      </c>
      <c r="K742" s="158">
        <f t="shared" si="427"/>
        <v>0</v>
      </c>
      <c r="L742" s="158">
        <f t="shared" si="427"/>
        <v>0</v>
      </c>
      <c r="M742" s="158">
        <f t="shared" si="427"/>
        <v>0</v>
      </c>
      <c r="N742" s="158">
        <f t="shared" si="427"/>
        <v>0</v>
      </c>
      <c r="O742" s="158">
        <f t="shared" si="427"/>
        <v>0</v>
      </c>
      <c r="P742" s="158">
        <f t="shared" si="427"/>
        <v>0</v>
      </c>
      <c r="Q742" s="158">
        <f t="shared" si="427"/>
        <v>0</v>
      </c>
      <c r="R742" s="158">
        <f t="shared" si="427"/>
        <v>0</v>
      </c>
      <c r="S742" s="158">
        <f t="shared" si="427"/>
        <v>0</v>
      </c>
      <c r="T742" s="158">
        <f t="shared" si="427"/>
        <v>0</v>
      </c>
      <c r="U742" s="158">
        <f t="shared" si="427"/>
        <v>0</v>
      </c>
      <c r="V742" s="158">
        <f t="shared" si="427"/>
        <v>0</v>
      </c>
      <c r="W742" s="158">
        <f t="shared" si="427"/>
        <v>0</v>
      </c>
      <c r="X742" s="158">
        <f t="shared" si="427"/>
        <v>0</v>
      </c>
      <c r="Y742" s="158">
        <f t="shared" si="427"/>
        <v>0</v>
      </c>
      <c r="Z742" s="158">
        <f t="shared" si="427"/>
        <v>0</v>
      </c>
      <c r="AA742" s="158">
        <f t="shared" si="427"/>
        <v>0</v>
      </c>
      <c r="AB742" s="158">
        <f t="shared" si="427"/>
        <v>0</v>
      </c>
      <c r="AC742" s="158">
        <f t="shared" si="427"/>
        <v>0</v>
      </c>
      <c r="AD742" s="158">
        <f t="shared" si="427"/>
        <v>0</v>
      </c>
      <c r="AE742" s="158">
        <f t="shared" si="427"/>
        <v>0</v>
      </c>
      <c r="AF742" s="158">
        <f t="shared" si="427"/>
        <v>0</v>
      </c>
      <c r="AG742" s="158">
        <f t="shared" si="427"/>
        <v>0</v>
      </c>
      <c r="AH742" s="158">
        <f t="shared" si="427"/>
        <v>0</v>
      </c>
      <c r="AI742" s="158">
        <f t="shared" si="427"/>
        <v>0</v>
      </c>
      <c r="AJ742" s="158">
        <f t="shared" si="427"/>
        <v>0</v>
      </c>
      <c r="AK742" s="158">
        <f t="shared" si="427"/>
        <v>0</v>
      </c>
      <c r="AL742" s="158">
        <f t="shared" si="427"/>
        <v>0</v>
      </c>
      <c r="AM742" s="158">
        <f t="shared" si="427"/>
        <v>0</v>
      </c>
      <c r="AN742" s="158">
        <f t="shared" si="427"/>
        <v>0</v>
      </c>
      <c r="AO742" s="158">
        <f t="shared" si="427"/>
        <v>0</v>
      </c>
      <c r="AP742" s="158">
        <f t="shared" si="427"/>
        <v>0</v>
      </c>
    </row>
    <row r="743" spans="1:42" x14ac:dyDescent="0.2">
      <c r="A743" s="4" t="s">
        <v>298</v>
      </c>
      <c r="B743" s="159">
        <v>0</v>
      </c>
      <c r="C743" s="159">
        <f>-C758</f>
        <v>0</v>
      </c>
      <c r="D743" s="159">
        <f t="shared" ref="D743:AP743" si="428">-D758</f>
        <v>0</v>
      </c>
      <c r="E743" s="159">
        <f t="shared" si="428"/>
        <v>0</v>
      </c>
      <c r="F743" s="159">
        <f t="shared" si="428"/>
        <v>0</v>
      </c>
      <c r="G743" s="159">
        <f t="shared" si="428"/>
        <v>0</v>
      </c>
      <c r="H743" s="159">
        <f t="shared" si="428"/>
        <v>0</v>
      </c>
      <c r="I743" s="159">
        <f t="shared" si="428"/>
        <v>0</v>
      </c>
      <c r="J743" s="159">
        <f t="shared" si="428"/>
        <v>0</v>
      </c>
      <c r="K743" s="159">
        <f t="shared" si="428"/>
        <v>0</v>
      </c>
      <c r="L743" s="159">
        <f t="shared" si="428"/>
        <v>0</v>
      </c>
      <c r="M743" s="159">
        <f t="shared" si="428"/>
        <v>0</v>
      </c>
      <c r="N743" s="159">
        <f t="shared" si="428"/>
        <v>0</v>
      </c>
      <c r="O743" s="159">
        <f t="shared" si="428"/>
        <v>0</v>
      </c>
      <c r="P743" s="159">
        <f t="shared" si="428"/>
        <v>0</v>
      </c>
      <c r="Q743" s="159">
        <f t="shared" si="428"/>
        <v>0</v>
      </c>
      <c r="R743" s="159">
        <f t="shared" si="428"/>
        <v>0</v>
      </c>
      <c r="S743" s="159">
        <f t="shared" si="428"/>
        <v>0</v>
      </c>
      <c r="T743" s="159">
        <f t="shared" si="428"/>
        <v>0</v>
      </c>
      <c r="U743" s="159">
        <f t="shared" si="428"/>
        <v>0</v>
      </c>
      <c r="V743" s="159">
        <f t="shared" si="428"/>
        <v>0</v>
      </c>
      <c r="W743" s="159">
        <f t="shared" si="428"/>
        <v>0</v>
      </c>
      <c r="X743" s="159">
        <f t="shared" si="428"/>
        <v>0</v>
      </c>
      <c r="Y743" s="159">
        <f t="shared" si="428"/>
        <v>0</v>
      </c>
      <c r="Z743" s="159">
        <f t="shared" si="428"/>
        <v>0</v>
      </c>
      <c r="AA743" s="159">
        <f t="shared" si="428"/>
        <v>0</v>
      </c>
      <c r="AB743" s="159">
        <f t="shared" si="428"/>
        <v>0</v>
      </c>
      <c r="AC743" s="159">
        <f t="shared" si="428"/>
        <v>0</v>
      </c>
      <c r="AD743" s="159">
        <f t="shared" si="428"/>
        <v>0</v>
      </c>
      <c r="AE743" s="159">
        <f t="shared" si="428"/>
        <v>0</v>
      </c>
      <c r="AF743" s="159">
        <f t="shared" si="428"/>
        <v>0</v>
      </c>
      <c r="AG743" s="159">
        <f t="shared" si="428"/>
        <v>0</v>
      </c>
      <c r="AH743" s="159">
        <f t="shared" si="428"/>
        <v>0</v>
      </c>
      <c r="AI743" s="159">
        <f t="shared" si="428"/>
        <v>0</v>
      </c>
      <c r="AJ743" s="159">
        <f t="shared" si="428"/>
        <v>0</v>
      </c>
      <c r="AK743" s="159">
        <f t="shared" si="428"/>
        <v>0</v>
      </c>
      <c r="AL743" s="159">
        <f t="shared" si="428"/>
        <v>0</v>
      </c>
      <c r="AM743" s="159">
        <f t="shared" si="428"/>
        <v>0</v>
      </c>
      <c r="AN743" s="159">
        <f t="shared" si="428"/>
        <v>0</v>
      </c>
      <c r="AO743" s="159">
        <f t="shared" si="428"/>
        <v>0</v>
      </c>
      <c r="AP743" s="159">
        <f t="shared" si="428"/>
        <v>0</v>
      </c>
    </row>
    <row r="744" spans="1:42" x14ac:dyDescent="0.2">
      <c r="A744" s="4" t="s">
        <v>258</v>
      </c>
      <c r="B744" s="158">
        <f>SUM(B741:B743)</f>
        <v>0</v>
      </c>
      <c r="C744" s="158">
        <f>SUM(C741:C743)</f>
        <v>0</v>
      </c>
      <c r="D744" s="158">
        <f t="shared" ref="D744:AP744" si="429">SUM(D741:D743)</f>
        <v>0</v>
      </c>
      <c r="E744" s="158">
        <f t="shared" si="429"/>
        <v>0</v>
      </c>
      <c r="F744" s="158">
        <f t="shared" si="429"/>
        <v>0</v>
      </c>
      <c r="G744" s="158">
        <f t="shared" si="429"/>
        <v>0</v>
      </c>
      <c r="H744" s="158">
        <f t="shared" si="429"/>
        <v>0</v>
      </c>
      <c r="I744" s="158">
        <f t="shared" si="429"/>
        <v>0</v>
      </c>
      <c r="J744" s="158">
        <f t="shared" si="429"/>
        <v>0</v>
      </c>
      <c r="K744" s="158">
        <f t="shared" si="429"/>
        <v>0</v>
      </c>
      <c r="L744" s="158">
        <f t="shared" si="429"/>
        <v>0</v>
      </c>
      <c r="M744" s="158">
        <f t="shared" si="429"/>
        <v>0</v>
      </c>
      <c r="N744" s="158">
        <f t="shared" si="429"/>
        <v>0</v>
      </c>
      <c r="O744" s="158">
        <f t="shared" si="429"/>
        <v>0</v>
      </c>
      <c r="P744" s="158">
        <f t="shared" si="429"/>
        <v>0</v>
      </c>
      <c r="Q744" s="158">
        <f t="shared" si="429"/>
        <v>0</v>
      </c>
      <c r="R744" s="158">
        <f t="shared" si="429"/>
        <v>0</v>
      </c>
      <c r="S744" s="158">
        <f t="shared" si="429"/>
        <v>0</v>
      </c>
      <c r="T744" s="158">
        <f t="shared" si="429"/>
        <v>0</v>
      </c>
      <c r="U744" s="158">
        <f t="shared" si="429"/>
        <v>0</v>
      </c>
      <c r="V744" s="158">
        <f t="shared" si="429"/>
        <v>0</v>
      </c>
      <c r="W744" s="158">
        <f t="shared" si="429"/>
        <v>0</v>
      </c>
      <c r="X744" s="158">
        <f t="shared" si="429"/>
        <v>0</v>
      </c>
      <c r="Y744" s="158">
        <f t="shared" si="429"/>
        <v>0</v>
      </c>
      <c r="Z744" s="158">
        <f t="shared" si="429"/>
        <v>0</v>
      </c>
      <c r="AA744" s="158">
        <f t="shared" si="429"/>
        <v>0</v>
      </c>
      <c r="AB744" s="158">
        <f t="shared" si="429"/>
        <v>0</v>
      </c>
      <c r="AC744" s="158">
        <f t="shared" si="429"/>
        <v>0</v>
      </c>
      <c r="AD744" s="158">
        <f t="shared" si="429"/>
        <v>0</v>
      </c>
      <c r="AE744" s="158">
        <f t="shared" si="429"/>
        <v>0</v>
      </c>
      <c r="AF744" s="158">
        <f t="shared" si="429"/>
        <v>0</v>
      </c>
      <c r="AG744" s="158">
        <f t="shared" si="429"/>
        <v>0</v>
      </c>
      <c r="AH744" s="158">
        <f t="shared" si="429"/>
        <v>0</v>
      </c>
      <c r="AI744" s="158">
        <f t="shared" si="429"/>
        <v>0</v>
      </c>
      <c r="AJ744" s="158">
        <f t="shared" si="429"/>
        <v>0</v>
      </c>
      <c r="AK744" s="158">
        <f t="shared" si="429"/>
        <v>0</v>
      </c>
      <c r="AL744" s="158">
        <f t="shared" si="429"/>
        <v>0</v>
      </c>
      <c r="AM744" s="158">
        <f t="shared" si="429"/>
        <v>0</v>
      </c>
      <c r="AN744" s="158">
        <f t="shared" si="429"/>
        <v>0</v>
      </c>
      <c r="AO744" s="158">
        <f t="shared" si="429"/>
        <v>0</v>
      </c>
      <c r="AP744" s="158">
        <f t="shared" si="429"/>
        <v>0</v>
      </c>
    </row>
    <row r="746" spans="1:42" x14ac:dyDescent="0.2">
      <c r="A746" s="4" t="s">
        <v>300</v>
      </c>
    </row>
    <row r="747" spans="1:42" x14ac:dyDescent="0.2">
      <c r="A747" s="4" t="s">
        <v>301</v>
      </c>
    </row>
    <row r="748" spans="1:42" x14ac:dyDescent="0.2">
      <c r="A748" s="4">
        <v>1</v>
      </c>
      <c r="B748" s="181">
        <f t="shared" ref="B748:B757" si="430">SUM(C748:AP748)</f>
        <v>0</v>
      </c>
      <c r="C748" s="158">
        <f t="shared" ref="C748:AP748" si="431">IF(C$2&gt;analysis_period,0,IF(C$2=equip3_reserve_freq*$A748,equip3_reserve_cost*system_capacity*1000*(1+inflation_rate/100)^B$2,0))</f>
        <v>0</v>
      </c>
      <c r="D748" s="158">
        <f t="shared" si="431"/>
        <v>0</v>
      </c>
      <c r="E748" s="158">
        <f t="shared" si="431"/>
        <v>0</v>
      </c>
      <c r="F748" s="158">
        <f t="shared" si="431"/>
        <v>0</v>
      </c>
      <c r="G748" s="158">
        <f t="shared" si="431"/>
        <v>0</v>
      </c>
      <c r="H748" s="158">
        <f t="shared" si="431"/>
        <v>0</v>
      </c>
      <c r="I748" s="158">
        <f t="shared" si="431"/>
        <v>0</v>
      </c>
      <c r="J748" s="158">
        <f t="shared" si="431"/>
        <v>0</v>
      </c>
      <c r="K748" s="158">
        <f t="shared" si="431"/>
        <v>0</v>
      </c>
      <c r="L748" s="158">
        <f t="shared" si="431"/>
        <v>0</v>
      </c>
      <c r="M748" s="158">
        <f t="shared" si="431"/>
        <v>0</v>
      </c>
      <c r="N748" s="158">
        <f t="shared" si="431"/>
        <v>0</v>
      </c>
      <c r="O748" s="158">
        <f t="shared" si="431"/>
        <v>0</v>
      </c>
      <c r="P748" s="158">
        <f t="shared" si="431"/>
        <v>0</v>
      </c>
      <c r="Q748" s="158">
        <f t="shared" si="431"/>
        <v>0</v>
      </c>
      <c r="R748" s="158">
        <f t="shared" si="431"/>
        <v>0</v>
      </c>
      <c r="S748" s="158">
        <f t="shared" si="431"/>
        <v>0</v>
      </c>
      <c r="T748" s="158">
        <f t="shared" si="431"/>
        <v>0</v>
      </c>
      <c r="U748" s="158">
        <f t="shared" si="431"/>
        <v>0</v>
      </c>
      <c r="V748" s="158">
        <f t="shared" si="431"/>
        <v>0</v>
      </c>
      <c r="W748" s="158">
        <f t="shared" si="431"/>
        <v>0</v>
      </c>
      <c r="X748" s="158">
        <f t="shared" si="431"/>
        <v>0</v>
      </c>
      <c r="Y748" s="158">
        <f t="shared" si="431"/>
        <v>0</v>
      </c>
      <c r="Z748" s="158">
        <f t="shared" si="431"/>
        <v>0</v>
      </c>
      <c r="AA748" s="158">
        <f t="shared" si="431"/>
        <v>0</v>
      </c>
      <c r="AB748" s="158">
        <f t="shared" si="431"/>
        <v>0</v>
      </c>
      <c r="AC748" s="158">
        <f t="shared" si="431"/>
        <v>0</v>
      </c>
      <c r="AD748" s="158">
        <f t="shared" si="431"/>
        <v>0</v>
      </c>
      <c r="AE748" s="158">
        <f t="shared" si="431"/>
        <v>0</v>
      </c>
      <c r="AF748" s="158">
        <f t="shared" si="431"/>
        <v>0</v>
      </c>
      <c r="AG748" s="158">
        <f t="shared" si="431"/>
        <v>0</v>
      </c>
      <c r="AH748" s="158">
        <f t="shared" si="431"/>
        <v>0</v>
      </c>
      <c r="AI748" s="158">
        <f t="shared" si="431"/>
        <v>0</v>
      </c>
      <c r="AJ748" s="158">
        <f t="shared" si="431"/>
        <v>0</v>
      </c>
      <c r="AK748" s="158">
        <f t="shared" si="431"/>
        <v>0</v>
      </c>
      <c r="AL748" s="158">
        <f t="shared" si="431"/>
        <v>0</v>
      </c>
      <c r="AM748" s="158">
        <f t="shared" si="431"/>
        <v>0</v>
      </c>
      <c r="AN748" s="158">
        <f t="shared" si="431"/>
        <v>0</v>
      </c>
      <c r="AO748" s="158">
        <f t="shared" si="431"/>
        <v>0</v>
      </c>
      <c r="AP748" s="158">
        <f t="shared" si="431"/>
        <v>0</v>
      </c>
    </row>
    <row r="749" spans="1:42" x14ac:dyDescent="0.2">
      <c r="A749" s="4">
        <f>A748+1</f>
        <v>2</v>
      </c>
      <c r="B749" s="181">
        <f t="shared" si="430"/>
        <v>0</v>
      </c>
      <c r="C749" s="158">
        <f t="shared" ref="C749:AP749" si="432">IF(C$2&gt;analysis_period,0,IF(C$2=equip3_reserve_freq*$A749,equip3_reserve_cost*system_capacity*1000*(1+inflation_rate/100)^B$2,0))</f>
        <v>0</v>
      </c>
      <c r="D749" s="158">
        <f t="shared" si="432"/>
        <v>0</v>
      </c>
      <c r="E749" s="158">
        <f t="shared" si="432"/>
        <v>0</v>
      </c>
      <c r="F749" s="158">
        <f t="shared" si="432"/>
        <v>0</v>
      </c>
      <c r="G749" s="158">
        <f t="shared" si="432"/>
        <v>0</v>
      </c>
      <c r="H749" s="158">
        <f t="shared" si="432"/>
        <v>0</v>
      </c>
      <c r="I749" s="158">
        <f t="shared" si="432"/>
        <v>0</v>
      </c>
      <c r="J749" s="158">
        <f t="shared" si="432"/>
        <v>0</v>
      </c>
      <c r="K749" s="158">
        <f t="shared" si="432"/>
        <v>0</v>
      </c>
      <c r="L749" s="158">
        <f t="shared" si="432"/>
        <v>0</v>
      </c>
      <c r="M749" s="158">
        <f t="shared" si="432"/>
        <v>0</v>
      </c>
      <c r="N749" s="158">
        <f t="shared" si="432"/>
        <v>0</v>
      </c>
      <c r="O749" s="158">
        <f t="shared" si="432"/>
        <v>0</v>
      </c>
      <c r="P749" s="158">
        <f t="shared" si="432"/>
        <v>0</v>
      </c>
      <c r="Q749" s="158">
        <f t="shared" si="432"/>
        <v>0</v>
      </c>
      <c r="R749" s="158">
        <f t="shared" si="432"/>
        <v>0</v>
      </c>
      <c r="S749" s="158">
        <f t="shared" si="432"/>
        <v>0</v>
      </c>
      <c r="T749" s="158">
        <f t="shared" si="432"/>
        <v>0</v>
      </c>
      <c r="U749" s="158">
        <f t="shared" si="432"/>
        <v>0</v>
      </c>
      <c r="V749" s="158">
        <f t="shared" si="432"/>
        <v>0</v>
      </c>
      <c r="W749" s="158">
        <f t="shared" si="432"/>
        <v>0</v>
      </c>
      <c r="X749" s="158">
        <f t="shared" si="432"/>
        <v>0</v>
      </c>
      <c r="Y749" s="158">
        <f t="shared" si="432"/>
        <v>0</v>
      </c>
      <c r="Z749" s="158">
        <f t="shared" si="432"/>
        <v>0</v>
      </c>
      <c r="AA749" s="158">
        <f t="shared" si="432"/>
        <v>0</v>
      </c>
      <c r="AB749" s="158">
        <f t="shared" si="432"/>
        <v>0</v>
      </c>
      <c r="AC749" s="158">
        <f t="shared" si="432"/>
        <v>0</v>
      </c>
      <c r="AD749" s="158">
        <f t="shared" si="432"/>
        <v>0</v>
      </c>
      <c r="AE749" s="158">
        <f t="shared" si="432"/>
        <v>0</v>
      </c>
      <c r="AF749" s="158">
        <f t="shared" si="432"/>
        <v>0</v>
      </c>
      <c r="AG749" s="158">
        <f t="shared" si="432"/>
        <v>0</v>
      </c>
      <c r="AH749" s="158">
        <f t="shared" si="432"/>
        <v>0</v>
      </c>
      <c r="AI749" s="158">
        <f t="shared" si="432"/>
        <v>0</v>
      </c>
      <c r="AJ749" s="158">
        <f t="shared" si="432"/>
        <v>0</v>
      </c>
      <c r="AK749" s="158">
        <f t="shared" si="432"/>
        <v>0</v>
      </c>
      <c r="AL749" s="158">
        <f t="shared" si="432"/>
        <v>0</v>
      </c>
      <c r="AM749" s="158">
        <f t="shared" si="432"/>
        <v>0</v>
      </c>
      <c r="AN749" s="158">
        <f t="shared" si="432"/>
        <v>0</v>
      </c>
      <c r="AO749" s="158">
        <f t="shared" si="432"/>
        <v>0</v>
      </c>
      <c r="AP749" s="158">
        <f t="shared" si="432"/>
        <v>0</v>
      </c>
    </row>
    <row r="750" spans="1:42" x14ac:dyDescent="0.2">
      <c r="A750" s="4">
        <f t="shared" ref="A750:A757" si="433">A749+1</f>
        <v>3</v>
      </c>
      <c r="B750" s="181">
        <f t="shared" si="430"/>
        <v>0</v>
      </c>
      <c r="C750" s="158">
        <f t="shared" ref="C750:AP750" si="434">IF(C$2&gt;analysis_period,0,IF(C$2=equip3_reserve_freq*$A750,equip3_reserve_cost*system_capacity*1000*(1+inflation_rate/100)^B$2,0))</f>
        <v>0</v>
      </c>
      <c r="D750" s="158">
        <f t="shared" si="434"/>
        <v>0</v>
      </c>
      <c r="E750" s="158">
        <f t="shared" si="434"/>
        <v>0</v>
      </c>
      <c r="F750" s="158">
        <f t="shared" si="434"/>
        <v>0</v>
      </c>
      <c r="G750" s="158">
        <f t="shared" si="434"/>
        <v>0</v>
      </c>
      <c r="H750" s="158">
        <f t="shared" si="434"/>
        <v>0</v>
      </c>
      <c r="I750" s="158">
        <f t="shared" si="434"/>
        <v>0</v>
      </c>
      <c r="J750" s="158">
        <f t="shared" si="434"/>
        <v>0</v>
      </c>
      <c r="K750" s="158">
        <f t="shared" si="434"/>
        <v>0</v>
      </c>
      <c r="L750" s="158">
        <f t="shared" si="434"/>
        <v>0</v>
      </c>
      <c r="M750" s="158">
        <f t="shared" si="434"/>
        <v>0</v>
      </c>
      <c r="N750" s="158">
        <f t="shared" si="434"/>
        <v>0</v>
      </c>
      <c r="O750" s="158">
        <f t="shared" si="434"/>
        <v>0</v>
      </c>
      <c r="P750" s="158">
        <f t="shared" si="434"/>
        <v>0</v>
      </c>
      <c r="Q750" s="158">
        <f t="shared" si="434"/>
        <v>0</v>
      </c>
      <c r="R750" s="158">
        <f t="shared" si="434"/>
        <v>0</v>
      </c>
      <c r="S750" s="158">
        <f t="shared" si="434"/>
        <v>0</v>
      </c>
      <c r="T750" s="158">
        <f t="shared" si="434"/>
        <v>0</v>
      </c>
      <c r="U750" s="158">
        <f t="shared" si="434"/>
        <v>0</v>
      </c>
      <c r="V750" s="158">
        <f t="shared" si="434"/>
        <v>0</v>
      </c>
      <c r="W750" s="158">
        <f t="shared" si="434"/>
        <v>0</v>
      </c>
      <c r="X750" s="158">
        <f t="shared" si="434"/>
        <v>0</v>
      </c>
      <c r="Y750" s="158">
        <f t="shared" si="434"/>
        <v>0</v>
      </c>
      <c r="Z750" s="158">
        <f t="shared" si="434"/>
        <v>0</v>
      </c>
      <c r="AA750" s="158">
        <f t="shared" si="434"/>
        <v>0</v>
      </c>
      <c r="AB750" s="158">
        <f t="shared" si="434"/>
        <v>0</v>
      </c>
      <c r="AC750" s="158">
        <f t="shared" si="434"/>
        <v>0</v>
      </c>
      <c r="AD750" s="158">
        <f t="shared" si="434"/>
        <v>0</v>
      </c>
      <c r="AE750" s="158">
        <f t="shared" si="434"/>
        <v>0</v>
      </c>
      <c r="AF750" s="158">
        <f t="shared" si="434"/>
        <v>0</v>
      </c>
      <c r="AG750" s="158">
        <f t="shared" si="434"/>
        <v>0</v>
      </c>
      <c r="AH750" s="158">
        <f t="shared" si="434"/>
        <v>0</v>
      </c>
      <c r="AI750" s="158">
        <f t="shared" si="434"/>
        <v>0</v>
      </c>
      <c r="AJ750" s="158">
        <f t="shared" si="434"/>
        <v>0</v>
      </c>
      <c r="AK750" s="158">
        <f t="shared" si="434"/>
        <v>0</v>
      </c>
      <c r="AL750" s="158">
        <f t="shared" si="434"/>
        <v>0</v>
      </c>
      <c r="AM750" s="158">
        <f t="shared" si="434"/>
        <v>0</v>
      </c>
      <c r="AN750" s="158">
        <f t="shared" si="434"/>
        <v>0</v>
      </c>
      <c r="AO750" s="158">
        <f t="shared" si="434"/>
        <v>0</v>
      </c>
      <c r="AP750" s="158">
        <f t="shared" si="434"/>
        <v>0</v>
      </c>
    </row>
    <row r="751" spans="1:42" x14ac:dyDescent="0.2">
      <c r="A751" s="4">
        <f t="shared" si="433"/>
        <v>4</v>
      </c>
      <c r="B751" s="181">
        <f t="shared" si="430"/>
        <v>0</v>
      </c>
      <c r="C751" s="158">
        <f t="shared" ref="C751:AP751" si="435">IF(C$2&gt;analysis_period,0,IF(C$2=equip3_reserve_freq*$A751,equip3_reserve_cost*system_capacity*1000*(1+inflation_rate/100)^B$2,0))</f>
        <v>0</v>
      </c>
      <c r="D751" s="158">
        <f t="shared" si="435"/>
        <v>0</v>
      </c>
      <c r="E751" s="158">
        <f t="shared" si="435"/>
        <v>0</v>
      </c>
      <c r="F751" s="158">
        <f t="shared" si="435"/>
        <v>0</v>
      </c>
      <c r="G751" s="158">
        <f t="shared" si="435"/>
        <v>0</v>
      </c>
      <c r="H751" s="158">
        <f t="shared" si="435"/>
        <v>0</v>
      </c>
      <c r="I751" s="158">
        <f t="shared" si="435"/>
        <v>0</v>
      </c>
      <c r="J751" s="158">
        <f t="shared" si="435"/>
        <v>0</v>
      </c>
      <c r="K751" s="158">
        <f t="shared" si="435"/>
        <v>0</v>
      </c>
      <c r="L751" s="158">
        <f t="shared" si="435"/>
        <v>0</v>
      </c>
      <c r="M751" s="158">
        <f t="shared" si="435"/>
        <v>0</v>
      </c>
      <c r="N751" s="158">
        <f t="shared" si="435"/>
        <v>0</v>
      </c>
      <c r="O751" s="158">
        <f t="shared" si="435"/>
        <v>0</v>
      </c>
      <c r="P751" s="158">
        <f t="shared" si="435"/>
        <v>0</v>
      </c>
      <c r="Q751" s="158">
        <f t="shared" si="435"/>
        <v>0</v>
      </c>
      <c r="R751" s="158">
        <f t="shared" si="435"/>
        <v>0</v>
      </c>
      <c r="S751" s="158">
        <f t="shared" si="435"/>
        <v>0</v>
      </c>
      <c r="T751" s="158">
        <f t="shared" si="435"/>
        <v>0</v>
      </c>
      <c r="U751" s="158">
        <f t="shared" si="435"/>
        <v>0</v>
      </c>
      <c r="V751" s="158">
        <f t="shared" si="435"/>
        <v>0</v>
      </c>
      <c r="W751" s="158">
        <f t="shared" si="435"/>
        <v>0</v>
      </c>
      <c r="X751" s="158">
        <f t="shared" si="435"/>
        <v>0</v>
      </c>
      <c r="Y751" s="158">
        <f t="shared" si="435"/>
        <v>0</v>
      </c>
      <c r="Z751" s="158">
        <f t="shared" si="435"/>
        <v>0</v>
      </c>
      <c r="AA751" s="158">
        <f t="shared" si="435"/>
        <v>0</v>
      </c>
      <c r="AB751" s="158">
        <f t="shared" si="435"/>
        <v>0</v>
      </c>
      <c r="AC751" s="158">
        <f t="shared" si="435"/>
        <v>0</v>
      </c>
      <c r="AD751" s="158">
        <f t="shared" si="435"/>
        <v>0</v>
      </c>
      <c r="AE751" s="158">
        <f t="shared" si="435"/>
        <v>0</v>
      </c>
      <c r="AF751" s="158">
        <f t="shared" si="435"/>
        <v>0</v>
      </c>
      <c r="AG751" s="158">
        <f t="shared" si="435"/>
        <v>0</v>
      </c>
      <c r="AH751" s="158">
        <f t="shared" si="435"/>
        <v>0</v>
      </c>
      <c r="AI751" s="158">
        <f t="shared" si="435"/>
        <v>0</v>
      </c>
      <c r="AJ751" s="158">
        <f t="shared" si="435"/>
        <v>0</v>
      </c>
      <c r="AK751" s="158">
        <f t="shared" si="435"/>
        <v>0</v>
      </c>
      <c r="AL751" s="158">
        <f t="shared" si="435"/>
        <v>0</v>
      </c>
      <c r="AM751" s="158">
        <f t="shared" si="435"/>
        <v>0</v>
      </c>
      <c r="AN751" s="158">
        <f t="shared" si="435"/>
        <v>0</v>
      </c>
      <c r="AO751" s="158">
        <f t="shared" si="435"/>
        <v>0</v>
      </c>
      <c r="AP751" s="158">
        <f t="shared" si="435"/>
        <v>0</v>
      </c>
    </row>
    <row r="752" spans="1:42" x14ac:dyDescent="0.2">
      <c r="A752" s="4">
        <f t="shared" si="433"/>
        <v>5</v>
      </c>
      <c r="B752" s="181">
        <f t="shared" si="430"/>
        <v>0</v>
      </c>
      <c r="C752" s="158">
        <f t="shared" ref="C752:AP752" si="436">IF(C$2&gt;analysis_period,0,IF(C$2=equip3_reserve_freq*$A752,equip3_reserve_cost*system_capacity*1000*(1+inflation_rate/100)^B$2,0))</f>
        <v>0</v>
      </c>
      <c r="D752" s="158">
        <f t="shared" si="436"/>
        <v>0</v>
      </c>
      <c r="E752" s="158">
        <f t="shared" si="436"/>
        <v>0</v>
      </c>
      <c r="F752" s="158">
        <f t="shared" si="436"/>
        <v>0</v>
      </c>
      <c r="G752" s="158">
        <f t="shared" si="436"/>
        <v>0</v>
      </c>
      <c r="H752" s="158">
        <f t="shared" si="436"/>
        <v>0</v>
      </c>
      <c r="I752" s="158">
        <f t="shared" si="436"/>
        <v>0</v>
      </c>
      <c r="J752" s="158">
        <f t="shared" si="436"/>
        <v>0</v>
      </c>
      <c r="K752" s="158">
        <f t="shared" si="436"/>
        <v>0</v>
      </c>
      <c r="L752" s="158">
        <f t="shared" si="436"/>
        <v>0</v>
      </c>
      <c r="M752" s="158">
        <f t="shared" si="436"/>
        <v>0</v>
      </c>
      <c r="N752" s="158">
        <f t="shared" si="436"/>
        <v>0</v>
      </c>
      <c r="O752" s="158">
        <f t="shared" si="436"/>
        <v>0</v>
      </c>
      <c r="P752" s="158">
        <f t="shared" si="436"/>
        <v>0</v>
      </c>
      <c r="Q752" s="158">
        <f t="shared" si="436"/>
        <v>0</v>
      </c>
      <c r="R752" s="158">
        <f t="shared" si="436"/>
        <v>0</v>
      </c>
      <c r="S752" s="158">
        <f t="shared" si="436"/>
        <v>0</v>
      </c>
      <c r="T752" s="158">
        <f t="shared" si="436"/>
        <v>0</v>
      </c>
      <c r="U752" s="158">
        <f t="shared" si="436"/>
        <v>0</v>
      </c>
      <c r="V752" s="158">
        <f t="shared" si="436"/>
        <v>0</v>
      </c>
      <c r="W752" s="158">
        <f t="shared" si="436"/>
        <v>0</v>
      </c>
      <c r="X752" s="158">
        <f t="shared" si="436"/>
        <v>0</v>
      </c>
      <c r="Y752" s="158">
        <f t="shared" si="436"/>
        <v>0</v>
      </c>
      <c r="Z752" s="158">
        <f t="shared" si="436"/>
        <v>0</v>
      </c>
      <c r="AA752" s="158">
        <f t="shared" si="436"/>
        <v>0</v>
      </c>
      <c r="AB752" s="158">
        <f t="shared" si="436"/>
        <v>0</v>
      </c>
      <c r="AC752" s="158">
        <f t="shared" si="436"/>
        <v>0</v>
      </c>
      <c r="AD752" s="158">
        <f t="shared" si="436"/>
        <v>0</v>
      </c>
      <c r="AE752" s="158">
        <f t="shared" si="436"/>
        <v>0</v>
      </c>
      <c r="AF752" s="158">
        <f t="shared" si="436"/>
        <v>0</v>
      </c>
      <c r="AG752" s="158">
        <f t="shared" si="436"/>
        <v>0</v>
      </c>
      <c r="AH752" s="158">
        <f t="shared" si="436"/>
        <v>0</v>
      </c>
      <c r="AI752" s="158">
        <f t="shared" si="436"/>
        <v>0</v>
      </c>
      <c r="AJ752" s="158">
        <f t="shared" si="436"/>
        <v>0</v>
      </c>
      <c r="AK752" s="158">
        <f t="shared" si="436"/>
        <v>0</v>
      </c>
      <c r="AL752" s="158">
        <f t="shared" si="436"/>
        <v>0</v>
      </c>
      <c r="AM752" s="158">
        <f t="shared" si="436"/>
        <v>0</v>
      </c>
      <c r="AN752" s="158">
        <f t="shared" si="436"/>
        <v>0</v>
      </c>
      <c r="AO752" s="158">
        <f t="shared" si="436"/>
        <v>0</v>
      </c>
      <c r="AP752" s="158">
        <f t="shared" si="436"/>
        <v>0</v>
      </c>
    </row>
    <row r="753" spans="1:42" x14ac:dyDescent="0.2">
      <c r="A753" s="4">
        <f t="shared" si="433"/>
        <v>6</v>
      </c>
      <c r="B753" s="181">
        <f t="shared" si="430"/>
        <v>0</v>
      </c>
      <c r="C753" s="158">
        <f t="shared" ref="C753:AP753" si="437">IF(C$2&gt;analysis_period,0,IF(C$2=equip3_reserve_freq*$A753,equip3_reserve_cost*system_capacity*1000*(1+inflation_rate/100)^B$2,0))</f>
        <v>0</v>
      </c>
      <c r="D753" s="158">
        <f t="shared" si="437"/>
        <v>0</v>
      </c>
      <c r="E753" s="158">
        <f t="shared" si="437"/>
        <v>0</v>
      </c>
      <c r="F753" s="158">
        <f t="shared" si="437"/>
        <v>0</v>
      </c>
      <c r="G753" s="158">
        <f t="shared" si="437"/>
        <v>0</v>
      </c>
      <c r="H753" s="158">
        <f t="shared" si="437"/>
        <v>0</v>
      </c>
      <c r="I753" s="158">
        <f t="shared" si="437"/>
        <v>0</v>
      </c>
      <c r="J753" s="158">
        <f t="shared" si="437"/>
        <v>0</v>
      </c>
      <c r="K753" s="158">
        <f t="shared" si="437"/>
        <v>0</v>
      </c>
      <c r="L753" s="158">
        <f t="shared" si="437"/>
        <v>0</v>
      </c>
      <c r="M753" s="158">
        <f t="shared" si="437"/>
        <v>0</v>
      </c>
      <c r="N753" s="158">
        <f t="shared" si="437"/>
        <v>0</v>
      </c>
      <c r="O753" s="158">
        <f t="shared" si="437"/>
        <v>0</v>
      </c>
      <c r="P753" s="158">
        <f t="shared" si="437"/>
        <v>0</v>
      </c>
      <c r="Q753" s="158">
        <f t="shared" si="437"/>
        <v>0</v>
      </c>
      <c r="R753" s="158">
        <f t="shared" si="437"/>
        <v>0</v>
      </c>
      <c r="S753" s="158">
        <f t="shared" si="437"/>
        <v>0</v>
      </c>
      <c r="T753" s="158">
        <f t="shared" si="437"/>
        <v>0</v>
      </c>
      <c r="U753" s="158">
        <f t="shared" si="437"/>
        <v>0</v>
      </c>
      <c r="V753" s="158">
        <f t="shared" si="437"/>
        <v>0</v>
      </c>
      <c r="W753" s="158">
        <f t="shared" si="437"/>
        <v>0</v>
      </c>
      <c r="X753" s="158">
        <f t="shared" si="437"/>
        <v>0</v>
      </c>
      <c r="Y753" s="158">
        <f t="shared" si="437"/>
        <v>0</v>
      </c>
      <c r="Z753" s="158">
        <f t="shared" si="437"/>
        <v>0</v>
      </c>
      <c r="AA753" s="158">
        <f t="shared" si="437"/>
        <v>0</v>
      </c>
      <c r="AB753" s="158">
        <f t="shared" si="437"/>
        <v>0</v>
      </c>
      <c r="AC753" s="158">
        <f t="shared" si="437"/>
        <v>0</v>
      </c>
      <c r="AD753" s="158">
        <f t="shared" si="437"/>
        <v>0</v>
      </c>
      <c r="AE753" s="158">
        <f t="shared" si="437"/>
        <v>0</v>
      </c>
      <c r="AF753" s="158">
        <f t="shared" si="437"/>
        <v>0</v>
      </c>
      <c r="AG753" s="158">
        <f t="shared" si="437"/>
        <v>0</v>
      </c>
      <c r="AH753" s="158">
        <f t="shared" si="437"/>
        <v>0</v>
      </c>
      <c r="AI753" s="158">
        <f t="shared" si="437"/>
        <v>0</v>
      </c>
      <c r="AJ753" s="158">
        <f t="shared" si="437"/>
        <v>0</v>
      </c>
      <c r="AK753" s="158">
        <f t="shared" si="437"/>
        <v>0</v>
      </c>
      <c r="AL753" s="158">
        <f t="shared" si="437"/>
        <v>0</v>
      </c>
      <c r="AM753" s="158">
        <f t="shared" si="437"/>
        <v>0</v>
      </c>
      <c r="AN753" s="158">
        <f t="shared" si="437"/>
        <v>0</v>
      </c>
      <c r="AO753" s="158">
        <f t="shared" si="437"/>
        <v>0</v>
      </c>
      <c r="AP753" s="158">
        <f t="shared" si="437"/>
        <v>0</v>
      </c>
    </row>
    <row r="754" spans="1:42" x14ac:dyDescent="0.2">
      <c r="A754" s="4">
        <f t="shared" si="433"/>
        <v>7</v>
      </c>
      <c r="B754" s="181">
        <f t="shared" si="430"/>
        <v>0</v>
      </c>
      <c r="C754" s="158">
        <f t="shared" ref="C754:AP754" si="438">IF(C$2&gt;analysis_period,0,IF(C$2=equip3_reserve_freq*$A754,equip3_reserve_cost*system_capacity*1000*(1+inflation_rate/100)^B$2,0))</f>
        <v>0</v>
      </c>
      <c r="D754" s="158">
        <f t="shared" si="438"/>
        <v>0</v>
      </c>
      <c r="E754" s="158">
        <f t="shared" si="438"/>
        <v>0</v>
      </c>
      <c r="F754" s="158">
        <f t="shared" si="438"/>
        <v>0</v>
      </c>
      <c r="G754" s="158">
        <f t="shared" si="438"/>
        <v>0</v>
      </c>
      <c r="H754" s="158">
        <f t="shared" si="438"/>
        <v>0</v>
      </c>
      <c r="I754" s="158">
        <f t="shared" si="438"/>
        <v>0</v>
      </c>
      <c r="J754" s="158">
        <f t="shared" si="438"/>
        <v>0</v>
      </c>
      <c r="K754" s="158">
        <f t="shared" si="438"/>
        <v>0</v>
      </c>
      <c r="L754" s="158">
        <f t="shared" si="438"/>
        <v>0</v>
      </c>
      <c r="M754" s="158">
        <f t="shared" si="438"/>
        <v>0</v>
      </c>
      <c r="N754" s="158">
        <f t="shared" si="438"/>
        <v>0</v>
      </c>
      <c r="O754" s="158">
        <f t="shared" si="438"/>
        <v>0</v>
      </c>
      <c r="P754" s="158">
        <f t="shared" si="438"/>
        <v>0</v>
      </c>
      <c r="Q754" s="158">
        <f t="shared" si="438"/>
        <v>0</v>
      </c>
      <c r="R754" s="158">
        <f t="shared" si="438"/>
        <v>0</v>
      </c>
      <c r="S754" s="158">
        <f t="shared" si="438"/>
        <v>0</v>
      </c>
      <c r="T754" s="158">
        <f t="shared" si="438"/>
        <v>0</v>
      </c>
      <c r="U754" s="158">
        <f t="shared" si="438"/>
        <v>0</v>
      </c>
      <c r="V754" s="158">
        <f t="shared" si="438"/>
        <v>0</v>
      </c>
      <c r="W754" s="158">
        <f t="shared" si="438"/>
        <v>0</v>
      </c>
      <c r="X754" s="158">
        <f t="shared" si="438"/>
        <v>0</v>
      </c>
      <c r="Y754" s="158">
        <f t="shared" si="438"/>
        <v>0</v>
      </c>
      <c r="Z754" s="158">
        <f t="shared" si="438"/>
        <v>0</v>
      </c>
      <c r="AA754" s="158">
        <f t="shared" si="438"/>
        <v>0</v>
      </c>
      <c r="AB754" s="158">
        <f t="shared" si="438"/>
        <v>0</v>
      </c>
      <c r="AC754" s="158">
        <f t="shared" si="438"/>
        <v>0</v>
      </c>
      <c r="AD754" s="158">
        <f t="shared" si="438"/>
        <v>0</v>
      </c>
      <c r="AE754" s="158">
        <f t="shared" si="438"/>
        <v>0</v>
      </c>
      <c r="AF754" s="158">
        <f t="shared" si="438"/>
        <v>0</v>
      </c>
      <c r="AG754" s="158">
        <f t="shared" si="438"/>
        <v>0</v>
      </c>
      <c r="AH754" s="158">
        <f t="shared" si="438"/>
        <v>0</v>
      </c>
      <c r="AI754" s="158">
        <f t="shared" si="438"/>
        <v>0</v>
      </c>
      <c r="AJ754" s="158">
        <f t="shared" si="438"/>
        <v>0</v>
      </c>
      <c r="AK754" s="158">
        <f t="shared" si="438"/>
        <v>0</v>
      </c>
      <c r="AL754" s="158">
        <f t="shared" si="438"/>
        <v>0</v>
      </c>
      <c r="AM754" s="158">
        <f t="shared" si="438"/>
        <v>0</v>
      </c>
      <c r="AN754" s="158">
        <f t="shared" si="438"/>
        <v>0</v>
      </c>
      <c r="AO754" s="158">
        <f t="shared" si="438"/>
        <v>0</v>
      </c>
      <c r="AP754" s="158">
        <f t="shared" si="438"/>
        <v>0</v>
      </c>
    </row>
    <row r="755" spans="1:42" x14ac:dyDescent="0.2">
      <c r="A755" s="4">
        <f t="shared" si="433"/>
        <v>8</v>
      </c>
      <c r="B755" s="181">
        <f t="shared" si="430"/>
        <v>0</v>
      </c>
      <c r="C755" s="158">
        <f t="shared" ref="C755:AP755" si="439">IF(C$2&gt;analysis_period,0,IF(C$2=equip3_reserve_freq*$A755,equip3_reserve_cost*system_capacity*1000*(1+inflation_rate/100)^B$2,0))</f>
        <v>0</v>
      </c>
      <c r="D755" s="158">
        <f t="shared" si="439"/>
        <v>0</v>
      </c>
      <c r="E755" s="158">
        <f t="shared" si="439"/>
        <v>0</v>
      </c>
      <c r="F755" s="158">
        <f t="shared" si="439"/>
        <v>0</v>
      </c>
      <c r="G755" s="158">
        <f t="shared" si="439"/>
        <v>0</v>
      </c>
      <c r="H755" s="158">
        <f t="shared" si="439"/>
        <v>0</v>
      </c>
      <c r="I755" s="158">
        <f t="shared" si="439"/>
        <v>0</v>
      </c>
      <c r="J755" s="158">
        <f t="shared" si="439"/>
        <v>0</v>
      </c>
      <c r="K755" s="158">
        <f t="shared" si="439"/>
        <v>0</v>
      </c>
      <c r="L755" s="158">
        <f t="shared" si="439"/>
        <v>0</v>
      </c>
      <c r="M755" s="158">
        <f t="shared" si="439"/>
        <v>0</v>
      </c>
      <c r="N755" s="158">
        <f t="shared" si="439"/>
        <v>0</v>
      </c>
      <c r="O755" s="158">
        <f t="shared" si="439"/>
        <v>0</v>
      </c>
      <c r="P755" s="158">
        <f t="shared" si="439"/>
        <v>0</v>
      </c>
      <c r="Q755" s="158">
        <f t="shared" si="439"/>
        <v>0</v>
      </c>
      <c r="R755" s="158">
        <f t="shared" si="439"/>
        <v>0</v>
      </c>
      <c r="S755" s="158">
        <f t="shared" si="439"/>
        <v>0</v>
      </c>
      <c r="T755" s="158">
        <f t="shared" si="439"/>
        <v>0</v>
      </c>
      <c r="U755" s="158">
        <f t="shared" si="439"/>
        <v>0</v>
      </c>
      <c r="V755" s="158">
        <f t="shared" si="439"/>
        <v>0</v>
      </c>
      <c r="W755" s="158">
        <f t="shared" si="439"/>
        <v>0</v>
      </c>
      <c r="X755" s="158">
        <f t="shared" si="439"/>
        <v>0</v>
      </c>
      <c r="Y755" s="158">
        <f t="shared" si="439"/>
        <v>0</v>
      </c>
      <c r="Z755" s="158">
        <f t="shared" si="439"/>
        <v>0</v>
      </c>
      <c r="AA755" s="158">
        <f t="shared" si="439"/>
        <v>0</v>
      </c>
      <c r="AB755" s="158">
        <f t="shared" si="439"/>
        <v>0</v>
      </c>
      <c r="AC755" s="158">
        <f t="shared" si="439"/>
        <v>0</v>
      </c>
      <c r="AD755" s="158">
        <f t="shared" si="439"/>
        <v>0</v>
      </c>
      <c r="AE755" s="158">
        <f t="shared" si="439"/>
        <v>0</v>
      </c>
      <c r="AF755" s="158">
        <f t="shared" si="439"/>
        <v>0</v>
      </c>
      <c r="AG755" s="158">
        <f t="shared" si="439"/>
        <v>0</v>
      </c>
      <c r="AH755" s="158">
        <f t="shared" si="439"/>
        <v>0</v>
      </c>
      <c r="AI755" s="158">
        <f t="shared" si="439"/>
        <v>0</v>
      </c>
      <c r="AJ755" s="158">
        <f t="shared" si="439"/>
        <v>0</v>
      </c>
      <c r="AK755" s="158">
        <f t="shared" si="439"/>
        <v>0</v>
      </c>
      <c r="AL755" s="158">
        <f t="shared" si="439"/>
        <v>0</v>
      </c>
      <c r="AM755" s="158">
        <f t="shared" si="439"/>
        <v>0</v>
      </c>
      <c r="AN755" s="158">
        <f t="shared" si="439"/>
        <v>0</v>
      </c>
      <c r="AO755" s="158">
        <f t="shared" si="439"/>
        <v>0</v>
      </c>
      <c r="AP755" s="158">
        <f t="shared" si="439"/>
        <v>0</v>
      </c>
    </row>
    <row r="756" spans="1:42" x14ac:dyDescent="0.2">
      <c r="A756" s="4">
        <f>A755+1</f>
        <v>9</v>
      </c>
      <c r="B756" s="181">
        <f t="shared" si="430"/>
        <v>0</v>
      </c>
      <c r="C756" s="158">
        <f t="shared" ref="C756:AP756" si="440">IF(C$2&gt;analysis_period,0,IF(C$2=equip3_reserve_freq*$A756,equip3_reserve_cost*system_capacity*1000*(1+inflation_rate/100)^B$2,0))</f>
        <v>0</v>
      </c>
      <c r="D756" s="158">
        <f t="shared" si="440"/>
        <v>0</v>
      </c>
      <c r="E756" s="158">
        <f t="shared" si="440"/>
        <v>0</v>
      </c>
      <c r="F756" s="158">
        <f t="shared" si="440"/>
        <v>0</v>
      </c>
      <c r="G756" s="158">
        <f t="shared" si="440"/>
        <v>0</v>
      </c>
      <c r="H756" s="158">
        <f t="shared" si="440"/>
        <v>0</v>
      </c>
      <c r="I756" s="158">
        <f t="shared" si="440"/>
        <v>0</v>
      </c>
      <c r="J756" s="158">
        <f t="shared" si="440"/>
        <v>0</v>
      </c>
      <c r="K756" s="158">
        <f t="shared" si="440"/>
        <v>0</v>
      </c>
      <c r="L756" s="158">
        <f t="shared" si="440"/>
        <v>0</v>
      </c>
      <c r="M756" s="158">
        <f t="shared" si="440"/>
        <v>0</v>
      </c>
      <c r="N756" s="158">
        <f t="shared" si="440"/>
        <v>0</v>
      </c>
      <c r="O756" s="158">
        <f t="shared" si="440"/>
        <v>0</v>
      </c>
      <c r="P756" s="158">
        <f t="shared" si="440"/>
        <v>0</v>
      </c>
      <c r="Q756" s="158">
        <f t="shared" si="440"/>
        <v>0</v>
      </c>
      <c r="R756" s="158">
        <f t="shared" si="440"/>
        <v>0</v>
      </c>
      <c r="S756" s="158">
        <f t="shared" si="440"/>
        <v>0</v>
      </c>
      <c r="T756" s="158">
        <f t="shared" si="440"/>
        <v>0</v>
      </c>
      <c r="U756" s="158">
        <f t="shared" si="440"/>
        <v>0</v>
      </c>
      <c r="V756" s="158">
        <f t="shared" si="440"/>
        <v>0</v>
      </c>
      <c r="W756" s="158">
        <f t="shared" si="440"/>
        <v>0</v>
      </c>
      <c r="X756" s="158">
        <f t="shared" si="440"/>
        <v>0</v>
      </c>
      <c r="Y756" s="158">
        <f t="shared" si="440"/>
        <v>0</v>
      </c>
      <c r="Z756" s="158">
        <f t="shared" si="440"/>
        <v>0</v>
      </c>
      <c r="AA756" s="158">
        <f t="shared" si="440"/>
        <v>0</v>
      </c>
      <c r="AB756" s="158">
        <f t="shared" si="440"/>
        <v>0</v>
      </c>
      <c r="AC756" s="158">
        <f t="shared" si="440"/>
        <v>0</v>
      </c>
      <c r="AD756" s="158">
        <f t="shared" si="440"/>
        <v>0</v>
      </c>
      <c r="AE756" s="158">
        <f t="shared" si="440"/>
        <v>0</v>
      </c>
      <c r="AF756" s="158">
        <f t="shared" si="440"/>
        <v>0</v>
      </c>
      <c r="AG756" s="158">
        <f t="shared" si="440"/>
        <v>0</v>
      </c>
      <c r="AH756" s="158">
        <f t="shared" si="440"/>
        <v>0</v>
      </c>
      <c r="AI756" s="158">
        <f t="shared" si="440"/>
        <v>0</v>
      </c>
      <c r="AJ756" s="158">
        <f t="shared" si="440"/>
        <v>0</v>
      </c>
      <c r="AK756" s="158">
        <f t="shared" si="440"/>
        <v>0</v>
      </c>
      <c r="AL756" s="158">
        <f t="shared" si="440"/>
        <v>0</v>
      </c>
      <c r="AM756" s="158">
        <f t="shared" si="440"/>
        <v>0</v>
      </c>
      <c r="AN756" s="158">
        <f t="shared" si="440"/>
        <v>0</v>
      </c>
      <c r="AO756" s="158">
        <f t="shared" si="440"/>
        <v>0</v>
      </c>
      <c r="AP756" s="158">
        <f t="shared" si="440"/>
        <v>0</v>
      </c>
    </row>
    <row r="757" spans="1:42" x14ac:dyDescent="0.2">
      <c r="A757" s="4">
        <f t="shared" si="433"/>
        <v>10</v>
      </c>
      <c r="B757" s="181">
        <f t="shared" si="430"/>
        <v>0</v>
      </c>
      <c r="C757" s="158">
        <f t="shared" ref="C757:AP757" si="441">IF(C$2&gt;analysis_period,0,IF(C$2=equip3_reserve_freq*$A757,equip3_reserve_cost*system_capacity*1000*(1+inflation_rate/100)^B$2,0))</f>
        <v>0</v>
      </c>
      <c r="D757" s="158">
        <f t="shared" si="441"/>
        <v>0</v>
      </c>
      <c r="E757" s="158">
        <f t="shared" si="441"/>
        <v>0</v>
      </c>
      <c r="F757" s="158">
        <f t="shared" si="441"/>
        <v>0</v>
      </c>
      <c r="G757" s="158">
        <f t="shared" si="441"/>
        <v>0</v>
      </c>
      <c r="H757" s="158">
        <f t="shared" si="441"/>
        <v>0</v>
      </c>
      <c r="I757" s="158">
        <f t="shared" si="441"/>
        <v>0</v>
      </c>
      <c r="J757" s="158">
        <f t="shared" si="441"/>
        <v>0</v>
      </c>
      <c r="K757" s="158">
        <f t="shared" si="441"/>
        <v>0</v>
      </c>
      <c r="L757" s="158">
        <f t="shared" si="441"/>
        <v>0</v>
      </c>
      <c r="M757" s="158">
        <f t="shared" si="441"/>
        <v>0</v>
      </c>
      <c r="N757" s="158">
        <f t="shared" si="441"/>
        <v>0</v>
      </c>
      <c r="O757" s="158">
        <f t="shared" si="441"/>
        <v>0</v>
      </c>
      <c r="P757" s="158">
        <f t="shared" si="441"/>
        <v>0</v>
      </c>
      <c r="Q757" s="158">
        <f t="shared" si="441"/>
        <v>0</v>
      </c>
      <c r="R757" s="158">
        <f t="shared" si="441"/>
        <v>0</v>
      </c>
      <c r="S757" s="158">
        <f t="shared" si="441"/>
        <v>0</v>
      </c>
      <c r="T757" s="158">
        <f t="shared" si="441"/>
        <v>0</v>
      </c>
      <c r="U757" s="158">
        <f t="shared" si="441"/>
        <v>0</v>
      </c>
      <c r="V757" s="158">
        <f t="shared" si="441"/>
        <v>0</v>
      </c>
      <c r="W757" s="158">
        <f t="shared" si="441"/>
        <v>0</v>
      </c>
      <c r="X757" s="158">
        <f t="shared" si="441"/>
        <v>0</v>
      </c>
      <c r="Y757" s="158">
        <f t="shared" si="441"/>
        <v>0</v>
      </c>
      <c r="Z757" s="158">
        <f t="shared" si="441"/>
        <v>0</v>
      </c>
      <c r="AA757" s="158">
        <f t="shared" si="441"/>
        <v>0</v>
      </c>
      <c r="AB757" s="158">
        <f t="shared" si="441"/>
        <v>0</v>
      </c>
      <c r="AC757" s="158">
        <f t="shared" si="441"/>
        <v>0</v>
      </c>
      <c r="AD757" s="158">
        <f t="shared" si="441"/>
        <v>0</v>
      </c>
      <c r="AE757" s="158">
        <f t="shared" si="441"/>
        <v>0</v>
      </c>
      <c r="AF757" s="158">
        <f t="shared" si="441"/>
        <v>0</v>
      </c>
      <c r="AG757" s="158">
        <f t="shared" si="441"/>
        <v>0</v>
      </c>
      <c r="AH757" s="158">
        <f t="shared" si="441"/>
        <v>0</v>
      </c>
      <c r="AI757" s="158">
        <f t="shared" si="441"/>
        <v>0</v>
      </c>
      <c r="AJ757" s="158">
        <f t="shared" si="441"/>
        <v>0</v>
      </c>
      <c r="AK757" s="158">
        <f t="shared" si="441"/>
        <v>0</v>
      </c>
      <c r="AL757" s="158">
        <f t="shared" si="441"/>
        <v>0</v>
      </c>
      <c r="AM757" s="158">
        <f t="shared" si="441"/>
        <v>0</v>
      </c>
      <c r="AN757" s="158">
        <f t="shared" si="441"/>
        <v>0</v>
      </c>
      <c r="AO757" s="158">
        <f t="shared" si="441"/>
        <v>0</v>
      </c>
      <c r="AP757" s="158">
        <f t="shared" si="441"/>
        <v>0</v>
      </c>
    </row>
    <row r="758" spans="1:42" x14ac:dyDescent="0.2">
      <c r="A758" s="27" t="s">
        <v>13</v>
      </c>
      <c r="B758" s="15"/>
      <c r="C758" s="158">
        <f>SUM(C748:C757)</f>
        <v>0</v>
      </c>
      <c r="D758" s="158">
        <f t="shared" ref="D758:AP758" si="442">SUM(D748:D757)</f>
        <v>0</v>
      </c>
      <c r="E758" s="158">
        <f t="shared" si="442"/>
        <v>0</v>
      </c>
      <c r="F758" s="158">
        <f t="shared" si="442"/>
        <v>0</v>
      </c>
      <c r="G758" s="158">
        <f t="shared" si="442"/>
        <v>0</v>
      </c>
      <c r="H758" s="158">
        <f t="shared" si="442"/>
        <v>0</v>
      </c>
      <c r="I758" s="158">
        <f t="shared" si="442"/>
        <v>0</v>
      </c>
      <c r="J758" s="158">
        <f t="shared" si="442"/>
        <v>0</v>
      </c>
      <c r="K758" s="158">
        <f t="shared" si="442"/>
        <v>0</v>
      </c>
      <c r="L758" s="158">
        <f t="shared" si="442"/>
        <v>0</v>
      </c>
      <c r="M758" s="158">
        <f t="shared" si="442"/>
        <v>0</v>
      </c>
      <c r="N758" s="158">
        <f t="shared" si="442"/>
        <v>0</v>
      </c>
      <c r="O758" s="158">
        <f t="shared" si="442"/>
        <v>0</v>
      </c>
      <c r="P758" s="158">
        <f t="shared" si="442"/>
        <v>0</v>
      </c>
      <c r="Q758" s="158">
        <f t="shared" si="442"/>
        <v>0</v>
      </c>
      <c r="R758" s="158">
        <f t="shared" si="442"/>
        <v>0</v>
      </c>
      <c r="S758" s="158">
        <f t="shared" si="442"/>
        <v>0</v>
      </c>
      <c r="T758" s="158">
        <f t="shared" si="442"/>
        <v>0</v>
      </c>
      <c r="U758" s="158">
        <f t="shared" si="442"/>
        <v>0</v>
      </c>
      <c r="V758" s="158">
        <f t="shared" si="442"/>
        <v>0</v>
      </c>
      <c r="W758" s="158">
        <f t="shared" si="442"/>
        <v>0</v>
      </c>
      <c r="X758" s="158">
        <f t="shared" si="442"/>
        <v>0</v>
      </c>
      <c r="Y758" s="158">
        <f t="shared" si="442"/>
        <v>0</v>
      </c>
      <c r="Z758" s="158">
        <f t="shared" si="442"/>
        <v>0</v>
      </c>
      <c r="AA758" s="158">
        <f t="shared" si="442"/>
        <v>0</v>
      </c>
      <c r="AB758" s="158">
        <f t="shared" si="442"/>
        <v>0</v>
      </c>
      <c r="AC758" s="158">
        <f t="shared" si="442"/>
        <v>0</v>
      </c>
      <c r="AD758" s="158">
        <f t="shared" si="442"/>
        <v>0</v>
      </c>
      <c r="AE758" s="158">
        <f t="shared" si="442"/>
        <v>0</v>
      </c>
      <c r="AF758" s="158">
        <f t="shared" si="442"/>
        <v>0</v>
      </c>
      <c r="AG758" s="158">
        <f t="shared" si="442"/>
        <v>0</v>
      </c>
      <c r="AH758" s="158">
        <f t="shared" si="442"/>
        <v>0</v>
      </c>
      <c r="AI758" s="158">
        <f t="shared" si="442"/>
        <v>0</v>
      </c>
      <c r="AJ758" s="158">
        <f t="shared" si="442"/>
        <v>0</v>
      </c>
      <c r="AK758" s="158">
        <f t="shared" si="442"/>
        <v>0</v>
      </c>
      <c r="AL758" s="158">
        <f t="shared" si="442"/>
        <v>0</v>
      </c>
      <c r="AM758" s="158">
        <f t="shared" si="442"/>
        <v>0</v>
      </c>
      <c r="AN758" s="158">
        <f t="shared" si="442"/>
        <v>0</v>
      </c>
      <c r="AO758" s="158">
        <f t="shared" si="442"/>
        <v>0</v>
      </c>
      <c r="AP758" s="158">
        <f t="shared" si="442"/>
        <v>0</v>
      </c>
    </row>
    <row r="759" spans="1:42" x14ac:dyDescent="0.2">
      <c r="A759" s="4" t="s">
        <v>302</v>
      </c>
    </row>
    <row r="760" spans="1:42" x14ac:dyDescent="0.2">
      <c r="A760" s="4">
        <v>1</v>
      </c>
      <c r="B760" s="181">
        <f t="shared" ref="B760:B769" si="443">SUM(C760:AP760)</f>
        <v>0</v>
      </c>
      <c r="C760" s="158">
        <f t="shared" ref="C760:AP760" si="444">IF(C$2&lt;=equip3_reserve_freq*$A$748,$B$748/(equip3_reserve_freq),0)</f>
        <v>0</v>
      </c>
      <c r="D760" s="158">
        <f t="shared" si="444"/>
        <v>0</v>
      </c>
      <c r="E760" s="158">
        <f t="shared" si="444"/>
        <v>0</v>
      </c>
      <c r="F760" s="158">
        <f t="shared" si="444"/>
        <v>0</v>
      </c>
      <c r="G760" s="158">
        <f t="shared" si="444"/>
        <v>0</v>
      </c>
      <c r="H760" s="158">
        <f t="shared" si="444"/>
        <v>0</v>
      </c>
      <c r="I760" s="158">
        <f t="shared" si="444"/>
        <v>0</v>
      </c>
      <c r="J760" s="158">
        <f t="shared" si="444"/>
        <v>0</v>
      </c>
      <c r="K760" s="158">
        <f t="shared" si="444"/>
        <v>0</v>
      </c>
      <c r="L760" s="158">
        <f t="shared" si="444"/>
        <v>0</v>
      </c>
      <c r="M760" s="158">
        <f t="shared" si="444"/>
        <v>0</v>
      </c>
      <c r="N760" s="158">
        <f t="shared" si="444"/>
        <v>0</v>
      </c>
      <c r="O760" s="158">
        <f t="shared" si="444"/>
        <v>0</v>
      </c>
      <c r="P760" s="158">
        <f t="shared" si="444"/>
        <v>0</v>
      </c>
      <c r="Q760" s="158">
        <f t="shared" si="444"/>
        <v>0</v>
      </c>
      <c r="R760" s="158">
        <f t="shared" si="444"/>
        <v>0</v>
      </c>
      <c r="S760" s="158">
        <f t="shared" si="444"/>
        <v>0</v>
      </c>
      <c r="T760" s="158">
        <f t="shared" si="444"/>
        <v>0</v>
      </c>
      <c r="U760" s="158">
        <f t="shared" si="444"/>
        <v>0</v>
      </c>
      <c r="V760" s="158">
        <f t="shared" si="444"/>
        <v>0</v>
      </c>
      <c r="W760" s="158">
        <f t="shared" si="444"/>
        <v>0</v>
      </c>
      <c r="X760" s="158">
        <f t="shared" si="444"/>
        <v>0</v>
      </c>
      <c r="Y760" s="158">
        <f t="shared" si="444"/>
        <v>0</v>
      </c>
      <c r="Z760" s="158">
        <f t="shared" si="444"/>
        <v>0</v>
      </c>
      <c r="AA760" s="158">
        <f t="shared" si="444"/>
        <v>0</v>
      </c>
      <c r="AB760" s="158">
        <f t="shared" si="444"/>
        <v>0</v>
      </c>
      <c r="AC760" s="158">
        <f t="shared" si="444"/>
        <v>0</v>
      </c>
      <c r="AD760" s="158">
        <f t="shared" si="444"/>
        <v>0</v>
      </c>
      <c r="AE760" s="158">
        <f t="shared" si="444"/>
        <v>0</v>
      </c>
      <c r="AF760" s="158">
        <f t="shared" si="444"/>
        <v>0</v>
      </c>
      <c r="AG760" s="158">
        <f t="shared" si="444"/>
        <v>0</v>
      </c>
      <c r="AH760" s="158">
        <f t="shared" si="444"/>
        <v>0</v>
      </c>
      <c r="AI760" s="158">
        <f t="shared" si="444"/>
        <v>0</v>
      </c>
      <c r="AJ760" s="158">
        <f t="shared" si="444"/>
        <v>0</v>
      </c>
      <c r="AK760" s="158">
        <f t="shared" si="444"/>
        <v>0</v>
      </c>
      <c r="AL760" s="158">
        <f t="shared" si="444"/>
        <v>0</v>
      </c>
      <c r="AM760" s="158">
        <f t="shared" si="444"/>
        <v>0</v>
      </c>
      <c r="AN760" s="158">
        <f t="shared" si="444"/>
        <v>0</v>
      </c>
      <c r="AO760" s="158">
        <f t="shared" si="444"/>
        <v>0</v>
      </c>
      <c r="AP760" s="158">
        <f t="shared" si="444"/>
        <v>0</v>
      </c>
    </row>
    <row r="761" spans="1:42" x14ac:dyDescent="0.2">
      <c r="A761" s="4">
        <f>A760+1</f>
        <v>2</v>
      </c>
      <c r="B761" s="181">
        <f t="shared" si="443"/>
        <v>0</v>
      </c>
      <c r="C761" s="158">
        <f t="shared" ref="C761:AP761" si="445">IF(AND(C$2&gt;equip3_reserve_freq*$A748,C$2&lt;=equip3_reserve_freq*$A749),$B749/(equip3_reserve_freq),0)</f>
        <v>0</v>
      </c>
      <c r="D761" s="158">
        <f t="shared" si="445"/>
        <v>0</v>
      </c>
      <c r="E761" s="158">
        <f t="shared" si="445"/>
        <v>0</v>
      </c>
      <c r="F761" s="158">
        <f t="shared" si="445"/>
        <v>0</v>
      </c>
      <c r="G761" s="158">
        <f t="shared" si="445"/>
        <v>0</v>
      </c>
      <c r="H761" s="158">
        <f t="shared" si="445"/>
        <v>0</v>
      </c>
      <c r="I761" s="158">
        <f t="shared" si="445"/>
        <v>0</v>
      </c>
      <c r="J761" s="158">
        <f t="shared" si="445"/>
        <v>0</v>
      </c>
      <c r="K761" s="158">
        <f t="shared" si="445"/>
        <v>0</v>
      </c>
      <c r="L761" s="158">
        <f t="shared" si="445"/>
        <v>0</v>
      </c>
      <c r="M761" s="158">
        <f t="shared" si="445"/>
        <v>0</v>
      </c>
      <c r="N761" s="158">
        <f t="shared" si="445"/>
        <v>0</v>
      </c>
      <c r="O761" s="158">
        <f t="shared" si="445"/>
        <v>0</v>
      </c>
      <c r="P761" s="158">
        <f t="shared" si="445"/>
        <v>0</v>
      </c>
      <c r="Q761" s="158">
        <f t="shared" si="445"/>
        <v>0</v>
      </c>
      <c r="R761" s="158">
        <f t="shared" si="445"/>
        <v>0</v>
      </c>
      <c r="S761" s="158">
        <f t="shared" si="445"/>
        <v>0</v>
      </c>
      <c r="T761" s="158">
        <f t="shared" si="445"/>
        <v>0</v>
      </c>
      <c r="U761" s="158">
        <f t="shared" si="445"/>
        <v>0</v>
      </c>
      <c r="V761" s="158">
        <f t="shared" si="445"/>
        <v>0</v>
      </c>
      <c r="W761" s="158">
        <f t="shared" si="445"/>
        <v>0</v>
      </c>
      <c r="X761" s="158">
        <f t="shared" si="445"/>
        <v>0</v>
      </c>
      <c r="Y761" s="158">
        <f t="shared" si="445"/>
        <v>0</v>
      </c>
      <c r="Z761" s="158">
        <f t="shared" si="445"/>
        <v>0</v>
      </c>
      <c r="AA761" s="158">
        <f t="shared" si="445"/>
        <v>0</v>
      </c>
      <c r="AB761" s="158">
        <f t="shared" si="445"/>
        <v>0</v>
      </c>
      <c r="AC761" s="158">
        <f t="shared" si="445"/>
        <v>0</v>
      </c>
      <c r="AD761" s="158">
        <f t="shared" si="445"/>
        <v>0</v>
      </c>
      <c r="AE761" s="158">
        <f t="shared" si="445"/>
        <v>0</v>
      </c>
      <c r="AF761" s="158">
        <f t="shared" si="445"/>
        <v>0</v>
      </c>
      <c r="AG761" s="158">
        <f t="shared" si="445"/>
        <v>0</v>
      </c>
      <c r="AH761" s="158">
        <f t="shared" si="445"/>
        <v>0</v>
      </c>
      <c r="AI761" s="158">
        <f t="shared" si="445"/>
        <v>0</v>
      </c>
      <c r="AJ761" s="158">
        <f t="shared" si="445"/>
        <v>0</v>
      </c>
      <c r="AK761" s="158">
        <f t="shared" si="445"/>
        <v>0</v>
      </c>
      <c r="AL761" s="158">
        <f t="shared" si="445"/>
        <v>0</v>
      </c>
      <c r="AM761" s="158">
        <f t="shared" si="445"/>
        <v>0</v>
      </c>
      <c r="AN761" s="158">
        <f t="shared" si="445"/>
        <v>0</v>
      </c>
      <c r="AO761" s="158">
        <f t="shared" si="445"/>
        <v>0</v>
      </c>
      <c r="AP761" s="158">
        <f t="shared" si="445"/>
        <v>0</v>
      </c>
    </row>
    <row r="762" spans="1:42" x14ac:dyDescent="0.2">
      <c r="A762" s="4">
        <f t="shared" ref="A762:A767" si="446">A761+1</f>
        <v>3</v>
      </c>
      <c r="B762" s="181">
        <f t="shared" si="443"/>
        <v>0</v>
      </c>
      <c r="C762" s="158">
        <f t="shared" ref="C762:AP762" si="447">IF(AND(C$2&gt;equip3_reserve_freq*$A749,C$2&lt;=equip3_reserve_freq*$A750),$B750/(equip3_reserve_freq),0)</f>
        <v>0</v>
      </c>
      <c r="D762" s="158">
        <f t="shared" si="447"/>
        <v>0</v>
      </c>
      <c r="E762" s="158">
        <f t="shared" si="447"/>
        <v>0</v>
      </c>
      <c r="F762" s="158">
        <f t="shared" si="447"/>
        <v>0</v>
      </c>
      <c r="G762" s="158">
        <f t="shared" si="447"/>
        <v>0</v>
      </c>
      <c r="H762" s="158">
        <f t="shared" si="447"/>
        <v>0</v>
      </c>
      <c r="I762" s="158">
        <f t="shared" si="447"/>
        <v>0</v>
      </c>
      <c r="J762" s="158">
        <f t="shared" si="447"/>
        <v>0</v>
      </c>
      <c r="K762" s="158">
        <f t="shared" si="447"/>
        <v>0</v>
      </c>
      <c r="L762" s="158">
        <f t="shared" si="447"/>
        <v>0</v>
      </c>
      <c r="M762" s="158">
        <f t="shared" si="447"/>
        <v>0</v>
      </c>
      <c r="N762" s="158">
        <f t="shared" si="447"/>
        <v>0</v>
      </c>
      <c r="O762" s="158">
        <f t="shared" si="447"/>
        <v>0</v>
      </c>
      <c r="P762" s="158">
        <f t="shared" si="447"/>
        <v>0</v>
      </c>
      <c r="Q762" s="158">
        <f t="shared" si="447"/>
        <v>0</v>
      </c>
      <c r="R762" s="158">
        <f t="shared" si="447"/>
        <v>0</v>
      </c>
      <c r="S762" s="158">
        <f t="shared" si="447"/>
        <v>0</v>
      </c>
      <c r="T762" s="158">
        <f t="shared" si="447"/>
        <v>0</v>
      </c>
      <c r="U762" s="158">
        <f t="shared" si="447"/>
        <v>0</v>
      </c>
      <c r="V762" s="158">
        <f t="shared" si="447"/>
        <v>0</v>
      </c>
      <c r="W762" s="158">
        <f t="shared" si="447"/>
        <v>0</v>
      </c>
      <c r="X762" s="158">
        <f t="shared" si="447"/>
        <v>0</v>
      </c>
      <c r="Y762" s="158">
        <f t="shared" si="447"/>
        <v>0</v>
      </c>
      <c r="Z762" s="158">
        <f t="shared" si="447"/>
        <v>0</v>
      </c>
      <c r="AA762" s="158">
        <f t="shared" si="447"/>
        <v>0</v>
      </c>
      <c r="AB762" s="158">
        <f t="shared" si="447"/>
        <v>0</v>
      </c>
      <c r="AC762" s="158">
        <f t="shared" si="447"/>
        <v>0</v>
      </c>
      <c r="AD762" s="158">
        <f t="shared" si="447"/>
        <v>0</v>
      </c>
      <c r="AE762" s="158">
        <f t="shared" si="447"/>
        <v>0</v>
      </c>
      <c r="AF762" s="158">
        <f t="shared" si="447"/>
        <v>0</v>
      </c>
      <c r="AG762" s="158">
        <f t="shared" si="447"/>
        <v>0</v>
      </c>
      <c r="AH762" s="158">
        <f t="shared" si="447"/>
        <v>0</v>
      </c>
      <c r="AI762" s="158">
        <f t="shared" si="447"/>
        <v>0</v>
      </c>
      <c r="AJ762" s="158">
        <f t="shared" si="447"/>
        <v>0</v>
      </c>
      <c r="AK762" s="158">
        <f t="shared" si="447"/>
        <v>0</v>
      </c>
      <c r="AL762" s="158">
        <f t="shared" si="447"/>
        <v>0</v>
      </c>
      <c r="AM762" s="158">
        <f t="shared" si="447"/>
        <v>0</v>
      </c>
      <c r="AN762" s="158">
        <f t="shared" si="447"/>
        <v>0</v>
      </c>
      <c r="AO762" s="158">
        <f t="shared" si="447"/>
        <v>0</v>
      </c>
      <c r="AP762" s="158">
        <f t="shared" si="447"/>
        <v>0</v>
      </c>
    </row>
    <row r="763" spans="1:42" x14ac:dyDescent="0.2">
      <c r="A763" s="4">
        <f t="shared" si="446"/>
        <v>4</v>
      </c>
      <c r="B763" s="181">
        <f t="shared" si="443"/>
        <v>0</v>
      </c>
      <c r="C763" s="158">
        <f t="shared" ref="C763:AP763" si="448">IF(AND(C$2&gt;equip3_reserve_freq*$A750,C$2&lt;=equip3_reserve_freq*$A751),$B751/(equip3_reserve_freq),0)</f>
        <v>0</v>
      </c>
      <c r="D763" s="158">
        <f t="shared" si="448"/>
        <v>0</v>
      </c>
      <c r="E763" s="158">
        <f t="shared" si="448"/>
        <v>0</v>
      </c>
      <c r="F763" s="158">
        <f t="shared" si="448"/>
        <v>0</v>
      </c>
      <c r="G763" s="158">
        <f t="shared" si="448"/>
        <v>0</v>
      </c>
      <c r="H763" s="158">
        <f t="shared" si="448"/>
        <v>0</v>
      </c>
      <c r="I763" s="158">
        <f t="shared" si="448"/>
        <v>0</v>
      </c>
      <c r="J763" s="158">
        <f t="shared" si="448"/>
        <v>0</v>
      </c>
      <c r="K763" s="158">
        <f t="shared" si="448"/>
        <v>0</v>
      </c>
      <c r="L763" s="158">
        <f t="shared" si="448"/>
        <v>0</v>
      </c>
      <c r="M763" s="158">
        <f t="shared" si="448"/>
        <v>0</v>
      </c>
      <c r="N763" s="158">
        <f t="shared" si="448"/>
        <v>0</v>
      </c>
      <c r="O763" s="158">
        <f t="shared" si="448"/>
        <v>0</v>
      </c>
      <c r="P763" s="158">
        <f t="shared" si="448"/>
        <v>0</v>
      </c>
      <c r="Q763" s="158">
        <f t="shared" si="448"/>
        <v>0</v>
      </c>
      <c r="R763" s="158">
        <f t="shared" si="448"/>
        <v>0</v>
      </c>
      <c r="S763" s="158">
        <f t="shared" si="448"/>
        <v>0</v>
      </c>
      <c r="T763" s="158">
        <f t="shared" si="448"/>
        <v>0</v>
      </c>
      <c r="U763" s="158">
        <f t="shared" si="448"/>
        <v>0</v>
      </c>
      <c r="V763" s="158">
        <f t="shared" si="448"/>
        <v>0</v>
      </c>
      <c r="W763" s="158">
        <f t="shared" si="448"/>
        <v>0</v>
      </c>
      <c r="X763" s="158">
        <f t="shared" si="448"/>
        <v>0</v>
      </c>
      <c r="Y763" s="158">
        <f t="shared" si="448"/>
        <v>0</v>
      </c>
      <c r="Z763" s="158">
        <f t="shared" si="448"/>
        <v>0</v>
      </c>
      <c r="AA763" s="158">
        <f t="shared" si="448"/>
        <v>0</v>
      </c>
      <c r="AB763" s="158">
        <f t="shared" si="448"/>
        <v>0</v>
      </c>
      <c r="AC763" s="158">
        <f t="shared" si="448"/>
        <v>0</v>
      </c>
      <c r="AD763" s="158">
        <f t="shared" si="448"/>
        <v>0</v>
      </c>
      <c r="AE763" s="158">
        <f t="shared" si="448"/>
        <v>0</v>
      </c>
      <c r="AF763" s="158">
        <f t="shared" si="448"/>
        <v>0</v>
      </c>
      <c r="AG763" s="158">
        <f t="shared" si="448"/>
        <v>0</v>
      </c>
      <c r="AH763" s="158">
        <f t="shared" si="448"/>
        <v>0</v>
      </c>
      <c r="AI763" s="158">
        <f t="shared" si="448"/>
        <v>0</v>
      </c>
      <c r="AJ763" s="158">
        <f t="shared" si="448"/>
        <v>0</v>
      </c>
      <c r="AK763" s="158">
        <f t="shared" si="448"/>
        <v>0</v>
      </c>
      <c r="AL763" s="158">
        <f t="shared" si="448"/>
        <v>0</v>
      </c>
      <c r="AM763" s="158">
        <f t="shared" si="448"/>
        <v>0</v>
      </c>
      <c r="AN763" s="158">
        <f t="shared" si="448"/>
        <v>0</v>
      </c>
      <c r="AO763" s="158">
        <f t="shared" si="448"/>
        <v>0</v>
      </c>
      <c r="AP763" s="158">
        <f t="shared" si="448"/>
        <v>0</v>
      </c>
    </row>
    <row r="764" spans="1:42" x14ac:dyDescent="0.2">
      <c r="A764" s="4">
        <f t="shared" si="446"/>
        <v>5</v>
      </c>
      <c r="B764" s="181">
        <f t="shared" si="443"/>
        <v>0</v>
      </c>
      <c r="C764" s="158">
        <f t="shared" ref="C764:AP764" si="449">IF(AND(C$2&gt;equip3_reserve_freq*$A751,C$2&lt;=equip3_reserve_freq*$A752),$B752/(equip3_reserve_freq),0)</f>
        <v>0</v>
      </c>
      <c r="D764" s="158">
        <f t="shared" si="449"/>
        <v>0</v>
      </c>
      <c r="E764" s="158">
        <f t="shared" si="449"/>
        <v>0</v>
      </c>
      <c r="F764" s="158">
        <f t="shared" si="449"/>
        <v>0</v>
      </c>
      <c r="G764" s="158">
        <f t="shared" si="449"/>
        <v>0</v>
      </c>
      <c r="H764" s="158">
        <f t="shared" si="449"/>
        <v>0</v>
      </c>
      <c r="I764" s="158">
        <f t="shared" si="449"/>
        <v>0</v>
      </c>
      <c r="J764" s="158">
        <f t="shared" si="449"/>
        <v>0</v>
      </c>
      <c r="K764" s="158">
        <f t="shared" si="449"/>
        <v>0</v>
      </c>
      <c r="L764" s="158">
        <f t="shared" si="449"/>
        <v>0</v>
      </c>
      <c r="M764" s="158">
        <f t="shared" si="449"/>
        <v>0</v>
      </c>
      <c r="N764" s="158">
        <f t="shared" si="449"/>
        <v>0</v>
      </c>
      <c r="O764" s="158">
        <f t="shared" si="449"/>
        <v>0</v>
      </c>
      <c r="P764" s="158">
        <f t="shared" si="449"/>
        <v>0</v>
      </c>
      <c r="Q764" s="158">
        <f t="shared" si="449"/>
        <v>0</v>
      </c>
      <c r="R764" s="158">
        <f t="shared" si="449"/>
        <v>0</v>
      </c>
      <c r="S764" s="158">
        <f t="shared" si="449"/>
        <v>0</v>
      </c>
      <c r="T764" s="158">
        <f t="shared" si="449"/>
        <v>0</v>
      </c>
      <c r="U764" s="158">
        <f t="shared" si="449"/>
        <v>0</v>
      </c>
      <c r="V764" s="158">
        <f t="shared" si="449"/>
        <v>0</v>
      </c>
      <c r="W764" s="158">
        <f t="shared" si="449"/>
        <v>0</v>
      </c>
      <c r="X764" s="158">
        <f t="shared" si="449"/>
        <v>0</v>
      </c>
      <c r="Y764" s="158">
        <f t="shared" si="449"/>
        <v>0</v>
      </c>
      <c r="Z764" s="158">
        <f t="shared" si="449"/>
        <v>0</v>
      </c>
      <c r="AA764" s="158">
        <f t="shared" si="449"/>
        <v>0</v>
      </c>
      <c r="AB764" s="158">
        <f t="shared" si="449"/>
        <v>0</v>
      </c>
      <c r="AC764" s="158">
        <f t="shared" si="449"/>
        <v>0</v>
      </c>
      <c r="AD764" s="158">
        <f t="shared" si="449"/>
        <v>0</v>
      </c>
      <c r="AE764" s="158">
        <f t="shared" si="449"/>
        <v>0</v>
      </c>
      <c r="AF764" s="158">
        <f t="shared" si="449"/>
        <v>0</v>
      </c>
      <c r="AG764" s="158">
        <f t="shared" si="449"/>
        <v>0</v>
      </c>
      <c r="AH764" s="158">
        <f t="shared" si="449"/>
        <v>0</v>
      </c>
      <c r="AI764" s="158">
        <f t="shared" si="449"/>
        <v>0</v>
      </c>
      <c r="AJ764" s="158">
        <f t="shared" si="449"/>
        <v>0</v>
      </c>
      <c r="AK764" s="158">
        <f t="shared" si="449"/>
        <v>0</v>
      </c>
      <c r="AL764" s="158">
        <f t="shared" si="449"/>
        <v>0</v>
      </c>
      <c r="AM764" s="158">
        <f t="shared" si="449"/>
        <v>0</v>
      </c>
      <c r="AN764" s="158">
        <f t="shared" si="449"/>
        <v>0</v>
      </c>
      <c r="AO764" s="158">
        <f t="shared" si="449"/>
        <v>0</v>
      </c>
      <c r="AP764" s="158">
        <f t="shared" si="449"/>
        <v>0</v>
      </c>
    </row>
    <row r="765" spans="1:42" x14ac:dyDescent="0.2">
      <c r="A765" s="4">
        <f t="shared" si="446"/>
        <v>6</v>
      </c>
      <c r="B765" s="181">
        <f t="shared" si="443"/>
        <v>0</v>
      </c>
      <c r="C765" s="158">
        <f t="shared" ref="C765:AP765" si="450">IF(AND(C$2&gt;equip3_reserve_freq*$A752,C$2&lt;=equip3_reserve_freq*$A753),$B753/(equip3_reserve_freq),0)</f>
        <v>0</v>
      </c>
      <c r="D765" s="158">
        <f t="shared" si="450"/>
        <v>0</v>
      </c>
      <c r="E765" s="158">
        <f t="shared" si="450"/>
        <v>0</v>
      </c>
      <c r="F765" s="158">
        <f t="shared" si="450"/>
        <v>0</v>
      </c>
      <c r="G765" s="158">
        <f t="shared" si="450"/>
        <v>0</v>
      </c>
      <c r="H765" s="158">
        <f t="shared" si="450"/>
        <v>0</v>
      </c>
      <c r="I765" s="158">
        <f t="shared" si="450"/>
        <v>0</v>
      </c>
      <c r="J765" s="158">
        <f t="shared" si="450"/>
        <v>0</v>
      </c>
      <c r="K765" s="158">
        <f t="shared" si="450"/>
        <v>0</v>
      </c>
      <c r="L765" s="158">
        <f t="shared" si="450"/>
        <v>0</v>
      </c>
      <c r="M765" s="158">
        <f t="shared" si="450"/>
        <v>0</v>
      </c>
      <c r="N765" s="158">
        <f t="shared" si="450"/>
        <v>0</v>
      </c>
      <c r="O765" s="158">
        <f t="shared" si="450"/>
        <v>0</v>
      </c>
      <c r="P765" s="158">
        <f t="shared" si="450"/>
        <v>0</v>
      </c>
      <c r="Q765" s="158">
        <f t="shared" si="450"/>
        <v>0</v>
      </c>
      <c r="R765" s="158">
        <f t="shared" si="450"/>
        <v>0</v>
      </c>
      <c r="S765" s="158">
        <f t="shared" si="450"/>
        <v>0</v>
      </c>
      <c r="T765" s="158">
        <f t="shared" si="450"/>
        <v>0</v>
      </c>
      <c r="U765" s="158">
        <f t="shared" si="450"/>
        <v>0</v>
      </c>
      <c r="V765" s="158">
        <f t="shared" si="450"/>
        <v>0</v>
      </c>
      <c r="W765" s="158">
        <f t="shared" si="450"/>
        <v>0</v>
      </c>
      <c r="X765" s="158">
        <f t="shared" si="450"/>
        <v>0</v>
      </c>
      <c r="Y765" s="158">
        <f t="shared" si="450"/>
        <v>0</v>
      </c>
      <c r="Z765" s="158">
        <f t="shared" si="450"/>
        <v>0</v>
      </c>
      <c r="AA765" s="158">
        <f t="shared" si="450"/>
        <v>0</v>
      </c>
      <c r="AB765" s="158">
        <f t="shared" si="450"/>
        <v>0</v>
      </c>
      <c r="AC765" s="158">
        <f t="shared" si="450"/>
        <v>0</v>
      </c>
      <c r="AD765" s="158">
        <f t="shared" si="450"/>
        <v>0</v>
      </c>
      <c r="AE765" s="158">
        <f t="shared" si="450"/>
        <v>0</v>
      </c>
      <c r="AF765" s="158">
        <f t="shared" si="450"/>
        <v>0</v>
      </c>
      <c r="AG765" s="158">
        <f t="shared" si="450"/>
        <v>0</v>
      </c>
      <c r="AH765" s="158">
        <f t="shared" si="450"/>
        <v>0</v>
      </c>
      <c r="AI765" s="158">
        <f t="shared" si="450"/>
        <v>0</v>
      </c>
      <c r="AJ765" s="158">
        <f t="shared" si="450"/>
        <v>0</v>
      </c>
      <c r="AK765" s="158">
        <f t="shared" si="450"/>
        <v>0</v>
      </c>
      <c r="AL765" s="158">
        <f t="shared" si="450"/>
        <v>0</v>
      </c>
      <c r="AM765" s="158">
        <f t="shared" si="450"/>
        <v>0</v>
      </c>
      <c r="AN765" s="158">
        <f t="shared" si="450"/>
        <v>0</v>
      </c>
      <c r="AO765" s="158">
        <f t="shared" si="450"/>
        <v>0</v>
      </c>
      <c r="AP765" s="158">
        <f t="shared" si="450"/>
        <v>0</v>
      </c>
    </row>
    <row r="766" spans="1:42" x14ac:dyDescent="0.2">
      <c r="A766" s="4">
        <f t="shared" si="446"/>
        <v>7</v>
      </c>
      <c r="B766" s="181">
        <f t="shared" si="443"/>
        <v>0</v>
      </c>
      <c r="C766" s="158">
        <f t="shared" ref="C766:AP766" si="451">IF(AND(C$2&gt;equip3_reserve_freq*$A753,C$2&lt;=equip3_reserve_freq*$A754),$B754/(equip3_reserve_freq),0)</f>
        <v>0</v>
      </c>
      <c r="D766" s="158">
        <f t="shared" si="451"/>
        <v>0</v>
      </c>
      <c r="E766" s="158">
        <f t="shared" si="451"/>
        <v>0</v>
      </c>
      <c r="F766" s="158">
        <f t="shared" si="451"/>
        <v>0</v>
      </c>
      <c r="G766" s="158">
        <f t="shared" si="451"/>
        <v>0</v>
      </c>
      <c r="H766" s="158">
        <f t="shared" si="451"/>
        <v>0</v>
      </c>
      <c r="I766" s="158">
        <f t="shared" si="451"/>
        <v>0</v>
      </c>
      <c r="J766" s="158">
        <f t="shared" si="451"/>
        <v>0</v>
      </c>
      <c r="K766" s="158">
        <f t="shared" si="451"/>
        <v>0</v>
      </c>
      <c r="L766" s="158">
        <f t="shared" si="451"/>
        <v>0</v>
      </c>
      <c r="M766" s="158">
        <f t="shared" si="451"/>
        <v>0</v>
      </c>
      <c r="N766" s="158">
        <f t="shared" si="451"/>
        <v>0</v>
      </c>
      <c r="O766" s="158">
        <f t="shared" si="451"/>
        <v>0</v>
      </c>
      <c r="P766" s="158">
        <f t="shared" si="451"/>
        <v>0</v>
      </c>
      <c r="Q766" s="158">
        <f t="shared" si="451"/>
        <v>0</v>
      </c>
      <c r="R766" s="158">
        <f t="shared" si="451"/>
        <v>0</v>
      </c>
      <c r="S766" s="158">
        <f t="shared" si="451"/>
        <v>0</v>
      </c>
      <c r="T766" s="158">
        <f t="shared" si="451"/>
        <v>0</v>
      </c>
      <c r="U766" s="158">
        <f t="shared" si="451"/>
        <v>0</v>
      </c>
      <c r="V766" s="158">
        <f t="shared" si="451"/>
        <v>0</v>
      </c>
      <c r="W766" s="158">
        <f t="shared" si="451"/>
        <v>0</v>
      </c>
      <c r="X766" s="158">
        <f t="shared" si="451"/>
        <v>0</v>
      </c>
      <c r="Y766" s="158">
        <f t="shared" si="451"/>
        <v>0</v>
      </c>
      <c r="Z766" s="158">
        <f t="shared" si="451"/>
        <v>0</v>
      </c>
      <c r="AA766" s="158">
        <f t="shared" si="451"/>
        <v>0</v>
      </c>
      <c r="AB766" s="158">
        <f t="shared" si="451"/>
        <v>0</v>
      </c>
      <c r="AC766" s="158">
        <f t="shared" si="451"/>
        <v>0</v>
      </c>
      <c r="AD766" s="158">
        <f t="shared" si="451"/>
        <v>0</v>
      </c>
      <c r="AE766" s="158">
        <f t="shared" si="451"/>
        <v>0</v>
      </c>
      <c r="AF766" s="158">
        <f t="shared" si="451"/>
        <v>0</v>
      </c>
      <c r="AG766" s="158">
        <f t="shared" si="451"/>
        <v>0</v>
      </c>
      <c r="AH766" s="158">
        <f t="shared" si="451"/>
        <v>0</v>
      </c>
      <c r="AI766" s="158">
        <f t="shared" si="451"/>
        <v>0</v>
      </c>
      <c r="AJ766" s="158">
        <f t="shared" si="451"/>
        <v>0</v>
      </c>
      <c r="AK766" s="158">
        <f t="shared" si="451"/>
        <v>0</v>
      </c>
      <c r="AL766" s="158">
        <f t="shared" si="451"/>
        <v>0</v>
      </c>
      <c r="AM766" s="158">
        <f t="shared" si="451"/>
        <v>0</v>
      </c>
      <c r="AN766" s="158">
        <f t="shared" si="451"/>
        <v>0</v>
      </c>
      <c r="AO766" s="158">
        <f t="shared" si="451"/>
        <v>0</v>
      </c>
      <c r="AP766" s="158">
        <f t="shared" si="451"/>
        <v>0</v>
      </c>
    </row>
    <row r="767" spans="1:42" x14ac:dyDescent="0.2">
      <c r="A767" s="4">
        <f t="shared" si="446"/>
        <v>8</v>
      </c>
      <c r="B767" s="181">
        <f t="shared" si="443"/>
        <v>0</v>
      </c>
      <c r="C767" s="158">
        <f t="shared" ref="C767:AP767" si="452">IF(AND(C$2&gt;equip3_reserve_freq*$A754,C$2&lt;=equip3_reserve_freq*$A755),$B755/(equip3_reserve_freq),0)</f>
        <v>0</v>
      </c>
      <c r="D767" s="158">
        <f t="shared" si="452"/>
        <v>0</v>
      </c>
      <c r="E767" s="158">
        <f t="shared" si="452"/>
        <v>0</v>
      </c>
      <c r="F767" s="158">
        <f t="shared" si="452"/>
        <v>0</v>
      </c>
      <c r="G767" s="158">
        <f t="shared" si="452"/>
        <v>0</v>
      </c>
      <c r="H767" s="158">
        <f t="shared" si="452"/>
        <v>0</v>
      </c>
      <c r="I767" s="158">
        <f t="shared" si="452"/>
        <v>0</v>
      </c>
      <c r="J767" s="158">
        <f t="shared" si="452"/>
        <v>0</v>
      </c>
      <c r="K767" s="158">
        <f t="shared" si="452"/>
        <v>0</v>
      </c>
      <c r="L767" s="158">
        <f t="shared" si="452"/>
        <v>0</v>
      </c>
      <c r="M767" s="158">
        <f t="shared" si="452"/>
        <v>0</v>
      </c>
      <c r="N767" s="158">
        <f t="shared" si="452"/>
        <v>0</v>
      </c>
      <c r="O767" s="158">
        <f t="shared" si="452"/>
        <v>0</v>
      </c>
      <c r="P767" s="158">
        <f t="shared" si="452"/>
        <v>0</v>
      </c>
      <c r="Q767" s="158">
        <f t="shared" si="452"/>
        <v>0</v>
      </c>
      <c r="R767" s="158">
        <f t="shared" si="452"/>
        <v>0</v>
      </c>
      <c r="S767" s="158">
        <f t="shared" si="452"/>
        <v>0</v>
      </c>
      <c r="T767" s="158">
        <f t="shared" si="452"/>
        <v>0</v>
      </c>
      <c r="U767" s="158">
        <f t="shared" si="452"/>
        <v>0</v>
      </c>
      <c r="V767" s="158">
        <f t="shared" si="452"/>
        <v>0</v>
      </c>
      <c r="W767" s="158">
        <f t="shared" si="452"/>
        <v>0</v>
      </c>
      <c r="X767" s="158">
        <f t="shared" si="452"/>
        <v>0</v>
      </c>
      <c r="Y767" s="158">
        <f t="shared" si="452"/>
        <v>0</v>
      </c>
      <c r="Z767" s="158">
        <f t="shared" si="452"/>
        <v>0</v>
      </c>
      <c r="AA767" s="158">
        <f t="shared" si="452"/>
        <v>0</v>
      </c>
      <c r="AB767" s="158">
        <f t="shared" si="452"/>
        <v>0</v>
      </c>
      <c r="AC767" s="158">
        <f t="shared" si="452"/>
        <v>0</v>
      </c>
      <c r="AD767" s="158">
        <f t="shared" si="452"/>
        <v>0</v>
      </c>
      <c r="AE767" s="158">
        <f t="shared" si="452"/>
        <v>0</v>
      </c>
      <c r="AF767" s="158">
        <f t="shared" si="452"/>
        <v>0</v>
      </c>
      <c r="AG767" s="158">
        <f t="shared" si="452"/>
        <v>0</v>
      </c>
      <c r="AH767" s="158">
        <f t="shared" si="452"/>
        <v>0</v>
      </c>
      <c r="AI767" s="158">
        <f t="shared" si="452"/>
        <v>0</v>
      </c>
      <c r="AJ767" s="158">
        <f t="shared" si="452"/>
        <v>0</v>
      </c>
      <c r="AK767" s="158">
        <f t="shared" si="452"/>
        <v>0</v>
      </c>
      <c r="AL767" s="158">
        <f t="shared" si="452"/>
        <v>0</v>
      </c>
      <c r="AM767" s="158">
        <f t="shared" si="452"/>
        <v>0</v>
      </c>
      <c r="AN767" s="158">
        <f t="shared" si="452"/>
        <v>0</v>
      </c>
      <c r="AO767" s="158">
        <f t="shared" si="452"/>
        <v>0</v>
      </c>
      <c r="AP767" s="158">
        <f t="shared" si="452"/>
        <v>0</v>
      </c>
    </row>
    <row r="768" spans="1:42" x14ac:dyDescent="0.2">
      <c r="A768" s="4">
        <f>A767+1</f>
        <v>9</v>
      </c>
      <c r="B768" s="181">
        <f t="shared" si="443"/>
        <v>0</v>
      </c>
      <c r="C768" s="158">
        <f t="shared" ref="C768:AP768" si="453">IF(AND(C$2&gt;equip3_reserve_freq*$A755,C$2&lt;=equip3_reserve_freq*$A756),$B756/(equip3_reserve_freq),0)</f>
        <v>0</v>
      </c>
      <c r="D768" s="158">
        <f t="shared" si="453"/>
        <v>0</v>
      </c>
      <c r="E768" s="158">
        <f t="shared" si="453"/>
        <v>0</v>
      </c>
      <c r="F768" s="158">
        <f t="shared" si="453"/>
        <v>0</v>
      </c>
      <c r="G768" s="158">
        <f t="shared" si="453"/>
        <v>0</v>
      </c>
      <c r="H768" s="158">
        <f t="shared" si="453"/>
        <v>0</v>
      </c>
      <c r="I768" s="158">
        <f t="shared" si="453"/>
        <v>0</v>
      </c>
      <c r="J768" s="158">
        <f t="shared" si="453"/>
        <v>0</v>
      </c>
      <c r="K768" s="158">
        <f t="shared" si="453"/>
        <v>0</v>
      </c>
      <c r="L768" s="158">
        <f t="shared" si="453"/>
        <v>0</v>
      </c>
      <c r="M768" s="158">
        <f t="shared" si="453"/>
        <v>0</v>
      </c>
      <c r="N768" s="158">
        <f t="shared" si="453"/>
        <v>0</v>
      </c>
      <c r="O768" s="158">
        <f t="shared" si="453"/>
        <v>0</v>
      </c>
      <c r="P768" s="158">
        <f t="shared" si="453"/>
        <v>0</v>
      </c>
      <c r="Q768" s="158">
        <f t="shared" si="453"/>
        <v>0</v>
      </c>
      <c r="R768" s="158">
        <f t="shared" si="453"/>
        <v>0</v>
      </c>
      <c r="S768" s="158">
        <f t="shared" si="453"/>
        <v>0</v>
      </c>
      <c r="T768" s="158">
        <f t="shared" si="453"/>
        <v>0</v>
      </c>
      <c r="U768" s="158">
        <f t="shared" si="453"/>
        <v>0</v>
      </c>
      <c r="V768" s="158">
        <f t="shared" si="453"/>
        <v>0</v>
      </c>
      <c r="W768" s="158">
        <f t="shared" si="453"/>
        <v>0</v>
      </c>
      <c r="X768" s="158">
        <f t="shared" si="453"/>
        <v>0</v>
      </c>
      <c r="Y768" s="158">
        <f t="shared" si="453"/>
        <v>0</v>
      </c>
      <c r="Z768" s="158">
        <f t="shared" si="453"/>
        <v>0</v>
      </c>
      <c r="AA768" s="158">
        <f t="shared" si="453"/>
        <v>0</v>
      </c>
      <c r="AB768" s="158">
        <f t="shared" si="453"/>
        <v>0</v>
      </c>
      <c r="AC768" s="158">
        <f t="shared" si="453"/>
        <v>0</v>
      </c>
      <c r="AD768" s="158">
        <f t="shared" si="453"/>
        <v>0</v>
      </c>
      <c r="AE768" s="158">
        <f t="shared" si="453"/>
        <v>0</v>
      </c>
      <c r="AF768" s="158">
        <f t="shared" si="453"/>
        <v>0</v>
      </c>
      <c r="AG768" s="158">
        <f t="shared" si="453"/>
        <v>0</v>
      </c>
      <c r="AH768" s="158">
        <f t="shared" si="453"/>
        <v>0</v>
      </c>
      <c r="AI768" s="158">
        <f t="shared" si="453"/>
        <v>0</v>
      </c>
      <c r="AJ768" s="158">
        <f t="shared" si="453"/>
        <v>0</v>
      </c>
      <c r="AK768" s="158">
        <f t="shared" si="453"/>
        <v>0</v>
      </c>
      <c r="AL768" s="158">
        <f t="shared" si="453"/>
        <v>0</v>
      </c>
      <c r="AM768" s="158">
        <f t="shared" si="453"/>
        <v>0</v>
      </c>
      <c r="AN768" s="158">
        <f t="shared" si="453"/>
        <v>0</v>
      </c>
      <c r="AO768" s="158">
        <f t="shared" si="453"/>
        <v>0</v>
      </c>
      <c r="AP768" s="158">
        <f t="shared" si="453"/>
        <v>0</v>
      </c>
    </row>
    <row r="769" spans="1:42" x14ac:dyDescent="0.2">
      <c r="A769" s="4">
        <f t="shared" ref="A769" si="454">A768+1</f>
        <v>10</v>
      </c>
      <c r="B769" s="181">
        <f t="shared" si="443"/>
        <v>0</v>
      </c>
      <c r="C769" s="159">
        <f t="shared" ref="C769:AP769" si="455">IF(AND(C$2&gt;equip3_reserve_freq*$A756,C$2&lt;=equip3_reserve_freq*$A757),$B757/(equip3_reserve_freq),0)</f>
        <v>0</v>
      </c>
      <c r="D769" s="159">
        <f t="shared" si="455"/>
        <v>0</v>
      </c>
      <c r="E769" s="159">
        <f t="shared" si="455"/>
        <v>0</v>
      </c>
      <c r="F769" s="159">
        <f t="shared" si="455"/>
        <v>0</v>
      </c>
      <c r="G769" s="159">
        <f t="shared" si="455"/>
        <v>0</v>
      </c>
      <c r="H769" s="159">
        <f t="shared" si="455"/>
        <v>0</v>
      </c>
      <c r="I769" s="159">
        <f t="shared" si="455"/>
        <v>0</v>
      </c>
      <c r="J769" s="159">
        <f t="shared" si="455"/>
        <v>0</v>
      </c>
      <c r="K769" s="159">
        <f t="shared" si="455"/>
        <v>0</v>
      </c>
      <c r="L769" s="159">
        <f t="shared" si="455"/>
        <v>0</v>
      </c>
      <c r="M769" s="159">
        <f t="shared" si="455"/>
        <v>0</v>
      </c>
      <c r="N769" s="159">
        <f t="shared" si="455"/>
        <v>0</v>
      </c>
      <c r="O769" s="159">
        <f t="shared" si="455"/>
        <v>0</v>
      </c>
      <c r="P769" s="159">
        <f t="shared" si="455"/>
        <v>0</v>
      </c>
      <c r="Q769" s="159">
        <f t="shared" si="455"/>
        <v>0</v>
      </c>
      <c r="R769" s="159">
        <f t="shared" si="455"/>
        <v>0</v>
      </c>
      <c r="S769" s="159">
        <f t="shared" si="455"/>
        <v>0</v>
      </c>
      <c r="T769" s="159">
        <f t="shared" si="455"/>
        <v>0</v>
      </c>
      <c r="U769" s="159">
        <f t="shared" si="455"/>
        <v>0</v>
      </c>
      <c r="V769" s="159">
        <f t="shared" si="455"/>
        <v>0</v>
      </c>
      <c r="W769" s="159">
        <f t="shared" si="455"/>
        <v>0</v>
      </c>
      <c r="X769" s="159">
        <f t="shared" si="455"/>
        <v>0</v>
      </c>
      <c r="Y769" s="159">
        <f t="shared" si="455"/>
        <v>0</v>
      </c>
      <c r="Z769" s="159">
        <f t="shared" si="455"/>
        <v>0</v>
      </c>
      <c r="AA769" s="159">
        <f t="shared" si="455"/>
        <v>0</v>
      </c>
      <c r="AB769" s="159">
        <f t="shared" si="455"/>
        <v>0</v>
      </c>
      <c r="AC769" s="159">
        <f t="shared" si="455"/>
        <v>0</v>
      </c>
      <c r="AD769" s="159">
        <f t="shared" si="455"/>
        <v>0</v>
      </c>
      <c r="AE769" s="159">
        <f t="shared" si="455"/>
        <v>0</v>
      </c>
      <c r="AF769" s="159">
        <f t="shared" si="455"/>
        <v>0</v>
      </c>
      <c r="AG769" s="159">
        <f t="shared" si="455"/>
        <v>0</v>
      </c>
      <c r="AH769" s="159">
        <f t="shared" si="455"/>
        <v>0</v>
      </c>
      <c r="AI769" s="159">
        <f t="shared" si="455"/>
        <v>0</v>
      </c>
      <c r="AJ769" s="159">
        <f t="shared" si="455"/>
        <v>0</v>
      </c>
      <c r="AK769" s="159">
        <f t="shared" si="455"/>
        <v>0</v>
      </c>
      <c r="AL769" s="159">
        <f t="shared" si="455"/>
        <v>0</v>
      </c>
      <c r="AM769" s="159">
        <f t="shared" si="455"/>
        <v>0</v>
      </c>
      <c r="AN769" s="159">
        <f t="shared" si="455"/>
        <v>0</v>
      </c>
      <c r="AO769" s="159">
        <f t="shared" si="455"/>
        <v>0</v>
      </c>
      <c r="AP769" s="159">
        <f t="shared" si="455"/>
        <v>0</v>
      </c>
    </row>
    <row r="770" spans="1:42" x14ac:dyDescent="0.2">
      <c r="A770" s="27" t="s">
        <v>13</v>
      </c>
      <c r="B770" s="15"/>
      <c r="C770" s="158">
        <f>SUM(C760:C769)</f>
        <v>0</v>
      </c>
      <c r="D770" s="158">
        <f t="shared" ref="D770:AP770" si="456">SUM(D760:D769)</f>
        <v>0</v>
      </c>
      <c r="E770" s="158">
        <f t="shared" si="456"/>
        <v>0</v>
      </c>
      <c r="F770" s="158">
        <f t="shared" si="456"/>
        <v>0</v>
      </c>
      <c r="G770" s="158">
        <f t="shared" si="456"/>
        <v>0</v>
      </c>
      <c r="H770" s="158">
        <f t="shared" si="456"/>
        <v>0</v>
      </c>
      <c r="I770" s="158">
        <f t="shared" si="456"/>
        <v>0</v>
      </c>
      <c r="J770" s="158">
        <f t="shared" si="456"/>
        <v>0</v>
      </c>
      <c r="K770" s="158">
        <f t="shared" si="456"/>
        <v>0</v>
      </c>
      <c r="L770" s="158">
        <f t="shared" si="456"/>
        <v>0</v>
      </c>
      <c r="M770" s="158">
        <f t="shared" si="456"/>
        <v>0</v>
      </c>
      <c r="N770" s="158">
        <f t="shared" si="456"/>
        <v>0</v>
      </c>
      <c r="O770" s="158">
        <f t="shared" si="456"/>
        <v>0</v>
      </c>
      <c r="P770" s="158">
        <f t="shared" si="456"/>
        <v>0</v>
      </c>
      <c r="Q770" s="158">
        <f t="shared" si="456"/>
        <v>0</v>
      </c>
      <c r="R770" s="158">
        <f t="shared" si="456"/>
        <v>0</v>
      </c>
      <c r="S770" s="158">
        <f t="shared" si="456"/>
        <v>0</v>
      </c>
      <c r="T770" s="158">
        <f t="shared" si="456"/>
        <v>0</v>
      </c>
      <c r="U770" s="158">
        <f t="shared" si="456"/>
        <v>0</v>
      </c>
      <c r="V770" s="158">
        <f t="shared" si="456"/>
        <v>0</v>
      </c>
      <c r="W770" s="158">
        <f t="shared" si="456"/>
        <v>0</v>
      </c>
      <c r="X770" s="158">
        <f t="shared" si="456"/>
        <v>0</v>
      </c>
      <c r="Y770" s="158">
        <f t="shared" si="456"/>
        <v>0</v>
      </c>
      <c r="Z770" s="158">
        <f t="shared" si="456"/>
        <v>0</v>
      </c>
      <c r="AA770" s="158">
        <f t="shared" si="456"/>
        <v>0</v>
      </c>
      <c r="AB770" s="158">
        <f t="shared" si="456"/>
        <v>0</v>
      </c>
      <c r="AC770" s="158">
        <f t="shared" si="456"/>
        <v>0</v>
      </c>
      <c r="AD770" s="158">
        <f t="shared" si="456"/>
        <v>0</v>
      </c>
      <c r="AE770" s="158">
        <f t="shared" si="456"/>
        <v>0</v>
      </c>
      <c r="AF770" s="158">
        <f t="shared" si="456"/>
        <v>0</v>
      </c>
      <c r="AG770" s="158">
        <f t="shared" si="456"/>
        <v>0</v>
      </c>
      <c r="AH770" s="158">
        <f t="shared" si="456"/>
        <v>0</v>
      </c>
      <c r="AI770" s="158">
        <f t="shared" si="456"/>
        <v>0</v>
      </c>
      <c r="AJ770" s="158">
        <f t="shared" si="456"/>
        <v>0</v>
      </c>
      <c r="AK770" s="158">
        <f t="shared" si="456"/>
        <v>0</v>
      </c>
      <c r="AL770" s="158">
        <f t="shared" si="456"/>
        <v>0</v>
      </c>
      <c r="AM770" s="158">
        <f t="shared" si="456"/>
        <v>0</v>
      </c>
      <c r="AN770" s="158">
        <f t="shared" si="456"/>
        <v>0</v>
      </c>
      <c r="AO770" s="158">
        <f t="shared" si="456"/>
        <v>0</v>
      </c>
      <c r="AP770" s="158">
        <f t="shared" si="456"/>
        <v>0</v>
      </c>
    </row>
    <row r="772" spans="1:42" x14ac:dyDescent="0.2">
      <c r="A772" s="4" t="s">
        <v>303</v>
      </c>
    </row>
    <row r="773" spans="1:42" x14ac:dyDescent="0.2">
      <c r="A773" s="22" t="s">
        <v>304</v>
      </c>
      <c r="B773" s="158">
        <f>B662+B668+B674+B680+B712+B744</f>
        <v>750000</v>
      </c>
      <c r="C773" s="158">
        <f t="shared" ref="C773:AP773" si="457">C662+C668+C674+C680+C712+C744</f>
        <v>1710732.5473158439</v>
      </c>
      <c r="D773" s="158">
        <f t="shared" si="457"/>
        <v>2671933.8446316877</v>
      </c>
      <c r="E773" s="158">
        <f t="shared" si="457"/>
        <v>3633615.6106975321</v>
      </c>
      <c r="F773" s="158">
        <f t="shared" si="457"/>
        <v>4595789.8572321255</v>
      </c>
      <c r="G773" s="158">
        <f t="shared" si="457"/>
        <v>5558468.8962471886</v>
      </c>
      <c r="H773" s="158">
        <f t="shared" si="457"/>
        <v>6521665.3475547321</v>
      </c>
      <c r="I773" s="158">
        <f t="shared" si="457"/>
        <v>7485392.146462068</v>
      </c>
      <c r="J773" s="158">
        <f t="shared" si="457"/>
        <v>8449662.551659191</v>
      </c>
      <c r="K773" s="158">
        <f t="shared" si="457"/>
        <v>9414490.1533033457</v>
      </c>
      <c r="L773" s="158">
        <f t="shared" si="457"/>
        <v>10379888.881305708</v>
      </c>
      <c r="M773" s="158">
        <f t="shared" si="457"/>
        <v>11345873.013825232</v>
      </c>
      <c r="N773" s="158">
        <f t="shared" si="457"/>
        <v>12312457.185974849</v>
      </c>
      <c r="O773" s="158">
        <f t="shared" si="457"/>
        <v>13279656.398745311</v>
      </c>
      <c r="P773" s="158">
        <f t="shared" si="457"/>
        <v>14247486.028152138</v>
      </c>
      <c r="Q773" s="158">
        <f t="shared" si="457"/>
        <v>1086223.624873583</v>
      </c>
      <c r="R773" s="158">
        <f t="shared" si="457"/>
        <v>1113379.2154954222</v>
      </c>
      <c r="S773" s="158">
        <f t="shared" si="457"/>
        <v>1141213.6958828077</v>
      </c>
      <c r="T773" s="158">
        <f t="shared" si="457"/>
        <v>1169744.038279878</v>
      </c>
      <c r="U773" s="158">
        <f t="shared" si="457"/>
        <v>1198987.6392368749</v>
      </c>
      <c r="V773" s="158">
        <f t="shared" si="457"/>
        <v>1228962.3302177966</v>
      </c>
      <c r="W773" s="158">
        <f t="shared" si="457"/>
        <v>1259686.3884732414</v>
      </c>
      <c r="X773" s="158">
        <f t="shared" si="457"/>
        <v>1291178.5481850724</v>
      </c>
      <c r="Y773" s="158">
        <f t="shared" si="457"/>
        <v>1323458.0118896994</v>
      </c>
      <c r="Z773" s="158">
        <f t="shared" si="457"/>
        <v>1356544.4621869416</v>
      </c>
      <c r="AA773" s="158">
        <f t="shared" si="457"/>
        <v>0</v>
      </c>
      <c r="AB773" s="158">
        <f t="shared" si="457"/>
        <v>0</v>
      </c>
      <c r="AC773" s="158">
        <f t="shared" si="457"/>
        <v>0</v>
      </c>
      <c r="AD773" s="158">
        <f t="shared" si="457"/>
        <v>0</v>
      </c>
      <c r="AE773" s="158">
        <f t="shared" si="457"/>
        <v>0</v>
      </c>
      <c r="AF773" s="158">
        <f t="shared" si="457"/>
        <v>0</v>
      </c>
      <c r="AG773" s="158">
        <f t="shared" si="457"/>
        <v>0</v>
      </c>
      <c r="AH773" s="158">
        <f t="shared" si="457"/>
        <v>0</v>
      </c>
      <c r="AI773" s="158">
        <f t="shared" si="457"/>
        <v>0</v>
      </c>
      <c r="AJ773" s="158">
        <f t="shared" si="457"/>
        <v>0</v>
      </c>
      <c r="AK773" s="158">
        <f t="shared" si="457"/>
        <v>0</v>
      </c>
      <c r="AL773" s="158">
        <f t="shared" si="457"/>
        <v>0</v>
      </c>
      <c r="AM773" s="158">
        <f t="shared" si="457"/>
        <v>0</v>
      </c>
      <c r="AN773" s="158">
        <f t="shared" si="457"/>
        <v>0</v>
      </c>
      <c r="AO773" s="158">
        <f t="shared" si="457"/>
        <v>0</v>
      </c>
      <c r="AP773" s="158">
        <f t="shared" si="457"/>
        <v>0</v>
      </c>
    </row>
    <row r="774" spans="1:42" x14ac:dyDescent="0.2">
      <c r="A774" s="22" t="s">
        <v>303</v>
      </c>
      <c r="B774" s="158"/>
      <c r="C774" s="158">
        <f t="shared" ref="C774:AP774" si="458">IF(C$2&lt;=analysis_period,B773*reserves_interest/100,0)</f>
        <v>9375</v>
      </c>
      <c r="D774" s="158">
        <f t="shared" si="458"/>
        <v>21384.156841448046</v>
      </c>
      <c r="E774" s="158">
        <f t="shared" si="458"/>
        <v>33399.173057896092</v>
      </c>
      <c r="F774" s="158">
        <f t="shared" si="458"/>
        <v>45420.195133719149</v>
      </c>
      <c r="G774" s="158">
        <f t="shared" si="458"/>
        <v>57447.373215401567</v>
      </c>
      <c r="H774" s="158">
        <f t="shared" si="458"/>
        <v>69480.861203089866</v>
      </c>
      <c r="I774" s="158">
        <f t="shared" si="458"/>
        <v>81520.816844434157</v>
      </c>
      <c r="J774" s="158">
        <f t="shared" si="458"/>
        <v>93567.401830775852</v>
      </c>
      <c r="K774" s="158">
        <f t="shared" si="458"/>
        <v>105620.78189573988</v>
      </c>
      <c r="L774" s="158">
        <f t="shared" si="458"/>
        <v>117681.12691629183</v>
      </c>
      <c r="M774" s="158">
        <f t="shared" si="458"/>
        <v>129748.61101632135</v>
      </c>
      <c r="N774" s="158">
        <f t="shared" si="458"/>
        <v>141823.41267281541</v>
      </c>
      <c r="O774" s="158">
        <f t="shared" si="458"/>
        <v>153905.71482468562</v>
      </c>
      <c r="P774" s="158">
        <f t="shared" si="458"/>
        <v>165995.7049843164</v>
      </c>
      <c r="Q774" s="158">
        <f t="shared" si="458"/>
        <v>178093.57535190173</v>
      </c>
      <c r="R774" s="158">
        <f t="shared" si="458"/>
        <v>13577.795310919788</v>
      </c>
      <c r="S774" s="158">
        <f t="shared" si="458"/>
        <v>13917.240193692778</v>
      </c>
      <c r="T774" s="158">
        <f t="shared" si="458"/>
        <v>14265.171198535096</v>
      </c>
      <c r="U774" s="158">
        <f t="shared" si="458"/>
        <v>14621.800478498475</v>
      </c>
      <c r="V774" s="158">
        <f t="shared" si="458"/>
        <v>14987.345490460935</v>
      </c>
      <c r="W774" s="158">
        <f t="shared" si="458"/>
        <v>15362.029127722457</v>
      </c>
      <c r="X774" s="158">
        <f t="shared" si="458"/>
        <v>15746.079855915517</v>
      </c>
      <c r="Y774" s="158">
        <f t="shared" si="458"/>
        <v>16139.731852313405</v>
      </c>
      <c r="Z774" s="158">
        <f t="shared" si="458"/>
        <v>16543.225148621244</v>
      </c>
      <c r="AA774" s="158">
        <f t="shared" si="458"/>
        <v>16956.805777336773</v>
      </c>
      <c r="AB774" s="158">
        <f t="shared" si="458"/>
        <v>0</v>
      </c>
      <c r="AC774" s="158">
        <f t="shared" si="458"/>
        <v>0</v>
      </c>
      <c r="AD774" s="158">
        <f t="shared" si="458"/>
        <v>0</v>
      </c>
      <c r="AE774" s="158">
        <f t="shared" si="458"/>
        <v>0</v>
      </c>
      <c r="AF774" s="158">
        <f t="shared" si="458"/>
        <v>0</v>
      </c>
      <c r="AG774" s="158">
        <f t="shared" si="458"/>
        <v>0</v>
      </c>
      <c r="AH774" s="158">
        <f t="shared" si="458"/>
        <v>0</v>
      </c>
      <c r="AI774" s="158">
        <f t="shared" si="458"/>
        <v>0</v>
      </c>
      <c r="AJ774" s="158">
        <f t="shared" si="458"/>
        <v>0</v>
      </c>
      <c r="AK774" s="158">
        <f t="shared" si="458"/>
        <v>0</v>
      </c>
      <c r="AL774" s="158">
        <f t="shared" si="458"/>
        <v>0</v>
      </c>
      <c r="AM774" s="158">
        <f t="shared" si="458"/>
        <v>0</v>
      </c>
      <c r="AN774" s="158">
        <f t="shared" si="458"/>
        <v>0</v>
      </c>
      <c r="AO774" s="158">
        <f t="shared" si="458"/>
        <v>0</v>
      </c>
      <c r="AP774" s="158">
        <f t="shared" si="458"/>
        <v>0</v>
      </c>
    </row>
  </sheetData>
  <mergeCells count="4">
    <mergeCell ref="G289:J289"/>
    <mergeCell ref="K289:L289"/>
    <mergeCell ref="G425:J425"/>
    <mergeCell ref="K425:L425"/>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24" t="s">
        <v>229</v>
      </c>
      <c r="B1" s="225"/>
      <c r="C1" s="226"/>
      <c r="D1" s="225"/>
      <c r="E1" s="251"/>
      <c r="F1" s="251"/>
      <c r="G1" s="252"/>
    </row>
    <row r="2" spans="1:7" s="1" customFormat="1" ht="12.75" x14ac:dyDescent="0.2">
      <c r="A2" s="2" t="s">
        <v>79</v>
      </c>
      <c r="B2" s="3" t="s">
        <v>46</v>
      </c>
      <c r="C2" s="3" t="s">
        <v>47</v>
      </c>
      <c r="D2" s="3" t="s">
        <v>48</v>
      </c>
      <c r="E2" s="3" t="s">
        <v>49</v>
      </c>
      <c r="F2" s="3" t="s">
        <v>50</v>
      </c>
      <c r="G2" s="253" t="s">
        <v>51</v>
      </c>
    </row>
    <row r="3" spans="1:7" s="1" customFormat="1" ht="12.75" x14ac:dyDescent="0.2">
      <c r="A3" s="94">
        <v>1</v>
      </c>
      <c r="B3" s="162">
        <v>20</v>
      </c>
      <c r="C3" s="168">
        <v>5</v>
      </c>
      <c r="D3" s="162">
        <v>10</v>
      </c>
      <c r="E3" s="162">
        <v>3.33</v>
      </c>
      <c r="F3" s="162">
        <v>2.5</v>
      </c>
      <c r="G3" s="162">
        <f>2.56410256410256*0.5</f>
        <v>1.2820512820512799</v>
      </c>
    </row>
    <row r="4" spans="1:7" s="1" customFormat="1" ht="12.75" x14ac:dyDescent="0.2">
      <c r="A4" s="95">
        <v>2</v>
      </c>
      <c r="B4" s="162">
        <v>32</v>
      </c>
      <c r="C4" s="169">
        <v>9.5</v>
      </c>
      <c r="D4" s="164">
        <v>20</v>
      </c>
      <c r="E4" s="164">
        <v>6.67</v>
      </c>
      <c r="F4" s="164">
        <v>5</v>
      </c>
      <c r="G4" s="164">
        <v>2.5641025641025599</v>
      </c>
    </row>
    <row r="5" spans="1:7" s="1" customFormat="1" ht="12.75" x14ac:dyDescent="0.2">
      <c r="A5" s="95">
        <v>3</v>
      </c>
      <c r="B5" s="162">
        <v>19.2</v>
      </c>
      <c r="C5" s="164">
        <v>8.5500000000000007</v>
      </c>
      <c r="D5" s="164">
        <v>20</v>
      </c>
      <c r="E5" s="164">
        <v>6.67</v>
      </c>
      <c r="F5" s="164">
        <v>5</v>
      </c>
      <c r="G5" s="164">
        <v>2.5641025641025599</v>
      </c>
    </row>
    <row r="6" spans="1:7" s="1" customFormat="1" ht="12.75" x14ac:dyDescent="0.2">
      <c r="A6" s="95">
        <v>4</v>
      </c>
      <c r="B6" s="162">
        <v>11.52</v>
      </c>
      <c r="C6" s="164">
        <v>7.7</v>
      </c>
      <c r="D6" s="164">
        <v>20</v>
      </c>
      <c r="E6" s="164">
        <v>6.67</v>
      </c>
      <c r="F6" s="164">
        <v>5</v>
      </c>
      <c r="G6" s="164">
        <v>2.5641025641025599</v>
      </c>
    </row>
    <row r="7" spans="1:7" s="1" customFormat="1" ht="12.75" x14ac:dyDescent="0.2">
      <c r="A7" s="95">
        <v>5</v>
      </c>
      <c r="B7" s="162">
        <v>11.52</v>
      </c>
      <c r="C7" s="164">
        <v>6.93</v>
      </c>
      <c r="D7" s="164">
        <v>20</v>
      </c>
      <c r="E7" s="164">
        <v>6.67</v>
      </c>
      <c r="F7" s="164">
        <v>5</v>
      </c>
      <c r="G7" s="164">
        <v>2.5641025641025599</v>
      </c>
    </row>
    <row r="8" spans="1:7" s="1" customFormat="1" ht="12.75" x14ac:dyDescent="0.2">
      <c r="A8" s="95">
        <v>6</v>
      </c>
      <c r="B8" s="162">
        <v>5.76</v>
      </c>
      <c r="C8" s="164">
        <v>6.23</v>
      </c>
      <c r="D8" s="164">
        <v>10</v>
      </c>
      <c r="E8" s="164">
        <v>6.67</v>
      </c>
      <c r="F8" s="164">
        <v>5</v>
      </c>
      <c r="G8" s="164">
        <v>2.5641025641025599</v>
      </c>
    </row>
    <row r="9" spans="1:7" s="1" customFormat="1" ht="12.75" x14ac:dyDescent="0.2">
      <c r="A9" s="95">
        <v>7</v>
      </c>
      <c r="B9" s="163">
        <v>0</v>
      </c>
      <c r="C9" s="164">
        <v>5.9</v>
      </c>
      <c r="D9" s="164">
        <v>0</v>
      </c>
      <c r="E9" s="164">
        <v>6.67</v>
      </c>
      <c r="F9" s="164">
        <v>5</v>
      </c>
      <c r="G9" s="164">
        <v>2.5641025641025599</v>
      </c>
    </row>
    <row r="10" spans="1:7" s="1" customFormat="1" ht="12.75" x14ac:dyDescent="0.2">
      <c r="A10" s="95">
        <v>8</v>
      </c>
      <c r="B10" s="164">
        <v>0</v>
      </c>
      <c r="C10" s="164">
        <v>5.9</v>
      </c>
      <c r="D10" s="164">
        <v>0</v>
      </c>
      <c r="E10" s="164">
        <v>6.67</v>
      </c>
      <c r="F10" s="164">
        <v>5</v>
      </c>
      <c r="G10" s="164">
        <v>2.5641025641025599</v>
      </c>
    </row>
    <row r="11" spans="1:7" s="1" customFormat="1" ht="12.75" x14ac:dyDescent="0.2">
      <c r="A11" s="95">
        <v>9</v>
      </c>
      <c r="B11" s="164">
        <v>0</v>
      </c>
      <c r="C11" s="164">
        <v>5.91</v>
      </c>
      <c r="D11" s="164">
        <v>0</v>
      </c>
      <c r="E11" s="164">
        <v>6.67</v>
      </c>
      <c r="F11" s="164">
        <v>5</v>
      </c>
      <c r="G11" s="164">
        <v>2.5641025641025599</v>
      </c>
    </row>
    <row r="12" spans="1:7" s="1" customFormat="1" ht="12.75" x14ac:dyDescent="0.2">
      <c r="A12" s="95">
        <v>10</v>
      </c>
      <c r="B12" s="164">
        <v>0</v>
      </c>
      <c r="C12" s="164">
        <v>5.9</v>
      </c>
      <c r="D12" s="164">
        <v>0</v>
      </c>
      <c r="E12" s="164">
        <v>6.67</v>
      </c>
      <c r="F12" s="164">
        <v>5</v>
      </c>
      <c r="G12" s="164">
        <v>2.5641025641025599</v>
      </c>
    </row>
    <row r="13" spans="1:7" s="1" customFormat="1" ht="12.75" x14ac:dyDescent="0.2">
      <c r="A13" s="95">
        <v>11</v>
      </c>
      <c r="B13" s="164">
        <v>0</v>
      </c>
      <c r="C13" s="164">
        <v>5.91</v>
      </c>
      <c r="D13" s="164">
        <v>0</v>
      </c>
      <c r="E13" s="164">
        <v>6.67</v>
      </c>
      <c r="F13" s="164">
        <v>5</v>
      </c>
      <c r="G13" s="164">
        <v>2.5641025641025599</v>
      </c>
    </row>
    <row r="14" spans="1:7" s="1" customFormat="1" ht="12.75" x14ac:dyDescent="0.2">
      <c r="A14" s="95">
        <v>12</v>
      </c>
      <c r="B14" s="164">
        <v>0</v>
      </c>
      <c r="C14" s="164">
        <v>5.9</v>
      </c>
      <c r="D14" s="164">
        <v>0</v>
      </c>
      <c r="E14" s="164">
        <v>6.66</v>
      </c>
      <c r="F14" s="164">
        <v>5</v>
      </c>
      <c r="G14" s="164">
        <v>2.5641025641025599</v>
      </c>
    </row>
    <row r="15" spans="1:7" s="1" customFormat="1" ht="12.75" x14ac:dyDescent="0.2">
      <c r="A15" s="95">
        <v>13</v>
      </c>
      <c r="B15" s="164">
        <v>0</v>
      </c>
      <c r="C15" s="164">
        <v>5.91</v>
      </c>
      <c r="D15" s="164">
        <v>0</v>
      </c>
      <c r="E15" s="164">
        <v>6.67</v>
      </c>
      <c r="F15" s="164">
        <v>5</v>
      </c>
      <c r="G15" s="164">
        <v>2.5641025641025599</v>
      </c>
    </row>
    <row r="16" spans="1:7" s="1" customFormat="1" ht="12.75" x14ac:dyDescent="0.2">
      <c r="A16" s="95">
        <v>14</v>
      </c>
      <c r="B16" s="164">
        <v>0</v>
      </c>
      <c r="C16" s="164">
        <v>5.9</v>
      </c>
      <c r="D16" s="164">
        <v>0</v>
      </c>
      <c r="E16" s="164">
        <v>6.66</v>
      </c>
      <c r="F16" s="164">
        <v>5</v>
      </c>
      <c r="G16" s="164">
        <v>2.5641025641025599</v>
      </c>
    </row>
    <row r="17" spans="1:7" s="1" customFormat="1" ht="12.75" x14ac:dyDescent="0.2">
      <c r="A17" s="95">
        <v>15</v>
      </c>
      <c r="B17" s="164">
        <v>0</v>
      </c>
      <c r="C17" s="164">
        <v>5.9</v>
      </c>
      <c r="D17" s="164">
        <v>0</v>
      </c>
      <c r="E17" s="164">
        <v>6.67</v>
      </c>
      <c r="F17" s="164">
        <v>5</v>
      </c>
      <c r="G17" s="164">
        <v>2.5641025641025599</v>
      </c>
    </row>
    <row r="18" spans="1:7" s="1" customFormat="1" ht="12.75" x14ac:dyDescent="0.2">
      <c r="A18" s="95">
        <v>16</v>
      </c>
      <c r="B18" s="164">
        <v>0</v>
      </c>
      <c r="C18" s="164">
        <v>2.95</v>
      </c>
      <c r="D18" s="164">
        <v>0</v>
      </c>
      <c r="E18" s="164">
        <v>3.33</v>
      </c>
      <c r="F18" s="164">
        <v>5</v>
      </c>
      <c r="G18" s="164">
        <v>2.5641025641025599</v>
      </c>
    </row>
    <row r="19" spans="1:7" s="1" customFormat="1" ht="12.75" x14ac:dyDescent="0.2">
      <c r="A19" s="95">
        <v>17</v>
      </c>
      <c r="B19" s="164">
        <v>0</v>
      </c>
      <c r="C19" s="164">
        <v>0</v>
      </c>
      <c r="D19" s="164">
        <v>0</v>
      </c>
      <c r="E19" s="164">
        <v>0</v>
      </c>
      <c r="F19" s="164">
        <v>5</v>
      </c>
      <c r="G19" s="164">
        <v>2.5641025641025599</v>
      </c>
    </row>
    <row r="20" spans="1:7" s="1" customFormat="1" ht="12.75" x14ac:dyDescent="0.2">
      <c r="A20" s="95">
        <v>18</v>
      </c>
      <c r="B20" s="164">
        <v>0</v>
      </c>
      <c r="C20" s="164">
        <v>0</v>
      </c>
      <c r="D20" s="164">
        <v>0</v>
      </c>
      <c r="E20" s="164">
        <v>0</v>
      </c>
      <c r="F20" s="164">
        <v>5</v>
      </c>
      <c r="G20" s="164">
        <v>2.5641025641025599</v>
      </c>
    </row>
    <row r="21" spans="1:7" s="1" customFormat="1" ht="12.75" x14ac:dyDescent="0.2">
      <c r="A21" s="95">
        <v>19</v>
      </c>
      <c r="B21" s="164">
        <v>0</v>
      </c>
      <c r="C21" s="164">
        <v>0</v>
      </c>
      <c r="D21" s="164">
        <v>0</v>
      </c>
      <c r="E21" s="164">
        <v>0</v>
      </c>
      <c r="F21" s="164">
        <v>5</v>
      </c>
      <c r="G21" s="164">
        <v>2.5641025641025599</v>
      </c>
    </row>
    <row r="22" spans="1:7" s="1" customFormat="1" ht="12.75" x14ac:dyDescent="0.2">
      <c r="A22" s="95">
        <v>20</v>
      </c>
      <c r="B22" s="164">
        <v>0</v>
      </c>
      <c r="C22" s="164">
        <v>0</v>
      </c>
      <c r="D22" s="164">
        <v>0</v>
      </c>
      <c r="E22" s="164">
        <v>0</v>
      </c>
      <c r="F22" s="164">
        <v>5</v>
      </c>
      <c r="G22" s="164">
        <v>2.5641025641025599</v>
      </c>
    </row>
    <row r="23" spans="1:7" s="1" customFormat="1" ht="12.75" x14ac:dyDescent="0.2">
      <c r="A23" s="95">
        <v>21</v>
      </c>
      <c r="B23" s="164">
        <v>0</v>
      </c>
      <c r="C23" s="164">
        <v>0</v>
      </c>
      <c r="D23" s="164">
        <v>0</v>
      </c>
      <c r="E23" s="164">
        <v>0</v>
      </c>
      <c r="F23" s="164">
        <v>2.5</v>
      </c>
      <c r="G23" s="164">
        <v>2.5641025641025599</v>
      </c>
    </row>
    <row r="24" spans="1:7" s="1" customFormat="1" ht="12.75" customHeight="1" x14ac:dyDescent="0.2">
      <c r="A24" s="95">
        <v>22</v>
      </c>
      <c r="B24" s="164">
        <v>0</v>
      </c>
      <c r="C24" s="164">
        <v>0</v>
      </c>
      <c r="D24" s="164">
        <v>0</v>
      </c>
      <c r="E24" s="164">
        <v>0</v>
      </c>
      <c r="F24" s="164">
        <v>0</v>
      </c>
      <c r="G24" s="164">
        <v>2.5641025641025599</v>
      </c>
    </row>
    <row r="25" spans="1:7" s="1" customFormat="1" ht="12.75" customHeight="1" x14ac:dyDescent="0.2">
      <c r="A25" s="95">
        <v>23</v>
      </c>
      <c r="B25" s="164">
        <v>0</v>
      </c>
      <c r="C25" s="164">
        <v>0</v>
      </c>
      <c r="D25" s="164">
        <v>0</v>
      </c>
      <c r="E25" s="164">
        <v>0</v>
      </c>
      <c r="F25" s="164">
        <v>0</v>
      </c>
      <c r="G25" s="164">
        <v>2.5641025641025599</v>
      </c>
    </row>
    <row r="26" spans="1:7" s="1" customFormat="1" ht="12.75" customHeight="1" x14ac:dyDescent="0.2">
      <c r="A26" s="95">
        <v>24</v>
      </c>
      <c r="B26" s="164">
        <v>0</v>
      </c>
      <c r="C26" s="164">
        <v>0</v>
      </c>
      <c r="D26" s="164">
        <v>0</v>
      </c>
      <c r="E26" s="164">
        <v>0</v>
      </c>
      <c r="F26" s="164">
        <v>0</v>
      </c>
      <c r="G26" s="164">
        <v>2.5641025641025599</v>
      </c>
    </row>
    <row r="27" spans="1:7" s="1" customFormat="1" ht="12.75" customHeight="1" x14ac:dyDescent="0.2">
      <c r="A27" s="95">
        <v>25</v>
      </c>
      <c r="B27" s="164">
        <v>0</v>
      </c>
      <c r="C27" s="164">
        <v>0</v>
      </c>
      <c r="D27" s="164">
        <v>0</v>
      </c>
      <c r="E27" s="164">
        <v>0</v>
      </c>
      <c r="F27" s="164">
        <v>0</v>
      </c>
      <c r="G27" s="164">
        <v>2.5641025641025599</v>
      </c>
    </row>
    <row r="28" spans="1:7" s="1" customFormat="1" ht="12.75" customHeight="1" x14ac:dyDescent="0.2">
      <c r="A28" s="95">
        <v>26</v>
      </c>
      <c r="B28" s="164">
        <v>0</v>
      </c>
      <c r="C28" s="164">
        <v>0</v>
      </c>
      <c r="D28" s="164">
        <v>0</v>
      </c>
      <c r="E28" s="164">
        <v>0</v>
      </c>
      <c r="F28" s="164">
        <v>0</v>
      </c>
      <c r="G28" s="164">
        <v>2.5641025641025599</v>
      </c>
    </row>
    <row r="29" spans="1:7" s="1" customFormat="1" ht="12.75" customHeight="1" x14ac:dyDescent="0.2">
      <c r="A29" s="95">
        <v>27</v>
      </c>
      <c r="B29" s="164">
        <v>0</v>
      </c>
      <c r="C29" s="164">
        <v>0</v>
      </c>
      <c r="D29" s="164">
        <v>0</v>
      </c>
      <c r="E29" s="164">
        <v>0</v>
      </c>
      <c r="F29" s="164">
        <v>0</v>
      </c>
      <c r="G29" s="164">
        <v>2.5641025641025599</v>
      </c>
    </row>
    <row r="30" spans="1:7" ht="12.75" customHeight="1" x14ac:dyDescent="0.25">
      <c r="A30" s="95">
        <v>28</v>
      </c>
      <c r="B30" s="164">
        <v>0</v>
      </c>
      <c r="C30" s="164">
        <v>0</v>
      </c>
      <c r="D30" s="164">
        <v>0</v>
      </c>
      <c r="E30" s="164">
        <v>0</v>
      </c>
      <c r="F30" s="164">
        <v>0</v>
      </c>
      <c r="G30" s="164">
        <v>2.5641025641025599</v>
      </c>
    </row>
    <row r="31" spans="1:7" ht="12.75" customHeight="1" x14ac:dyDescent="0.25">
      <c r="A31" s="95">
        <v>29</v>
      </c>
      <c r="B31" s="164">
        <v>0</v>
      </c>
      <c r="C31" s="164">
        <v>0</v>
      </c>
      <c r="D31" s="164">
        <v>0</v>
      </c>
      <c r="E31" s="164">
        <v>0</v>
      </c>
      <c r="F31" s="164">
        <v>0</v>
      </c>
      <c r="G31" s="164">
        <v>2.5641025641025599</v>
      </c>
    </row>
    <row r="32" spans="1:7" ht="12.75" customHeight="1" x14ac:dyDescent="0.25">
      <c r="A32" s="95">
        <v>30</v>
      </c>
      <c r="B32" s="164">
        <v>0</v>
      </c>
      <c r="C32" s="164">
        <v>0</v>
      </c>
      <c r="D32" s="164">
        <v>0</v>
      </c>
      <c r="E32" s="164">
        <v>0</v>
      </c>
      <c r="F32" s="164">
        <v>0</v>
      </c>
      <c r="G32" s="164">
        <v>2.5641025641025599</v>
      </c>
    </row>
    <row r="33" spans="1:7" ht="12.75" customHeight="1" x14ac:dyDescent="0.25">
      <c r="A33" s="95">
        <v>31</v>
      </c>
      <c r="B33" s="164">
        <v>0</v>
      </c>
      <c r="C33" s="164">
        <v>0</v>
      </c>
      <c r="D33" s="164">
        <v>0</v>
      </c>
      <c r="E33" s="164">
        <v>0</v>
      </c>
      <c r="F33" s="164">
        <v>0</v>
      </c>
      <c r="G33" s="164">
        <v>2.5641025641025599</v>
      </c>
    </row>
    <row r="34" spans="1:7" ht="12.75" customHeight="1" x14ac:dyDescent="0.25">
      <c r="A34" s="95">
        <v>32</v>
      </c>
      <c r="B34" s="164">
        <v>0</v>
      </c>
      <c r="C34" s="164">
        <v>0</v>
      </c>
      <c r="D34" s="164">
        <v>0</v>
      </c>
      <c r="E34" s="164">
        <v>0</v>
      </c>
      <c r="F34" s="164">
        <v>0</v>
      </c>
      <c r="G34" s="164">
        <v>2.5641025641025599</v>
      </c>
    </row>
    <row r="35" spans="1:7" ht="12.75" customHeight="1" x14ac:dyDescent="0.25">
      <c r="A35" s="95">
        <v>33</v>
      </c>
      <c r="B35" s="164">
        <v>0</v>
      </c>
      <c r="C35" s="164">
        <v>0</v>
      </c>
      <c r="D35" s="164">
        <v>0</v>
      </c>
      <c r="E35" s="164">
        <v>0</v>
      </c>
      <c r="F35" s="164">
        <v>0</v>
      </c>
      <c r="G35" s="164">
        <v>2.5641025641025599</v>
      </c>
    </row>
    <row r="36" spans="1:7" ht="12.75" customHeight="1" x14ac:dyDescent="0.25">
      <c r="A36" s="95">
        <v>34</v>
      </c>
      <c r="B36" s="164">
        <v>0</v>
      </c>
      <c r="C36" s="164">
        <v>0</v>
      </c>
      <c r="D36" s="164">
        <v>0</v>
      </c>
      <c r="E36" s="164">
        <v>0</v>
      </c>
      <c r="F36" s="164">
        <v>0</v>
      </c>
      <c r="G36" s="164">
        <v>2.5641025641025599</v>
      </c>
    </row>
    <row r="37" spans="1:7" ht="12.75" customHeight="1" x14ac:dyDescent="0.25">
      <c r="A37" s="95">
        <v>35</v>
      </c>
      <c r="B37" s="164">
        <v>0</v>
      </c>
      <c r="C37" s="164">
        <v>0</v>
      </c>
      <c r="D37" s="164">
        <v>0</v>
      </c>
      <c r="E37" s="164">
        <v>0</v>
      </c>
      <c r="F37" s="164">
        <v>0</v>
      </c>
      <c r="G37" s="164">
        <v>2.5641025641025599</v>
      </c>
    </row>
    <row r="38" spans="1:7" ht="12.75" customHeight="1" x14ac:dyDescent="0.25">
      <c r="A38" s="95">
        <v>36</v>
      </c>
      <c r="B38" s="164">
        <v>0</v>
      </c>
      <c r="C38" s="164">
        <v>0</v>
      </c>
      <c r="D38" s="164">
        <v>0</v>
      </c>
      <c r="E38" s="164">
        <v>0</v>
      </c>
      <c r="F38" s="164">
        <v>0</v>
      </c>
      <c r="G38" s="164">
        <v>2.5641025641025599</v>
      </c>
    </row>
    <row r="39" spans="1:7" ht="12.75" customHeight="1" x14ac:dyDescent="0.25">
      <c r="A39" s="95">
        <v>37</v>
      </c>
      <c r="B39" s="164">
        <v>0</v>
      </c>
      <c r="C39" s="164">
        <v>0</v>
      </c>
      <c r="D39" s="164">
        <v>0</v>
      </c>
      <c r="E39" s="164">
        <v>0</v>
      </c>
      <c r="F39" s="164">
        <v>0</v>
      </c>
      <c r="G39" s="164">
        <v>2.5641025641025599</v>
      </c>
    </row>
    <row r="40" spans="1:7" ht="12.75" customHeight="1" x14ac:dyDescent="0.25">
      <c r="A40" s="95">
        <v>38</v>
      </c>
      <c r="B40" s="164">
        <v>0</v>
      </c>
      <c r="C40" s="164">
        <v>0</v>
      </c>
      <c r="D40" s="164">
        <v>0</v>
      </c>
      <c r="E40" s="164">
        <v>0</v>
      </c>
      <c r="F40" s="164">
        <v>0</v>
      </c>
      <c r="G40" s="164">
        <v>2.5641025641025599</v>
      </c>
    </row>
    <row r="41" spans="1:7" ht="12.75" customHeight="1" x14ac:dyDescent="0.25">
      <c r="A41" s="95">
        <v>39</v>
      </c>
      <c r="B41" s="164">
        <v>0</v>
      </c>
      <c r="C41" s="164">
        <v>0</v>
      </c>
      <c r="D41" s="164">
        <v>0</v>
      </c>
      <c r="E41" s="164">
        <v>0</v>
      </c>
      <c r="F41" s="164">
        <v>0</v>
      </c>
      <c r="G41" s="164">
        <v>2.5641025641025599</v>
      </c>
    </row>
    <row r="42" spans="1:7" ht="12.75" customHeight="1" x14ac:dyDescent="0.25">
      <c r="A42" s="96">
        <v>40</v>
      </c>
      <c r="B42" s="165">
        <v>0</v>
      </c>
      <c r="C42" s="165">
        <v>0</v>
      </c>
      <c r="D42" s="165">
        <v>0</v>
      </c>
      <c r="E42" s="165">
        <v>0</v>
      </c>
      <c r="F42" s="165">
        <v>0</v>
      </c>
      <c r="G42" s="165">
        <f>2.56410256410256*0.5</f>
        <v>1.2820512820512799</v>
      </c>
    </row>
    <row r="43" spans="1:7" x14ac:dyDescent="0.25">
      <c r="A43" s="93" t="s">
        <v>190</v>
      </c>
      <c r="B43" s="93"/>
      <c r="C43" s="93"/>
      <c r="D43" s="93"/>
      <c r="E43" s="93"/>
      <c r="F43" s="93"/>
      <c r="G43" s="93"/>
    </row>
    <row r="44" spans="1:7" x14ac:dyDescent="0.25">
      <c r="A44" s="93" t="s">
        <v>97</v>
      </c>
      <c r="B44" s="93"/>
      <c r="C44" s="93"/>
      <c r="D44" s="93"/>
      <c r="E44" s="93"/>
      <c r="F44" s="93"/>
      <c r="G44" s="93"/>
    </row>
    <row r="45" spans="1:7" x14ac:dyDescent="0.25">
      <c r="A45" s="281" t="s">
        <v>325</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286</vt:i4>
      </vt:variant>
    </vt:vector>
  </HeadingPairs>
  <TitlesOfParts>
    <vt:vector size="289"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cf_capacity_payment</vt:lpstr>
      <vt:lpstr>cf_curtailment_value</vt:lpstr>
      <vt:lpstr>cf_disbursement_debtservice</vt:lpstr>
      <vt:lpstr>cf_energy_net</vt:lpstr>
      <vt:lpstr>cf_energy_purchases</vt:lpstr>
      <vt:lpstr>cf_energy_sales</vt:lpstr>
      <vt:lpstr>cf_energy_value</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cf_ppa_price</vt:lpstr>
      <vt:lpstr>cf_recapitalization</vt:lpstr>
      <vt:lpstr>cf_reserve_debtservice</vt:lpstr>
      <vt:lpstr>cf_thermal_value</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cost_dev_fee_percent</vt:lpstr>
      <vt:lpstr>cost_equity_closing</vt:lpstr>
      <vt:lpstr>cost_other_financing</vt:lpstr>
      <vt:lpstr>CostDebtUpfront</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developer_equity_percent</vt:lpstr>
      <vt:lpstr>developer_postflip_cash_percent</vt:lpstr>
      <vt:lpstr>developer_postflip_tax_percent</vt:lpstr>
      <vt:lpstr>developer_preflip_cash_percent</vt:lpstr>
      <vt:lpstr>developer_preflip_tax_percent</vt:lpstr>
      <vt:lpstr>dscr_limit_debt_fraction</vt:lpstr>
      <vt:lpstr>dscr_maximum_debt_fraction</vt:lpstr>
      <vt:lpstr>dscr_reserve_months</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flip_actual_year</vt:lpstr>
      <vt:lpstr>flip_target_year</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IRRTarget</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ppa_escalation</vt:lpstr>
      <vt:lpstr>PPAPriceInput</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sponsor_cap_recovery_year</vt:lpstr>
      <vt:lpstr>SponsorCapRecoveryMode</vt:lpstr>
      <vt:lpstr>state_tax_rate</vt:lpstr>
      <vt:lpstr>system_capacity</vt:lpstr>
      <vt:lpstr>system_heat_rate</vt:lpstr>
      <vt:lpstr>tax_investor_equity_percent</vt:lpstr>
      <vt:lpstr>tax_investor_postflip_cash_percent</vt:lpstr>
      <vt:lpstr>tax_investor_postflip_tax_percent</vt:lpstr>
      <vt:lpstr>tax_investor_preflip_cash_percent</vt:lpstr>
      <vt:lpstr>tax_investor_preflip_tax_percent</vt:lpstr>
      <vt:lpstr>term_int_rate</vt:lpstr>
      <vt:lpstr>term_tenor</vt:lpstr>
      <vt:lpstr>TODMultipliersApply</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2022-05-12T21:30:31Z</dcterms:created>
  <dcterms:modified xsi:type="dcterms:W3CDTF">2023-07-20T16:45:23Z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