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showInkAnnotation="0" codeName="ThisWorkbook" defaultThemeVersion="124226"/>
  <xr:revisionPtr revIDLastSave="1091" documentId="13_ncr:1_{F5FBCEF2-F410-4DAF-B70A-16B7E5718D4C}" xr6:coauthVersionLast="47" xr6:coauthVersionMax="47" xr10:uidLastSave="{2C296152-18A6-40F4-9CFC-70299C96AC54}"/>
  <bookViews>
    <workbookView xWindow="1028" yWindow="1612" windowWidth="15555" windowHeight="9518" tabRatio="734" xr2:uid="{00000000-000D-0000-FFFF-FFFF00000000}"/>
  </bookViews>
  <sheets>
    <sheet name="Inputs" sheetId="1" r:id="rId1"/>
    <sheet name="Cash Flow" sheetId="7" r:id="rId2"/>
    <sheet name="Depreciation Schedules" sheetId="4" r:id="rId3"/>
  </sheets>
  <definedNames>
    <definedName name="analysis_period">Inputs!$C$38</definedName>
    <definedName name="annual_fuel_usage">Inputs!$C$24</definedName>
    <definedName name="AnnualLandLease">Inputs!$D$221</definedName>
    <definedName name="AnnualOMCapacity">Inputs!$D$169</definedName>
    <definedName name="AnnualOMFixed">Inputs!$D$168</definedName>
    <definedName name="AnnualOMProduction">Inputs!$D$170</definedName>
    <definedName name="AnnualPBIFederal">Inputs!$D$182</definedName>
    <definedName name="AnnualPBIOther">Inputs!$D$185</definedName>
    <definedName name="AnnualPBIState">Inputs!$D$183</definedName>
    <definedName name="AnnualPBIUtility">Inputs!$D$184</definedName>
    <definedName name="AnnualPTCFederal">Inputs!$D$187</definedName>
    <definedName name="AnnualPTCState">Inputs!$D$188</definedName>
    <definedName name="AnnualTaxFederal">Inputs!$C$173</definedName>
    <definedName name="AnnualTaxState">Inputs!$C$172</definedName>
    <definedName name="batt_annual_discharge_energy">Inputs!$C$157</definedName>
    <definedName name="cbi_fed_amount">Inputs!$C$125</definedName>
    <definedName name="cbi_fed_deprbas_fed">Inputs!$G$125</definedName>
    <definedName name="cbi_fed_deprbas_sta">Inputs!$H$125</definedName>
    <definedName name="cbi_fed_maxvalue">Inputs!$D$125</definedName>
    <definedName name="cbi_fed_tax_fed">Inputs!$E$125</definedName>
    <definedName name="cbi_fed_tax_sta">Inputs!$F$125</definedName>
    <definedName name="cbi_oth_amount">Inputs!$C$128</definedName>
    <definedName name="cbi_oth_deprbas_fed">Inputs!$G$128</definedName>
    <definedName name="cbi_oth_deprbas_sta">Inputs!$H$128</definedName>
    <definedName name="cbi_oth_maxvalue">Inputs!$D$128</definedName>
    <definedName name="cbi_oth_tax_fed">Inputs!$E$128</definedName>
    <definedName name="cbi_oth_tax_sta">Inputs!$F$128</definedName>
    <definedName name="cbi_sta_amount">Inputs!$C$126</definedName>
    <definedName name="cbi_sta_deprbas_fed">Inputs!$G$126</definedName>
    <definedName name="cbi_sta_deprbas_sta">Inputs!$H$126</definedName>
    <definedName name="cbi_sta_maxvalue">Inputs!$D$126</definedName>
    <definedName name="cbi_sta_tax_fed">Inputs!$E$126</definedName>
    <definedName name="cbi_sta_tax_sta">Inputs!$F$126</definedName>
    <definedName name="cbi_uti_amount">Inputs!$C$127</definedName>
    <definedName name="cbi_uti_deprbas_fed">Inputs!$G$127</definedName>
    <definedName name="cbi_uti_deprbas_sta">Inputs!$H$127</definedName>
    <definedName name="cbi_uti_maxvalue">Inputs!$D$127</definedName>
    <definedName name="cbi_uti_tax_fed">Inputs!$E$127</definedName>
    <definedName name="cbi_uti_tax_sta">Inputs!$F$127</definedName>
    <definedName name="cf_annual_cost_lcos">Inputs!$C$218</definedName>
    <definedName name="cf_annual_discharge_lcos">Inputs!$C$219</definedName>
    <definedName name="cf_battery_replacement_cost">Inputs!$C$195</definedName>
    <definedName name="cf_capacity_payment">Inputs!$C$162</definedName>
    <definedName name="cf_curtailment_value">Inputs!$C$163</definedName>
    <definedName name="cf_disbursement_debtservice">Inputs!$C$213</definedName>
    <definedName name="cf_energy_expenses_paid_percent">Inputs!$C$204</definedName>
    <definedName name="cf_energy_net">Inputs!$C$155</definedName>
    <definedName name="cf_energy_purchases">Inputs!$C$154</definedName>
    <definedName name="cf_energy_revenue_retained_percent">Inputs!$C$165</definedName>
    <definedName name="cf_energy_sales">Inputs!$C$153</definedName>
    <definedName name="cf_energy_value">Inputs!$C$161</definedName>
    <definedName name="cf_energy_without_battery">Inputs!$C$156</definedName>
    <definedName name="cf_fuelcell_replacement_cost">Inputs!$C$200</definedName>
    <definedName name="cf_funding_debtservice">Inputs!$C$212</definedName>
    <definedName name="cf_non_energy_expenses">Inputs!$C$203</definedName>
    <definedName name="cf_non_energy_revenue">Inputs!$C$166</definedName>
    <definedName name="cf_om_capacity1_expense">Inputs!$C$193</definedName>
    <definedName name="cf_om_capacity2_expense">Inputs!$C$198</definedName>
    <definedName name="cf_om_fixed1_expense">Inputs!$C$192</definedName>
    <definedName name="cf_om_fixed2_expense">Inputs!$C$197</definedName>
    <definedName name="cf_om_fuel_expense">Inputs!$C$206</definedName>
    <definedName name="cf_om_opt_fuel_1_expense">Inputs!$C$207</definedName>
    <definedName name="cf_om_opt_fuel_2_expense">Inputs!$C$208</definedName>
    <definedName name="cf_om_production1_expense">Inputs!$C$194</definedName>
    <definedName name="cf_om_production2_expense">Inputs!$C$199</definedName>
    <definedName name="cf_ppa_price">Inputs!$C$160</definedName>
    <definedName name="cf_recapitalization">Inputs!$C$210</definedName>
    <definedName name="cf_reserve_debtservice">Inputs!$C$214</definedName>
    <definedName name="cf_thermal_value">Inputs!$C$164</definedName>
    <definedName name="cf_utility_bill">Inputs!$C$190</definedName>
    <definedName name="const_per_interest_rate1">Inputs!$F$80</definedName>
    <definedName name="const_per_interest_rate2">Inputs!$F$81</definedName>
    <definedName name="const_per_interest_rate3">Inputs!$F$82</definedName>
    <definedName name="const_per_interest_rate4">Inputs!$F$83</definedName>
    <definedName name="const_per_interest_rate5">Inputs!$F$84</definedName>
    <definedName name="const_per_months1">Inputs!$E$80</definedName>
    <definedName name="const_per_months2">Inputs!$E$81</definedName>
    <definedName name="const_per_months3">Inputs!$E$82</definedName>
    <definedName name="const_per_months4">Inputs!$E$83</definedName>
    <definedName name="const_per_months5">Inputs!$E$84</definedName>
    <definedName name="const_per_percent1">Inputs!$C$80</definedName>
    <definedName name="const_per_percent2">Inputs!$C$81</definedName>
    <definedName name="const_per_percent3">Inputs!$C$82</definedName>
    <definedName name="const_per_percent4">Inputs!$C$83</definedName>
    <definedName name="const_per_percent5">Inputs!$C$84</definedName>
    <definedName name="const_per_upfront_rate1">Inputs!$D$80</definedName>
    <definedName name="const_per_upfront_rate2">Inputs!$D$81</definedName>
    <definedName name="const_per_upfront_rate3">Inputs!$D$82</definedName>
    <definedName name="const_per_upfront_rate4">Inputs!$D$83</definedName>
    <definedName name="const_per_upfront_rate5">Inputs!$D$84</definedName>
    <definedName name="construction_financing_cost">Inputs!$C$76</definedName>
    <definedName name="cost_debt_closing">Inputs!$C$68</definedName>
    <definedName name="cost_debt_fee">Inputs!$C$69</definedName>
    <definedName name="cost_other_financing">Inputs!$C$73</definedName>
    <definedName name="CostDebtUpfront">Inputs!$C$70</definedName>
    <definedName name="DebtPayment">Inputs!$C$63</definedName>
    <definedName name="DebtPercent">Inputs!$C$58</definedName>
    <definedName name="DebtServiceCoverageRatio">Inputs!$C$60</definedName>
    <definedName name="depr_alloc_custom_percent">Inputs!$C$143</definedName>
    <definedName name="depr_alloc_macrs_15_percent">Inputs!$C$138</definedName>
    <definedName name="depr_alloc_macrs_5_percent">Inputs!$C$137</definedName>
    <definedName name="depr_alloc_sl_15_percent">Inputs!$C$140</definedName>
    <definedName name="depr_alloc_sl_20_percent">Inputs!$C$141</definedName>
    <definedName name="depr_alloc_sl_39_percent">Inputs!$C$142</definedName>
    <definedName name="depr_alloc_sl_5_percent">Inputs!$C$139</definedName>
    <definedName name="depr_bonus_fed">Inputs!$D$144</definedName>
    <definedName name="depr_bonus_fed_custom">Inputs!$D$143</definedName>
    <definedName name="depr_bonus_fed_macrs_15">Inputs!$D$138</definedName>
    <definedName name="depr_bonus_fed_macrs_5">Inputs!$D$137</definedName>
    <definedName name="depr_bonus_fed_sl_15">Inputs!$D$140</definedName>
    <definedName name="depr_bonus_fed_sl_20">Inputs!$D$141</definedName>
    <definedName name="depr_bonus_fed_sl_39">Inputs!$D$142</definedName>
    <definedName name="depr_bonus_fed_sl_5">Inputs!$D$139</definedName>
    <definedName name="depr_bonus_sta">Inputs!$E$144</definedName>
    <definedName name="depr_bonus_sta_custom">Inputs!$E$143</definedName>
    <definedName name="depr_bonus_sta_macrs_15">Inputs!$E$138</definedName>
    <definedName name="depr_bonus_sta_macrs_5">Inputs!$E$137</definedName>
    <definedName name="depr_bonus_sta_sl_15">Inputs!$E$140</definedName>
    <definedName name="depr_bonus_sta_sl_20">Inputs!$E$141</definedName>
    <definedName name="depr_bonus_sta_sl_39">Inputs!$E$142</definedName>
    <definedName name="depr_bonus_sta_sl_5">Inputs!$E$139</definedName>
    <definedName name="depr_custom_schedule">Inputs!$D$216</definedName>
    <definedName name="depr_itc_fed_custom">Inputs!$F$143</definedName>
    <definedName name="depr_itc_fed_macrs_15">Inputs!$F$138</definedName>
    <definedName name="depr_itc_fed_macrs_5">Inputs!$F$137</definedName>
    <definedName name="depr_itc_fed_sl_15">Inputs!$F$140</definedName>
    <definedName name="depr_itc_fed_sl_20">Inputs!$F$141</definedName>
    <definedName name="depr_itc_fed_sl_39">Inputs!$F$142</definedName>
    <definedName name="depr_itc_fed_sl_5">Inputs!$F$139</definedName>
    <definedName name="depr_itc_sta_custom">Inputs!$G$143</definedName>
    <definedName name="depr_itc_sta_macrs_15">Inputs!$G$138</definedName>
    <definedName name="depr_itc_sta_macrs_5">Inputs!$G$137</definedName>
    <definedName name="depr_itc_sta_sl_15">Inputs!$G$140</definedName>
    <definedName name="depr_itc_sta_sl_20">Inputs!$G$141</definedName>
    <definedName name="depr_itc_sta_sl_39">Inputs!$G$142</definedName>
    <definedName name="depr_itc_sta_sl_5">Inputs!$G$139</definedName>
    <definedName name="dscr_limit_debt_fraction">Inputs!$C$61</definedName>
    <definedName name="dscr_maximum_debt_fraction">Inputs!$C$62</definedName>
    <definedName name="dscr_reserve_months">Inputs!$C$90</definedName>
    <definedName name="equip_reserve_depr_fed">Inputs!$C$97</definedName>
    <definedName name="equip_reserve_depr_sta">Inputs!$C$98</definedName>
    <definedName name="equip1_reserve_cost">Inputs!$C$93</definedName>
    <definedName name="equip1_reserve_freq">Inputs!$E$93</definedName>
    <definedName name="equip2_reserve_cost">Inputs!$C$94</definedName>
    <definedName name="equip2_reserve_freq">Inputs!$E$94</definedName>
    <definedName name="equip3_reserve_cost">Inputs!$C$95</definedName>
    <definedName name="equip3_reserve_freq">Inputs!$E$95</definedName>
    <definedName name="federal_tax_rate">Inputs!$C$43</definedName>
    <definedName name="flip_target_year">Inputs!$C$31</definedName>
    <definedName name="fuelcell_annual_energy_discharged">Inputs!$C$158</definedName>
    <definedName name="FuelCellFuel">Inputs!$C$201</definedName>
    <definedName name="ibi_fed_amount">Inputs!$C$115</definedName>
    <definedName name="ibi_fed_amount_deprbas_fed">Inputs!$G$115</definedName>
    <definedName name="ibi_fed_amount_deprbas_sta">Inputs!$H$115</definedName>
    <definedName name="ibi_fed_amount_tax_fed">Inputs!$E$115</definedName>
    <definedName name="ibi_fed_amount_tax_sta">Inputs!$F$115</definedName>
    <definedName name="ibi_fed_percent">Inputs!$C$120</definedName>
    <definedName name="ibi_fed_percent_deprbas_fed">Inputs!$G$120</definedName>
    <definedName name="ibi_fed_percent_deprbas_sta">Inputs!$H$120</definedName>
    <definedName name="ibi_fed_percent_maxvalue">Inputs!$D$120</definedName>
    <definedName name="ibi_fed_percent_tax_fed">Inputs!$E$120</definedName>
    <definedName name="ibi_fed_percent_tax_sta">Inputs!$F$120</definedName>
    <definedName name="ibi_oth_amount">Inputs!$C$118</definedName>
    <definedName name="ibi_oth_amount_deprbas_fed">Inputs!$G$118</definedName>
    <definedName name="ibi_oth_amount_deprbas_sta">Inputs!$H$118</definedName>
    <definedName name="ibi_oth_amount_tax_fed">Inputs!$E$118</definedName>
    <definedName name="ibi_oth_amount_tax_sta">Inputs!$F$118</definedName>
    <definedName name="ibi_oth_percent">Inputs!$C$123</definedName>
    <definedName name="ibi_oth_percent_deprbas_fed">Inputs!$G$123</definedName>
    <definedName name="ibi_oth_percent_deprbas_sta">Inputs!$H$123</definedName>
    <definedName name="ibi_oth_percent_maxvalue">Inputs!$D$123</definedName>
    <definedName name="ibi_oth_percent_tax_fed">Inputs!$E$123</definedName>
    <definedName name="ibi_oth_percent_tax_sta">Inputs!$F$123</definedName>
    <definedName name="ibi_sta_amount">Inputs!$C$116</definedName>
    <definedName name="ibi_sta_amount_deprbas_fed">Inputs!$G$116</definedName>
    <definedName name="ibi_sta_amount_deprbas_sta">Inputs!$H$116</definedName>
    <definedName name="ibi_sta_amount_tax_fed">Inputs!$E$116</definedName>
    <definedName name="ibi_sta_amount_tax_sta">Inputs!$F$116</definedName>
    <definedName name="ibi_sta_percent">Inputs!$C$121</definedName>
    <definedName name="ibi_sta_percent_deprbas_fed">Inputs!$G$121</definedName>
    <definedName name="ibi_sta_percent_deprbas_sta">Inputs!$H$121</definedName>
    <definedName name="ibi_sta_percent_maxvalue">Inputs!$D$121</definedName>
    <definedName name="ibi_sta_percent_tax_fed">Inputs!$E$121</definedName>
    <definedName name="ibi_sta_percent_tax_sta">Inputs!$F$121</definedName>
    <definedName name="ibi_uti_amount">Inputs!$C$117</definedName>
    <definedName name="ibi_uti_amount_deprbas_fed">Inputs!$G$117</definedName>
    <definedName name="ibi_uti_amount_deprbas_sta">Inputs!$H$117</definedName>
    <definedName name="ibi_uti_amount_tax_fed">Inputs!$E$117</definedName>
    <definedName name="ibi_uti_amount_tax_sta">Inputs!$F$117</definedName>
    <definedName name="ibi_uti_percent">Inputs!$C$122</definedName>
    <definedName name="ibi_uti_percent_deprbas_fed">Inputs!$G$122</definedName>
    <definedName name="ibi_uti_percent_deprbas_sta">Inputs!$H$122</definedName>
    <definedName name="ibi_uti_percent_maxvalue">Inputs!$D$122</definedName>
    <definedName name="ibi_uti_percent_tax_fed">Inputs!$E$122</definedName>
    <definedName name="ibi_uti_percent_tax_sta">Inputs!$F$122</definedName>
    <definedName name="inflation_rate">Inputs!$C$39</definedName>
    <definedName name="insurance_rate">Inputs!$C$46</definedName>
    <definedName name="IRRTarget">Inputs!$C$30</definedName>
    <definedName name="itc_fed_amount">Inputs!$D$175</definedName>
    <definedName name="itc_fed_amount_deprbas_fed">Inputs!$E$103</definedName>
    <definedName name="itc_fed_amount_deprbas_sta">Inputs!$F$103</definedName>
    <definedName name="itc_fed_percent">Inputs!$D$177</definedName>
    <definedName name="itc_fed_percent_deprbas_fed">Inputs!$E$106</definedName>
    <definedName name="itc_fed_percent_deprbas_sta">Inputs!$F$106</definedName>
    <definedName name="itc_fed_percent_maxvalue">Inputs!$D$178</definedName>
    <definedName name="itc_sta_amount">Inputs!$D$176</definedName>
    <definedName name="itc_sta_amount_deprbas_fed">Inputs!$E$104</definedName>
    <definedName name="itc_sta_amount_deprbas_sta">Inputs!$F$104</definedName>
    <definedName name="itc_sta_percent">Inputs!$D$179</definedName>
    <definedName name="itc_sta_percent_deprbas_fed">Inputs!$E$107</definedName>
    <definedName name="itc_sta_percent_deprbas_sta">Inputs!$F$107</definedName>
    <definedName name="itc_sta_percent_maxvalue">Inputs!$D$180</definedName>
    <definedName name="loan_moratorium">Inputs!$C$66</definedName>
    <definedName name="months_receivables_reserve">Inputs!$C$91</definedName>
    <definedName name="months_working_reserve">Inputs!$C$89</definedName>
    <definedName name="MortgageSizeOfDebt">Inputs!$C$59</definedName>
    <definedName name="NominalDiscountRate">Inputs!$C$41</definedName>
    <definedName name="non_energy_expenses_ds">Inputs!$C$149</definedName>
    <definedName name="non_energy_revenue_ds">Inputs!$C$148</definedName>
    <definedName name="om_capacity">Inputs!$C$11</definedName>
    <definedName name="om_capacity_escal">Inputs!$C$12</definedName>
    <definedName name="om_fixed">Inputs!$C$9</definedName>
    <definedName name="om_fixed_escal">Inputs!$C$10</definedName>
    <definedName name="om_fuel_cost">Inputs!$C$26</definedName>
    <definedName name="om_fuel_cost_escal">Inputs!$C$27</definedName>
    <definedName name="om_land_lease">Inputs!$C$20</definedName>
    <definedName name="om_land_lease_escal">Inputs!$C$21</definedName>
    <definedName name="om_production">Inputs!$C$13</definedName>
    <definedName name="om_production_escal">Inputs!$C$14</definedName>
    <definedName name="pbi_fed_amount">Inputs!$C$130</definedName>
    <definedName name="pbi_fed_escal">Inputs!$E$130</definedName>
    <definedName name="pbi_fed_for_ds">Inputs!$H$130</definedName>
    <definedName name="pbi_fed_tax_fed">Inputs!$F$130</definedName>
    <definedName name="pbi_fed_tax_sta">Inputs!$G$130</definedName>
    <definedName name="pbi_fed_term">Inputs!$D$130</definedName>
    <definedName name="pbi_oth_amount">Inputs!$C$133</definedName>
    <definedName name="pbi_oth_escal">Inputs!$E$133</definedName>
    <definedName name="pbi_oth_for_ds">Inputs!$H$133</definedName>
    <definedName name="pbi_oth_tax_fed">Inputs!$F$133</definedName>
    <definedName name="pbi_oth_tax_sta">Inputs!$G$133</definedName>
    <definedName name="pbi_oth_term">Inputs!$D$133</definedName>
    <definedName name="pbi_sta_amount">Inputs!$C$131</definedName>
    <definedName name="pbi_sta_escal">Inputs!$E$131</definedName>
    <definedName name="pbi_sta_for_ds">Inputs!$H$131</definedName>
    <definedName name="pbi_sta_tax_fed">Inputs!$F$131</definedName>
    <definedName name="pbi_sta_tax_sta">Inputs!$G$131</definedName>
    <definedName name="pbi_sta_term">Inputs!$D$131</definedName>
    <definedName name="pbi_uti_amount">Inputs!$C$132</definedName>
    <definedName name="pbi_uti_escal">Inputs!$E$132</definedName>
    <definedName name="pbi_uti_for_ds">Inputs!$H$132</definedName>
    <definedName name="pbi_uti_tax_fed">Inputs!$F$132</definedName>
    <definedName name="pbi_uti_tax_sta">Inputs!$G$132</definedName>
    <definedName name="pbi_uti_term">Inputs!$D$132</definedName>
    <definedName name="ppa_escalation">Inputs!$C$33</definedName>
    <definedName name="PPAPriceInput">Inputs!$C$32</definedName>
    <definedName name="prop_tax_assessed_decline">Inputs!$C$50</definedName>
    <definedName name="prop_tax_cost_assessed_percent">Inputs!$C$48</definedName>
    <definedName name="property_tax_rate">Inputs!$C$51</definedName>
    <definedName name="PropertyTaxAssessedValue">Inputs!$C$49</definedName>
    <definedName name="ptc_fed_amount">Inputs!$C$109</definedName>
    <definedName name="ptc_fed_escal">Inputs!$E$109</definedName>
    <definedName name="ptc_fed_term">Inputs!$D$109</definedName>
    <definedName name="ptc_sta_amount">Inputs!$C$110</definedName>
    <definedName name="ptc_sta_escal">Inputs!$E$110</definedName>
    <definedName name="ptc_sta_term">Inputs!$D$110</definedName>
    <definedName name="real_discount_rate">Inputs!$C$40</definedName>
    <definedName name="reserves_interest">Inputs!$C$88</definedName>
    <definedName name="sales_tax_rate">Inputs!$C$45</definedName>
    <definedName name="salvage_percentage">Inputs!$C$53</definedName>
    <definedName name="solver_adj" localSheetId="0" hidden="1">Inputs!#REF!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in" localSheetId="0" hidden="1">2</definedName>
    <definedName name="solver_neg" localSheetId="0" hidden="1">2</definedName>
    <definedName name="solver_num" localSheetId="0" hidden="1">0</definedName>
    <definedName name="solver_nwt" localSheetId="0" hidden="1">1</definedName>
    <definedName name="solver_opt" localSheetId="0" hidden="1">Inputs!#REF!</definedName>
    <definedName name="solver_pre" localSheetId="0" hidden="1">0.000001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0.1</definedName>
    <definedName name="state_tax_rate">Inputs!$C$44</definedName>
    <definedName name="system_capacity">Inputs!$C$3</definedName>
    <definedName name="system_heat_rate">Inputs!$C$25</definedName>
    <definedName name="term_int_rate">Inputs!$C$67</definedName>
    <definedName name="term_tenor">Inputs!$C$65</definedName>
    <definedName name="TODMultipliersApply">Inputs!$C$34</definedName>
    <definedName name="total_installed_cost">Inputs!$C$6</definedName>
    <definedName name="total_land_area">Inputs!$C$19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87" i="7" l="1"/>
  <c r="E87" i="7"/>
  <c r="F87" i="7"/>
  <c r="G87" i="7"/>
  <c r="H87" i="7"/>
  <c r="I87" i="7"/>
  <c r="J87" i="7"/>
  <c r="K87" i="7"/>
  <c r="L87" i="7"/>
  <c r="M87" i="7"/>
  <c r="N87" i="7"/>
  <c r="O87" i="7"/>
  <c r="P87" i="7"/>
  <c r="Q87" i="7"/>
  <c r="R87" i="7"/>
  <c r="S87" i="7"/>
  <c r="T87" i="7"/>
  <c r="U87" i="7"/>
  <c r="V87" i="7"/>
  <c r="W87" i="7"/>
  <c r="X87" i="7"/>
  <c r="Y87" i="7"/>
  <c r="Z87" i="7"/>
  <c r="AA87" i="7"/>
  <c r="AB87" i="7"/>
  <c r="AC87" i="7"/>
  <c r="AD87" i="7"/>
  <c r="AE87" i="7"/>
  <c r="AF87" i="7"/>
  <c r="AG87" i="7"/>
  <c r="AH87" i="7"/>
  <c r="AI87" i="7"/>
  <c r="AJ87" i="7"/>
  <c r="AK87" i="7"/>
  <c r="AL87" i="7"/>
  <c r="AM87" i="7"/>
  <c r="AN87" i="7"/>
  <c r="AO87" i="7"/>
  <c r="AP87" i="7"/>
  <c r="C87" i="7"/>
  <c r="D70" i="7"/>
  <c r="E70" i="7"/>
  <c r="F70" i="7"/>
  <c r="G70" i="7"/>
  <c r="H70" i="7"/>
  <c r="I70" i="7"/>
  <c r="J70" i="7"/>
  <c r="K70" i="7"/>
  <c r="L70" i="7"/>
  <c r="M70" i="7"/>
  <c r="N70" i="7"/>
  <c r="O70" i="7"/>
  <c r="P70" i="7"/>
  <c r="Q70" i="7"/>
  <c r="R70" i="7"/>
  <c r="S70" i="7"/>
  <c r="T70" i="7"/>
  <c r="U70" i="7"/>
  <c r="V70" i="7"/>
  <c r="W70" i="7"/>
  <c r="X70" i="7"/>
  <c r="Y70" i="7"/>
  <c r="Z70" i="7"/>
  <c r="AA70" i="7"/>
  <c r="AB70" i="7"/>
  <c r="AC70" i="7"/>
  <c r="AD70" i="7"/>
  <c r="AE70" i="7"/>
  <c r="AF70" i="7"/>
  <c r="AG70" i="7"/>
  <c r="AH70" i="7"/>
  <c r="AI70" i="7"/>
  <c r="AJ70" i="7"/>
  <c r="AK70" i="7"/>
  <c r="AL70" i="7"/>
  <c r="AM70" i="7"/>
  <c r="AN70" i="7"/>
  <c r="AO70" i="7"/>
  <c r="AP70" i="7"/>
  <c r="C70" i="7"/>
  <c r="D86" i="7"/>
  <c r="E86" i="7"/>
  <c r="F86" i="7"/>
  <c r="G86" i="7"/>
  <c r="H86" i="7"/>
  <c r="I86" i="7"/>
  <c r="J86" i="7"/>
  <c r="K86" i="7"/>
  <c r="L86" i="7"/>
  <c r="M86" i="7"/>
  <c r="N86" i="7"/>
  <c r="O86" i="7"/>
  <c r="P86" i="7"/>
  <c r="Q86" i="7"/>
  <c r="R86" i="7"/>
  <c r="S86" i="7"/>
  <c r="T86" i="7"/>
  <c r="U86" i="7"/>
  <c r="V86" i="7"/>
  <c r="W86" i="7"/>
  <c r="X86" i="7"/>
  <c r="Y86" i="7"/>
  <c r="Z86" i="7"/>
  <c r="AA86" i="7"/>
  <c r="AB86" i="7"/>
  <c r="AC86" i="7"/>
  <c r="AD86" i="7"/>
  <c r="AE86" i="7"/>
  <c r="AF86" i="7"/>
  <c r="AG86" i="7"/>
  <c r="AH86" i="7"/>
  <c r="AI86" i="7"/>
  <c r="AJ86" i="7"/>
  <c r="AK86" i="7"/>
  <c r="AL86" i="7"/>
  <c r="AM86" i="7"/>
  <c r="AN86" i="7"/>
  <c r="AO86" i="7"/>
  <c r="AP86" i="7"/>
  <c r="C86" i="7"/>
  <c r="D32" i="7"/>
  <c r="E32" i="7"/>
  <c r="F32" i="7"/>
  <c r="G32" i="7"/>
  <c r="H32" i="7"/>
  <c r="I32" i="7"/>
  <c r="J32" i="7"/>
  <c r="K32" i="7"/>
  <c r="L32" i="7"/>
  <c r="M32" i="7"/>
  <c r="N32" i="7"/>
  <c r="O32" i="7"/>
  <c r="P32" i="7"/>
  <c r="Q32" i="7"/>
  <c r="R32" i="7"/>
  <c r="S32" i="7"/>
  <c r="T32" i="7"/>
  <c r="U32" i="7"/>
  <c r="V32" i="7"/>
  <c r="W32" i="7"/>
  <c r="X32" i="7"/>
  <c r="Y32" i="7"/>
  <c r="Z32" i="7"/>
  <c r="AA32" i="7"/>
  <c r="AB32" i="7"/>
  <c r="AC32" i="7"/>
  <c r="AD32" i="7"/>
  <c r="AE32" i="7"/>
  <c r="AF32" i="7"/>
  <c r="AG32" i="7"/>
  <c r="AH32" i="7"/>
  <c r="AI32" i="7"/>
  <c r="AJ32" i="7"/>
  <c r="AK32" i="7"/>
  <c r="AL32" i="7"/>
  <c r="AM32" i="7"/>
  <c r="AN32" i="7"/>
  <c r="AO32" i="7"/>
  <c r="AP32" i="7"/>
  <c r="C32" i="7"/>
  <c r="B68" i="7" a="1"/>
  <c r="C68" i="7" s="1"/>
  <c r="B22" i="7" a="1"/>
  <c r="Y22" i="7" s="1"/>
  <c r="D95" i="1"/>
  <c r="D94" i="1"/>
  <c r="D93" i="1"/>
  <c r="B71" i="7" l="1"/>
  <c r="Z68" i="7"/>
  <c r="X68" i="7"/>
  <c r="U68" i="7"/>
  <c r="S68" i="7"/>
  <c r="AP68" i="7"/>
  <c r="Q68" i="7"/>
  <c r="P68" i="7"/>
  <c r="AM68" i="7"/>
  <c r="AL68" i="7"/>
  <c r="E68" i="7"/>
  <c r="M68" i="7"/>
  <c r="L68" i="7"/>
  <c r="AI68" i="7"/>
  <c r="J68" i="7"/>
  <c r="AG68" i="7"/>
  <c r="H68" i="7"/>
  <c r="G68" i="7"/>
  <c r="F68" i="7"/>
  <c r="AB68" i="7"/>
  <c r="D68" i="7"/>
  <c r="B68" i="7"/>
  <c r="Y68" i="7"/>
  <c r="W68" i="7"/>
  <c r="V68" i="7"/>
  <c r="T68" i="7"/>
  <c r="R68" i="7"/>
  <c r="AO68" i="7"/>
  <c r="AN68" i="7"/>
  <c r="O68" i="7"/>
  <c r="N68" i="7"/>
  <c r="AK68" i="7"/>
  <c r="AJ68" i="7"/>
  <c r="K68" i="7"/>
  <c r="AH68" i="7"/>
  <c r="I68" i="7"/>
  <c r="AF68" i="7"/>
  <c r="AE68" i="7"/>
  <c r="AD68" i="7"/>
  <c r="AC68" i="7"/>
  <c r="AA68" i="7"/>
  <c r="X22" i="7"/>
  <c r="W22" i="7"/>
  <c r="V22" i="7"/>
  <c r="U22" i="7"/>
  <c r="T22" i="7"/>
  <c r="S22" i="7"/>
  <c r="AP22" i="7"/>
  <c r="R22" i="7"/>
  <c r="AO22" i="7"/>
  <c r="Q22" i="7"/>
  <c r="AN22" i="7"/>
  <c r="P22" i="7"/>
  <c r="AM22" i="7"/>
  <c r="O22" i="7"/>
  <c r="AL22" i="7"/>
  <c r="N22" i="7"/>
  <c r="AK22" i="7"/>
  <c r="M22" i="7"/>
  <c r="AJ22" i="7"/>
  <c r="L22" i="7"/>
  <c r="AI22" i="7"/>
  <c r="K22" i="7"/>
  <c r="AH22" i="7"/>
  <c r="J22" i="7"/>
  <c r="AG22" i="7"/>
  <c r="I22" i="7"/>
  <c r="AF22" i="7"/>
  <c r="H22" i="7"/>
  <c r="AE22" i="7"/>
  <c r="G22" i="7"/>
  <c r="AD22" i="7"/>
  <c r="F22" i="7"/>
  <c r="AC22" i="7"/>
  <c r="E22" i="7"/>
  <c r="AB22" i="7"/>
  <c r="D22" i="7"/>
  <c r="AA22" i="7"/>
  <c r="C22" i="7"/>
  <c r="Z22" i="7"/>
  <c r="B22" i="7"/>
  <c r="B257" i="7"/>
  <c r="G264" i="7" l="1"/>
  <c r="B256" i="7" l="1"/>
  <c r="B255" i="7"/>
  <c r="C543" i="7" a="1"/>
  <c r="E543" i="7" s="1"/>
  <c r="C542" i="7" a="1"/>
  <c r="E542" i="7" s="1"/>
  <c r="C549" i="7" a="1"/>
  <c r="C549" i="7" s="1"/>
  <c r="C548" i="7" a="1"/>
  <c r="F548" i="7" s="1"/>
  <c r="C547" i="7" a="1"/>
  <c r="E547" i="7" s="1"/>
  <c r="C541" i="7" a="1"/>
  <c r="C541" i="7" s="1"/>
  <c r="B258" i="7" l="1"/>
  <c r="Z542" i="7"/>
  <c r="X542" i="7"/>
  <c r="W542" i="7"/>
  <c r="V542" i="7"/>
  <c r="T542" i="7"/>
  <c r="S542" i="7"/>
  <c r="R542" i="7"/>
  <c r="P542" i="7"/>
  <c r="O542" i="7"/>
  <c r="N542" i="7"/>
  <c r="L542" i="7"/>
  <c r="K542" i="7"/>
  <c r="J542" i="7"/>
  <c r="H542" i="7"/>
  <c r="AH547" i="7"/>
  <c r="O547" i="7"/>
  <c r="J547" i="7"/>
  <c r="F547" i="7"/>
  <c r="G542" i="7"/>
  <c r="H547" i="7"/>
  <c r="C547" i="7"/>
  <c r="AL542" i="7"/>
  <c r="AJ543" i="7"/>
  <c r="AI547" i="7"/>
  <c r="N547" i="7"/>
  <c r="L547" i="7"/>
  <c r="G547" i="7"/>
  <c r="D547" i="7"/>
  <c r="AP547" i="7"/>
  <c r="AJ542" i="7"/>
  <c r="AN547" i="7"/>
  <c r="AH543" i="7"/>
  <c r="AM547" i="7"/>
  <c r="AH542" i="7"/>
  <c r="D543" i="7"/>
  <c r="F542" i="7"/>
  <c r="AP542" i="7"/>
  <c r="D542" i="7"/>
  <c r="AN542" i="7"/>
  <c r="C542" i="7"/>
  <c r="AM542" i="7"/>
  <c r="AI543" i="7"/>
  <c r="AI542" i="7"/>
  <c r="AL547" i="7"/>
  <c r="AA542" i="7"/>
  <c r="C543" i="7"/>
  <c r="K547" i="7"/>
  <c r="AJ547" i="7"/>
  <c r="AF543" i="7"/>
  <c r="AE543" i="7"/>
  <c r="AD543" i="7"/>
  <c r="AB543" i="7"/>
  <c r="AA543" i="7"/>
  <c r="Z543" i="7"/>
  <c r="X543" i="7"/>
  <c r="W543" i="7"/>
  <c r="AF547" i="7"/>
  <c r="V543" i="7"/>
  <c r="AE547" i="7"/>
  <c r="T543" i="7"/>
  <c r="AD547" i="7"/>
  <c r="S543" i="7"/>
  <c r="AB547" i="7"/>
  <c r="R543" i="7"/>
  <c r="AA547" i="7"/>
  <c r="P543" i="7"/>
  <c r="Z547" i="7"/>
  <c r="O543" i="7"/>
  <c r="X547" i="7"/>
  <c r="N543" i="7"/>
  <c r="W547" i="7"/>
  <c r="L543" i="7"/>
  <c r="V547" i="7"/>
  <c r="K543" i="7"/>
  <c r="T547" i="7"/>
  <c r="AF542" i="7"/>
  <c r="AP543" i="7"/>
  <c r="J543" i="7"/>
  <c r="S547" i="7"/>
  <c r="AE542" i="7"/>
  <c r="AN543" i="7"/>
  <c r="H543" i="7"/>
  <c r="R547" i="7"/>
  <c r="AD542" i="7"/>
  <c r="AM543" i="7"/>
  <c r="G543" i="7"/>
  <c r="P547" i="7"/>
  <c r="AB542" i="7"/>
  <c r="AL543" i="7"/>
  <c r="F543" i="7"/>
  <c r="AO543" i="7"/>
  <c r="AK543" i="7"/>
  <c r="AG543" i="7"/>
  <c r="AC543" i="7"/>
  <c r="Y543" i="7"/>
  <c r="U543" i="7"/>
  <c r="Q543" i="7"/>
  <c r="M543" i="7"/>
  <c r="I543" i="7"/>
  <c r="AO542" i="7"/>
  <c r="AK542" i="7"/>
  <c r="AG542" i="7"/>
  <c r="AC542" i="7"/>
  <c r="Y542" i="7"/>
  <c r="U542" i="7"/>
  <c r="Q542" i="7"/>
  <c r="M542" i="7"/>
  <c r="I542" i="7"/>
  <c r="AP549" i="7"/>
  <c r="AL549" i="7"/>
  <c r="AH549" i="7"/>
  <c r="AD549" i="7"/>
  <c r="Z549" i="7"/>
  <c r="V549" i="7"/>
  <c r="R549" i="7"/>
  <c r="N549" i="7"/>
  <c r="J549" i="7"/>
  <c r="F549" i="7"/>
  <c r="Y549" i="7"/>
  <c r="E549" i="7"/>
  <c r="AO549" i="7"/>
  <c r="AK549" i="7"/>
  <c r="AG549" i="7"/>
  <c r="AC549" i="7"/>
  <c r="U549" i="7"/>
  <c r="Q549" i="7"/>
  <c r="M549" i="7"/>
  <c r="I549" i="7"/>
  <c r="AN549" i="7"/>
  <c r="AJ549" i="7"/>
  <c r="AF549" i="7"/>
  <c r="AB549" i="7"/>
  <c r="X549" i="7"/>
  <c r="T549" i="7"/>
  <c r="P549" i="7"/>
  <c r="L549" i="7"/>
  <c r="H549" i="7"/>
  <c r="D549" i="7"/>
  <c r="AM549" i="7"/>
  <c r="AI549" i="7"/>
  <c r="AE549" i="7"/>
  <c r="AA549" i="7"/>
  <c r="W549" i="7"/>
  <c r="S549" i="7"/>
  <c r="O549" i="7"/>
  <c r="K549" i="7"/>
  <c r="G549" i="7"/>
  <c r="AO548" i="7"/>
  <c r="AK548" i="7"/>
  <c r="AG548" i="7"/>
  <c r="AC548" i="7"/>
  <c r="Y548" i="7"/>
  <c r="U548" i="7"/>
  <c r="Q548" i="7"/>
  <c r="M548" i="7"/>
  <c r="I548" i="7"/>
  <c r="E548" i="7"/>
  <c r="AN548" i="7"/>
  <c r="AJ548" i="7"/>
  <c r="AF548" i="7"/>
  <c r="AB548" i="7"/>
  <c r="X548" i="7"/>
  <c r="T548" i="7"/>
  <c r="P548" i="7"/>
  <c r="L548" i="7"/>
  <c r="H548" i="7"/>
  <c r="D548" i="7"/>
  <c r="AM548" i="7"/>
  <c r="AA548" i="7"/>
  <c r="C548" i="7"/>
  <c r="AI548" i="7"/>
  <c r="AE548" i="7"/>
  <c r="W548" i="7"/>
  <c r="S548" i="7"/>
  <c r="O548" i="7"/>
  <c r="K548" i="7"/>
  <c r="G548" i="7"/>
  <c r="AP548" i="7"/>
  <c r="AL548" i="7"/>
  <c r="AH548" i="7"/>
  <c r="AD548" i="7"/>
  <c r="Z548" i="7"/>
  <c r="V548" i="7"/>
  <c r="R548" i="7"/>
  <c r="N548" i="7"/>
  <c r="J548" i="7"/>
  <c r="AO547" i="7"/>
  <c r="AK547" i="7"/>
  <c r="AG547" i="7"/>
  <c r="AC547" i="7"/>
  <c r="Y547" i="7"/>
  <c r="U547" i="7"/>
  <c r="Q547" i="7"/>
  <c r="M547" i="7"/>
  <c r="I547" i="7"/>
  <c r="AC541" i="7"/>
  <c r="AP541" i="7"/>
  <c r="AL541" i="7"/>
  <c r="AH541" i="7"/>
  <c r="AD541" i="7"/>
  <c r="Z541" i="7"/>
  <c r="V541" i="7"/>
  <c r="R541" i="7"/>
  <c r="N541" i="7"/>
  <c r="J541" i="7"/>
  <c r="F541" i="7"/>
  <c r="AO541" i="7"/>
  <c r="AK541" i="7"/>
  <c r="AG541" i="7"/>
  <c r="Y541" i="7"/>
  <c r="U541" i="7"/>
  <c r="Q541" i="7"/>
  <c r="M541" i="7"/>
  <c r="I541" i="7"/>
  <c r="E541" i="7"/>
  <c r="AN541" i="7"/>
  <c r="AJ541" i="7"/>
  <c r="AF541" i="7"/>
  <c r="AB541" i="7"/>
  <c r="X541" i="7"/>
  <c r="T541" i="7"/>
  <c r="P541" i="7"/>
  <c r="L541" i="7"/>
  <c r="H541" i="7"/>
  <c r="D541" i="7"/>
  <c r="AM541" i="7"/>
  <c r="AI541" i="7"/>
  <c r="AE541" i="7"/>
  <c r="AA541" i="7"/>
  <c r="W541" i="7"/>
  <c r="S541" i="7"/>
  <c r="O541" i="7"/>
  <c r="K541" i="7"/>
  <c r="G541" i="7"/>
  <c r="D107" i="1"/>
  <c r="D106" i="1"/>
  <c r="C107" i="1"/>
  <c r="C106" i="1"/>
  <c r="C104" i="1"/>
  <c r="C103" i="1"/>
  <c r="AP651" i="7"/>
  <c r="B18" i="7" a="1"/>
  <c r="B18" i="7" s="1"/>
  <c r="K271" i="7" l="1"/>
  <c r="K409" i="7"/>
  <c r="AM20" i="7"/>
  <c r="AE20" i="7"/>
  <c r="AA20" i="7"/>
  <c r="S20" i="7"/>
  <c r="K20" i="7"/>
  <c r="C20" i="7"/>
  <c r="AN19" i="7"/>
  <c r="AF19" i="7"/>
  <c r="AB19" i="7"/>
  <c r="T19" i="7"/>
  <c r="L19" i="7"/>
  <c r="H19" i="7"/>
  <c r="AO18" i="7"/>
  <c r="AK18" i="7"/>
  <c r="AC18" i="7"/>
  <c r="Y18" i="7"/>
  <c r="Q18" i="7"/>
  <c r="M18" i="7"/>
  <c r="E18" i="7"/>
  <c r="AL20" i="7"/>
  <c r="AD20" i="7"/>
  <c r="V20" i="7"/>
  <c r="N20" i="7"/>
  <c r="F20" i="7"/>
  <c r="AM19" i="7"/>
  <c r="AE19" i="7"/>
  <c r="W19" i="7"/>
  <c r="O19" i="7"/>
  <c r="K19" i="7"/>
  <c r="C19" i="7"/>
  <c r="AN18" i="7"/>
  <c r="AF18" i="7"/>
  <c r="X18" i="7"/>
  <c r="H18" i="7"/>
  <c r="AO20" i="7"/>
  <c r="AC20" i="7"/>
  <c r="Q20" i="7"/>
  <c r="E20" i="7"/>
  <c r="AH19" i="7"/>
  <c r="Z19" i="7"/>
  <c r="N19" i="7"/>
  <c r="B19" i="7"/>
  <c r="AE18" i="7"/>
  <c r="AA18" i="7"/>
  <c r="W18" i="7"/>
  <c r="S18" i="7"/>
  <c r="K18" i="7"/>
  <c r="G18" i="7"/>
  <c r="C18" i="7"/>
  <c r="AI20" i="7"/>
  <c r="W20" i="7"/>
  <c r="O20" i="7"/>
  <c r="G20" i="7"/>
  <c r="AJ19" i="7"/>
  <c r="X19" i="7"/>
  <c r="P19" i="7"/>
  <c r="D19" i="7"/>
  <c r="AG18" i="7"/>
  <c r="U18" i="7"/>
  <c r="I18" i="7"/>
  <c r="AP20" i="7"/>
  <c r="AH20" i="7"/>
  <c r="Z20" i="7"/>
  <c r="R20" i="7"/>
  <c r="J20" i="7"/>
  <c r="B20" i="7"/>
  <c r="AI19" i="7"/>
  <c r="AA19" i="7"/>
  <c r="S19" i="7"/>
  <c r="G19" i="7"/>
  <c r="AJ18" i="7"/>
  <c r="AB18" i="7"/>
  <c r="T18" i="7"/>
  <c r="P18" i="7"/>
  <c r="L18" i="7"/>
  <c r="D18" i="7"/>
  <c r="AK20" i="7"/>
  <c r="AG20" i="7"/>
  <c r="Y20" i="7"/>
  <c r="U20" i="7"/>
  <c r="M20" i="7"/>
  <c r="I20" i="7"/>
  <c r="AP19" i="7"/>
  <c r="AL19" i="7"/>
  <c r="AD19" i="7"/>
  <c r="V19" i="7"/>
  <c r="R19" i="7"/>
  <c r="J19" i="7"/>
  <c r="F19" i="7"/>
  <c r="AM18" i="7"/>
  <c r="AI18" i="7"/>
  <c r="O18" i="7"/>
  <c r="AN20" i="7"/>
  <c r="AJ20" i="7"/>
  <c r="AF20" i="7"/>
  <c r="AB20" i="7"/>
  <c r="X20" i="7"/>
  <c r="T20" i="7"/>
  <c r="P20" i="7"/>
  <c r="L20" i="7"/>
  <c r="H20" i="7"/>
  <c r="D20" i="7"/>
  <c r="AO19" i="7"/>
  <c r="AK19" i="7"/>
  <c r="AG19" i="7"/>
  <c r="AC19" i="7"/>
  <c r="Y19" i="7"/>
  <c r="U19" i="7"/>
  <c r="Q19" i="7"/>
  <c r="M19" i="7"/>
  <c r="I19" i="7"/>
  <c r="E19" i="7"/>
  <c r="AP18" i="7"/>
  <c r="AL18" i="7"/>
  <c r="AH18" i="7"/>
  <c r="AD18" i="7"/>
  <c r="Z18" i="7"/>
  <c r="V18" i="7"/>
  <c r="R18" i="7"/>
  <c r="N18" i="7"/>
  <c r="J18" i="7"/>
  <c r="F18" i="7"/>
  <c r="B166" i="7" a="1"/>
  <c r="B166" i="7" s="1"/>
  <c r="AJ167" i="7" l="1"/>
  <c r="AB167" i="7"/>
  <c r="T167" i="7"/>
  <c r="L167" i="7"/>
  <c r="D167" i="7"/>
  <c r="AK166" i="7"/>
  <c r="AC166" i="7"/>
  <c r="U166" i="7"/>
  <c r="I166" i="7"/>
  <c r="AM167" i="7"/>
  <c r="AA167" i="7"/>
  <c r="C167" i="7"/>
  <c r="AF166" i="7"/>
  <c r="X166" i="7"/>
  <c r="T166" i="7"/>
  <c r="L166" i="7"/>
  <c r="H166" i="7"/>
  <c r="D166" i="7"/>
  <c r="AN167" i="7"/>
  <c r="AF167" i="7"/>
  <c r="X167" i="7"/>
  <c r="P167" i="7"/>
  <c r="H167" i="7"/>
  <c r="AO166" i="7"/>
  <c r="AG166" i="7"/>
  <c r="Y166" i="7"/>
  <c r="Q166" i="7"/>
  <c r="M166" i="7"/>
  <c r="E166" i="7"/>
  <c r="AI167" i="7"/>
  <c r="AE167" i="7"/>
  <c r="W167" i="7"/>
  <c r="S167" i="7"/>
  <c r="O167" i="7"/>
  <c r="K167" i="7"/>
  <c r="G167" i="7"/>
  <c r="AN166" i="7"/>
  <c r="AJ166" i="7"/>
  <c r="AB166" i="7"/>
  <c r="P166" i="7"/>
  <c r="AP167" i="7"/>
  <c r="AL167" i="7"/>
  <c r="AH167" i="7"/>
  <c r="AD167" i="7"/>
  <c r="Z167" i="7"/>
  <c r="V167" i="7"/>
  <c r="R167" i="7"/>
  <c r="N167" i="7"/>
  <c r="J167" i="7"/>
  <c r="F167" i="7"/>
  <c r="B167" i="7"/>
  <c r="AM166" i="7"/>
  <c r="AI166" i="7"/>
  <c r="AE166" i="7"/>
  <c r="AA166" i="7"/>
  <c r="W166" i="7"/>
  <c r="S166" i="7"/>
  <c r="O166" i="7"/>
  <c r="K166" i="7"/>
  <c r="G166" i="7"/>
  <c r="C166" i="7"/>
  <c r="AO167" i="7"/>
  <c r="AK167" i="7"/>
  <c r="AG167" i="7"/>
  <c r="AC167" i="7"/>
  <c r="Y167" i="7"/>
  <c r="U167" i="7"/>
  <c r="Q167" i="7"/>
  <c r="M167" i="7"/>
  <c r="I167" i="7"/>
  <c r="E167" i="7"/>
  <c r="AP166" i="7"/>
  <c r="AL166" i="7"/>
  <c r="AH166" i="7"/>
  <c r="AD166" i="7"/>
  <c r="Z166" i="7"/>
  <c r="V166" i="7"/>
  <c r="R166" i="7"/>
  <c r="N166" i="7"/>
  <c r="J166" i="7"/>
  <c r="F166" i="7"/>
  <c r="B63" i="7" a="1"/>
  <c r="C63" i="7" s="1"/>
  <c r="AN63" i="7" l="1"/>
  <c r="AJ63" i="7"/>
  <c r="AF63" i="7"/>
  <c r="AB63" i="7"/>
  <c r="X63" i="7"/>
  <c r="T63" i="7"/>
  <c r="P63" i="7"/>
  <c r="L63" i="7"/>
  <c r="H63" i="7"/>
  <c r="D63" i="7"/>
  <c r="AP63" i="7"/>
  <c r="AL63" i="7"/>
  <c r="AH63" i="7"/>
  <c r="AD63" i="7"/>
  <c r="Z63" i="7"/>
  <c r="V63" i="7"/>
  <c r="R63" i="7"/>
  <c r="N63" i="7"/>
  <c r="J63" i="7"/>
  <c r="F63" i="7"/>
  <c r="B63" i="7"/>
  <c r="AO63" i="7"/>
  <c r="AK63" i="7"/>
  <c r="AG63" i="7"/>
  <c r="AC63" i="7"/>
  <c r="Y63" i="7"/>
  <c r="U63" i="7"/>
  <c r="Q63" i="7"/>
  <c r="M63" i="7"/>
  <c r="I63" i="7"/>
  <c r="E63" i="7"/>
  <c r="AM63" i="7"/>
  <c r="AI63" i="7"/>
  <c r="AE63" i="7"/>
  <c r="AA63" i="7"/>
  <c r="W63" i="7"/>
  <c r="S63" i="7"/>
  <c r="O63" i="7"/>
  <c r="K63" i="7"/>
  <c r="G63" i="7"/>
  <c r="B618" i="7" l="1"/>
  <c r="B61" i="7" l="1" a="1"/>
  <c r="B61" i="7" s="1"/>
  <c r="B55" i="7" a="1"/>
  <c r="G55" i="7" s="1"/>
  <c r="B8" i="7" a="1"/>
  <c r="C8" i="7" s="1"/>
  <c r="B50" i="7" a="1"/>
  <c r="C50" i="7" s="1"/>
  <c r="P58" i="7" l="1"/>
  <c r="AM59" i="7"/>
  <c r="W55" i="7"/>
  <c r="AL58" i="7"/>
  <c r="AD56" i="7"/>
  <c r="AJ57" i="7"/>
  <c r="R59" i="7"/>
  <c r="O57" i="7"/>
  <c r="AC59" i="7"/>
  <c r="G59" i="7"/>
  <c r="AA58" i="7"/>
  <c r="F58" i="7"/>
  <c r="Y57" i="7"/>
  <c r="D57" i="7"/>
  <c r="I56" i="7"/>
  <c r="AD59" i="7"/>
  <c r="I59" i="7"/>
  <c r="AB58" i="7"/>
  <c r="G58" i="7"/>
  <c r="AA57" i="7"/>
  <c r="E57" i="7"/>
  <c r="N56" i="7"/>
  <c r="AO59" i="7"/>
  <c r="S59" i="7"/>
  <c r="AM58" i="7"/>
  <c r="R58" i="7"/>
  <c r="AK57" i="7"/>
  <c r="P57" i="7"/>
  <c r="AJ56" i="7"/>
  <c r="AE55" i="7"/>
  <c r="AN62" i="7"/>
  <c r="AJ62" i="7"/>
  <c r="AF62" i="7"/>
  <c r="AB62" i="7"/>
  <c r="X62" i="7"/>
  <c r="T62" i="7"/>
  <c r="P62" i="7"/>
  <c r="L62" i="7"/>
  <c r="H62" i="7"/>
  <c r="D62" i="7"/>
  <c r="AO61" i="7"/>
  <c r="AK61" i="7"/>
  <c r="AG61" i="7"/>
  <c r="AC61" i="7"/>
  <c r="Y61" i="7"/>
  <c r="U61" i="7"/>
  <c r="Q61" i="7"/>
  <c r="M61" i="7"/>
  <c r="I61" i="7"/>
  <c r="E61" i="7"/>
  <c r="AM62" i="7"/>
  <c r="AI62" i="7"/>
  <c r="AE62" i="7"/>
  <c r="AA62" i="7"/>
  <c r="W62" i="7"/>
  <c r="S62" i="7"/>
  <c r="O62" i="7"/>
  <c r="K62" i="7"/>
  <c r="G62" i="7"/>
  <c r="C62" i="7"/>
  <c r="AN61" i="7"/>
  <c r="AJ61" i="7"/>
  <c r="AF61" i="7"/>
  <c r="AB61" i="7"/>
  <c r="X61" i="7"/>
  <c r="T61" i="7"/>
  <c r="P61" i="7"/>
  <c r="L61" i="7"/>
  <c r="H61" i="7"/>
  <c r="D61" i="7"/>
  <c r="AP62" i="7"/>
  <c r="AL62" i="7"/>
  <c r="AH62" i="7"/>
  <c r="AD62" i="7"/>
  <c r="Z62" i="7"/>
  <c r="V62" i="7"/>
  <c r="R62" i="7"/>
  <c r="N62" i="7"/>
  <c r="J62" i="7"/>
  <c r="F62" i="7"/>
  <c r="B62" i="7"/>
  <c r="AM61" i="7"/>
  <c r="AI61" i="7"/>
  <c r="AE61" i="7"/>
  <c r="AA61" i="7"/>
  <c r="W61" i="7"/>
  <c r="S61" i="7"/>
  <c r="O61" i="7"/>
  <c r="K61" i="7"/>
  <c r="G61" i="7"/>
  <c r="C61" i="7"/>
  <c r="AO62" i="7"/>
  <c r="AK62" i="7"/>
  <c r="AG62" i="7"/>
  <c r="AC62" i="7"/>
  <c r="Y62" i="7"/>
  <c r="U62" i="7"/>
  <c r="Q62" i="7"/>
  <c r="M62" i="7"/>
  <c r="I62" i="7"/>
  <c r="E62" i="7"/>
  <c r="AP61" i="7"/>
  <c r="AL61" i="7"/>
  <c r="AH61" i="7"/>
  <c r="AD61" i="7"/>
  <c r="Z61" i="7"/>
  <c r="V61" i="7"/>
  <c r="R61" i="7"/>
  <c r="N61" i="7"/>
  <c r="J61" i="7"/>
  <c r="F61" i="7"/>
  <c r="AI59" i="7"/>
  <c r="Y59" i="7"/>
  <c r="N59" i="7"/>
  <c r="C59" i="7"/>
  <c r="AH58" i="7"/>
  <c r="W58" i="7"/>
  <c r="L58" i="7"/>
  <c r="B58" i="7"/>
  <c r="AF57" i="7"/>
  <c r="U57" i="7"/>
  <c r="K57" i="7"/>
  <c r="AO56" i="7"/>
  <c r="Y56" i="7"/>
  <c r="D56" i="7"/>
  <c r="O55" i="7"/>
  <c r="AH59" i="7"/>
  <c r="W59" i="7"/>
  <c r="M59" i="7"/>
  <c r="B59" i="7"/>
  <c r="AF58" i="7"/>
  <c r="V58" i="7"/>
  <c r="K58" i="7"/>
  <c r="AO57" i="7"/>
  <c r="AE57" i="7"/>
  <c r="T57" i="7"/>
  <c r="I57" i="7"/>
  <c r="AN56" i="7"/>
  <c r="T56" i="7"/>
  <c r="AM55" i="7"/>
  <c r="E55" i="7"/>
  <c r="B55" i="7"/>
  <c r="J55" i="7"/>
  <c r="R55" i="7"/>
  <c r="Z55" i="7"/>
  <c r="AH55" i="7"/>
  <c r="AO55" i="7"/>
  <c r="E56" i="7"/>
  <c r="J56" i="7"/>
  <c r="P56" i="7"/>
  <c r="U56" i="7"/>
  <c r="Z56" i="7"/>
  <c r="AF56" i="7"/>
  <c r="AK56" i="7"/>
  <c r="AP56" i="7"/>
  <c r="G57" i="7"/>
  <c r="L57" i="7"/>
  <c r="Q57" i="7"/>
  <c r="W57" i="7"/>
  <c r="AB57" i="7"/>
  <c r="AG57" i="7"/>
  <c r="AM57" i="7"/>
  <c r="C58" i="7"/>
  <c r="H58" i="7"/>
  <c r="N58" i="7"/>
  <c r="S58" i="7"/>
  <c r="X58" i="7"/>
  <c r="AD58" i="7"/>
  <c r="AI58" i="7"/>
  <c r="AN58" i="7"/>
  <c r="E59" i="7"/>
  <c r="J59" i="7"/>
  <c r="O59" i="7"/>
  <c r="U59" i="7"/>
  <c r="Z59" i="7"/>
  <c r="AE59" i="7"/>
  <c r="AK59" i="7"/>
  <c r="AP59" i="7"/>
  <c r="C55" i="7"/>
  <c r="K55" i="7"/>
  <c r="S55" i="7"/>
  <c r="AA55" i="7"/>
  <c r="AI55" i="7"/>
  <c r="AP55" i="7"/>
  <c r="F56" i="7"/>
  <c r="L56" i="7"/>
  <c r="Q56" i="7"/>
  <c r="V56" i="7"/>
  <c r="AB56" i="7"/>
  <c r="AG56" i="7"/>
  <c r="AL56" i="7"/>
  <c r="C57" i="7"/>
  <c r="H57" i="7"/>
  <c r="M57" i="7"/>
  <c r="S57" i="7"/>
  <c r="X57" i="7"/>
  <c r="AC57" i="7"/>
  <c r="AI57" i="7"/>
  <c r="AN57" i="7"/>
  <c r="D58" i="7"/>
  <c r="J58" i="7"/>
  <c r="O58" i="7"/>
  <c r="T58" i="7"/>
  <c r="Z58" i="7"/>
  <c r="AE58" i="7"/>
  <c r="AJ58" i="7"/>
  <c r="AP58" i="7"/>
  <c r="F59" i="7"/>
  <c r="K59" i="7"/>
  <c r="Q59" i="7"/>
  <c r="V59" i="7"/>
  <c r="AA59" i="7"/>
  <c r="AG59" i="7"/>
  <c r="AL59" i="7"/>
  <c r="F55" i="7"/>
  <c r="N55" i="7"/>
  <c r="V55" i="7"/>
  <c r="AD55" i="7"/>
  <c r="AL55" i="7"/>
  <c r="B56" i="7"/>
  <c r="H56" i="7"/>
  <c r="M56" i="7"/>
  <c r="R56" i="7"/>
  <c r="X56" i="7"/>
  <c r="AC56" i="7"/>
  <c r="AH56" i="7"/>
  <c r="AN59" i="7"/>
  <c r="AJ59" i="7"/>
  <c r="AF59" i="7"/>
  <c r="AB59" i="7"/>
  <c r="X59" i="7"/>
  <c r="T59" i="7"/>
  <c r="P59" i="7"/>
  <c r="L59" i="7"/>
  <c r="H59" i="7"/>
  <c r="D59" i="7"/>
  <c r="AO58" i="7"/>
  <c r="AK58" i="7"/>
  <c r="AG58" i="7"/>
  <c r="AC58" i="7"/>
  <c r="Y58" i="7"/>
  <c r="U58" i="7"/>
  <c r="Q58" i="7"/>
  <c r="M58" i="7"/>
  <c r="I58" i="7"/>
  <c r="E58" i="7"/>
  <c r="AP57" i="7"/>
  <c r="AL57" i="7"/>
  <c r="AH57" i="7"/>
  <c r="AD57" i="7"/>
  <c r="Z57" i="7"/>
  <c r="V57" i="7"/>
  <c r="R57" i="7"/>
  <c r="N57" i="7"/>
  <c r="J57" i="7"/>
  <c r="F57" i="7"/>
  <c r="B57" i="7"/>
  <c r="AM56" i="7"/>
  <c r="AI56" i="7"/>
  <c r="AE56" i="7"/>
  <c r="AA56" i="7"/>
  <c r="W56" i="7"/>
  <c r="S56" i="7"/>
  <c r="O56" i="7"/>
  <c r="K56" i="7"/>
  <c r="G56" i="7"/>
  <c r="C56" i="7"/>
  <c r="AN55" i="7"/>
  <c r="AJ55" i="7"/>
  <c r="AF55" i="7"/>
  <c r="AB55" i="7"/>
  <c r="X55" i="7"/>
  <c r="T55" i="7"/>
  <c r="P55" i="7"/>
  <c r="L55" i="7"/>
  <c r="H55" i="7"/>
  <c r="D55" i="7"/>
  <c r="AK55" i="7"/>
  <c r="AG55" i="7"/>
  <c r="AC55" i="7"/>
  <c r="Y55" i="7"/>
  <c r="U55" i="7"/>
  <c r="Q55" i="7"/>
  <c r="M55" i="7"/>
  <c r="I55" i="7"/>
  <c r="AN10" i="7"/>
  <c r="AJ10" i="7"/>
  <c r="AF10" i="7"/>
  <c r="AB10" i="7"/>
  <c r="X10" i="7"/>
  <c r="T10" i="7"/>
  <c r="P10" i="7"/>
  <c r="L10" i="7"/>
  <c r="H10" i="7"/>
  <c r="D10" i="7"/>
  <c r="AO9" i="7"/>
  <c r="AK9" i="7"/>
  <c r="AG9" i="7"/>
  <c r="AC9" i="7"/>
  <c r="Y9" i="7"/>
  <c r="U9" i="7"/>
  <c r="Q9" i="7"/>
  <c r="M9" i="7"/>
  <c r="I9" i="7"/>
  <c r="E9" i="7"/>
  <c r="AP8" i="7"/>
  <c r="AL8" i="7"/>
  <c r="AH8" i="7"/>
  <c r="AD8" i="7"/>
  <c r="Z8" i="7"/>
  <c r="V8" i="7"/>
  <c r="R8" i="7"/>
  <c r="N8" i="7"/>
  <c r="J8" i="7"/>
  <c r="F8" i="7"/>
  <c r="B8" i="7"/>
  <c r="AM10" i="7"/>
  <c r="AI10" i="7"/>
  <c r="AE10" i="7"/>
  <c r="AA10" i="7"/>
  <c r="W10" i="7"/>
  <c r="S10" i="7"/>
  <c r="O10" i="7"/>
  <c r="K10" i="7"/>
  <c r="G10" i="7"/>
  <c r="C10" i="7"/>
  <c r="AN9" i="7"/>
  <c r="AJ9" i="7"/>
  <c r="AF9" i="7"/>
  <c r="AB9" i="7"/>
  <c r="X9" i="7"/>
  <c r="T9" i="7"/>
  <c r="P9" i="7"/>
  <c r="L9" i="7"/>
  <c r="H9" i="7"/>
  <c r="D9" i="7"/>
  <c r="AO8" i="7"/>
  <c r="AK8" i="7"/>
  <c r="AG8" i="7"/>
  <c r="AC8" i="7"/>
  <c r="Y8" i="7"/>
  <c r="U8" i="7"/>
  <c r="Q8" i="7"/>
  <c r="M8" i="7"/>
  <c r="I8" i="7"/>
  <c r="E8" i="7"/>
  <c r="AH10" i="7"/>
  <c r="V10" i="7"/>
  <c r="N10" i="7"/>
  <c r="F10" i="7"/>
  <c r="AI9" i="7"/>
  <c r="S9" i="7"/>
  <c r="G9" i="7"/>
  <c r="AJ8" i="7"/>
  <c r="X8" i="7"/>
  <c r="P8" i="7"/>
  <c r="H8" i="7"/>
  <c r="D8" i="7"/>
  <c r="AP10" i="7"/>
  <c r="AL10" i="7"/>
  <c r="AD10" i="7"/>
  <c r="Z10" i="7"/>
  <c r="R10" i="7"/>
  <c r="J10" i="7"/>
  <c r="B10" i="7"/>
  <c r="AM9" i="7"/>
  <c r="AE9" i="7"/>
  <c r="AA9" i="7"/>
  <c r="W9" i="7"/>
  <c r="O9" i="7"/>
  <c r="K9" i="7"/>
  <c r="C9" i="7"/>
  <c r="AN8" i="7"/>
  <c r="AF8" i="7"/>
  <c r="AB8" i="7"/>
  <c r="T8" i="7"/>
  <c r="L8" i="7"/>
  <c r="AO10" i="7"/>
  <c r="AK10" i="7"/>
  <c r="AG10" i="7"/>
  <c r="AC10" i="7"/>
  <c r="Y10" i="7"/>
  <c r="U10" i="7"/>
  <c r="Q10" i="7"/>
  <c r="M10" i="7"/>
  <c r="I10" i="7"/>
  <c r="E10" i="7"/>
  <c r="AP9" i="7"/>
  <c r="AL9" i="7"/>
  <c r="AH9" i="7"/>
  <c r="AD9" i="7"/>
  <c r="Z9" i="7"/>
  <c r="V9" i="7"/>
  <c r="R9" i="7"/>
  <c r="N9" i="7"/>
  <c r="J9" i="7"/>
  <c r="F9" i="7"/>
  <c r="B9" i="7"/>
  <c r="AM8" i="7"/>
  <c r="AI8" i="7"/>
  <c r="AE8" i="7"/>
  <c r="AA8" i="7"/>
  <c r="W8" i="7"/>
  <c r="S8" i="7"/>
  <c r="O8" i="7"/>
  <c r="K8" i="7"/>
  <c r="G8" i="7"/>
  <c r="AJ53" i="7"/>
  <c r="AB53" i="7"/>
  <c r="T53" i="7"/>
  <c r="AK52" i="7"/>
  <c r="E52" i="7"/>
  <c r="V51" i="7"/>
  <c r="F51" i="7"/>
  <c r="W50" i="7"/>
  <c r="Z53" i="7"/>
  <c r="B53" i="7"/>
  <c r="AM53" i="7"/>
  <c r="AE53" i="7"/>
  <c r="W53" i="7"/>
  <c r="O53" i="7"/>
  <c r="G53" i="7"/>
  <c r="AN52" i="7"/>
  <c r="AF52" i="7"/>
  <c r="X52" i="7"/>
  <c r="P52" i="7"/>
  <c r="H52" i="7"/>
  <c r="AO51" i="7"/>
  <c r="AG51" i="7"/>
  <c r="Y51" i="7"/>
  <c r="Q51" i="7"/>
  <c r="I51" i="7"/>
  <c r="AP50" i="7"/>
  <c r="AH50" i="7"/>
  <c r="Z50" i="7"/>
  <c r="R50" i="7"/>
  <c r="J50" i="7"/>
  <c r="B50" i="7"/>
  <c r="AL53" i="7"/>
  <c r="AD53" i="7"/>
  <c r="V53" i="7"/>
  <c r="N53" i="7"/>
  <c r="F53" i="7"/>
  <c r="AM52" i="7"/>
  <c r="AE52" i="7"/>
  <c r="W52" i="7"/>
  <c r="O52" i="7"/>
  <c r="G52" i="7"/>
  <c r="AN51" i="7"/>
  <c r="AF51" i="7"/>
  <c r="X51" i="7"/>
  <c r="P51" i="7"/>
  <c r="H51" i="7"/>
  <c r="AO50" i="7"/>
  <c r="AG50" i="7"/>
  <c r="Y50" i="7"/>
  <c r="Q50" i="7"/>
  <c r="I50" i="7"/>
  <c r="AK53" i="7"/>
  <c r="AC53" i="7"/>
  <c r="U53" i="7"/>
  <c r="M53" i="7"/>
  <c r="E53" i="7"/>
  <c r="AL52" i="7"/>
  <c r="AD52" i="7"/>
  <c r="V52" i="7"/>
  <c r="N52" i="7"/>
  <c r="F52" i="7"/>
  <c r="AM51" i="7"/>
  <c r="AE51" i="7"/>
  <c r="W51" i="7"/>
  <c r="O51" i="7"/>
  <c r="G51" i="7"/>
  <c r="AN50" i="7"/>
  <c r="AF50" i="7"/>
  <c r="X50" i="7"/>
  <c r="P50" i="7"/>
  <c r="H50" i="7"/>
  <c r="D53" i="7"/>
  <c r="U52" i="7"/>
  <c r="AL51" i="7"/>
  <c r="N51" i="7"/>
  <c r="AE50" i="7"/>
  <c r="G50" i="7"/>
  <c r="AI53" i="7"/>
  <c r="AA53" i="7"/>
  <c r="S53" i="7"/>
  <c r="K53" i="7"/>
  <c r="C53" i="7"/>
  <c r="AJ52" i="7"/>
  <c r="AB52" i="7"/>
  <c r="T52" i="7"/>
  <c r="L52" i="7"/>
  <c r="D52" i="7"/>
  <c r="AK51" i="7"/>
  <c r="AC51" i="7"/>
  <c r="U51" i="7"/>
  <c r="M51" i="7"/>
  <c r="E51" i="7"/>
  <c r="AL50" i="7"/>
  <c r="AD50" i="7"/>
  <c r="V50" i="7"/>
  <c r="N50" i="7"/>
  <c r="F50" i="7"/>
  <c r="R53" i="7"/>
  <c r="AI52" i="7"/>
  <c r="S52" i="7"/>
  <c r="K52" i="7"/>
  <c r="C52" i="7"/>
  <c r="AB51" i="7"/>
  <c r="T51" i="7"/>
  <c r="L51" i="7"/>
  <c r="D51" i="7"/>
  <c r="AK50" i="7"/>
  <c r="AC50" i="7"/>
  <c r="U50" i="7"/>
  <c r="M50" i="7"/>
  <c r="E50" i="7"/>
  <c r="L53" i="7"/>
  <c r="AC52" i="7"/>
  <c r="M52" i="7"/>
  <c r="AD51" i="7"/>
  <c r="AM50" i="7"/>
  <c r="O50" i="7"/>
  <c r="AP53" i="7"/>
  <c r="AH53" i="7"/>
  <c r="J53" i="7"/>
  <c r="AA52" i="7"/>
  <c r="AJ51" i="7"/>
  <c r="AO53" i="7"/>
  <c r="AG53" i="7"/>
  <c r="Y53" i="7"/>
  <c r="Q53" i="7"/>
  <c r="I53" i="7"/>
  <c r="AP52" i="7"/>
  <c r="AH52" i="7"/>
  <c r="Z52" i="7"/>
  <c r="R52" i="7"/>
  <c r="J52" i="7"/>
  <c r="B52" i="7"/>
  <c r="AI51" i="7"/>
  <c r="AA51" i="7"/>
  <c r="S51" i="7"/>
  <c r="K51" i="7"/>
  <c r="C51" i="7"/>
  <c r="AJ50" i="7"/>
  <c r="AB50" i="7"/>
  <c r="T50" i="7"/>
  <c r="L50" i="7"/>
  <c r="D50" i="7"/>
  <c r="AN53" i="7"/>
  <c r="AF53" i="7"/>
  <c r="X53" i="7"/>
  <c r="P53" i="7"/>
  <c r="H53" i="7"/>
  <c r="AO52" i="7"/>
  <c r="AG52" i="7"/>
  <c r="Y52" i="7"/>
  <c r="Q52" i="7"/>
  <c r="I52" i="7"/>
  <c r="AP51" i="7"/>
  <c r="AH51" i="7"/>
  <c r="Z51" i="7"/>
  <c r="R51" i="7"/>
  <c r="J51" i="7"/>
  <c r="B51" i="7"/>
  <c r="AI50" i="7"/>
  <c r="AA50" i="7"/>
  <c r="S50" i="7"/>
  <c r="K50" i="7"/>
  <c r="B6" i="7" l="1" a="1"/>
  <c r="D6" i="7" s="1"/>
  <c r="B5" i="7" a="1"/>
  <c r="B5" i="7" s="1"/>
  <c r="AL6" i="7" l="1"/>
  <c r="AG6" i="7"/>
  <c r="AA6" i="7"/>
  <c r="V6" i="7"/>
  <c r="Q6" i="7"/>
  <c r="K6" i="7"/>
  <c r="F6" i="7"/>
  <c r="AP6" i="7"/>
  <c r="AK6" i="7"/>
  <c r="AE6" i="7"/>
  <c r="Z6" i="7"/>
  <c r="U6" i="7"/>
  <c r="O6" i="7"/>
  <c r="J6" i="7"/>
  <c r="E6" i="7"/>
  <c r="AO6" i="7"/>
  <c r="AI6" i="7"/>
  <c r="AD6" i="7"/>
  <c r="Y6" i="7"/>
  <c r="S6" i="7"/>
  <c r="N6" i="7"/>
  <c r="I6" i="7"/>
  <c r="C6" i="7"/>
  <c r="AM6" i="7"/>
  <c r="AH6" i="7"/>
  <c r="AC6" i="7"/>
  <c r="W6" i="7"/>
  <c r="R6" i="7"/>
  <c r="M6" i="7"/>
  <c r="G6" i="7"/>
  <c r="B6" i="7"/>
  <c r="B7" i="7" s="1"/>
  <c r="AN6" i="7"/>
  <c r="AJ6" i="7"/>
  <c r="AF6" i="7"/>
  <c r="AB6" i="7"/>
  <c r="X6" i="7"/>
  <c r="T6" i="7"/>
  <c r="P6" i="7"/>
  <c r="L6" i="7"/>
  <c r="H6" i="7"/>
  <c r="AH5" i="7"/>
  <c r="AH45" i="7" s="1"/>
  <c r="AO5" i="7"/>
  <c r="AO45" i="7" s="1"/>
  <c r="AK5" i="7"/>
  <c r="AK45" i="7" s="1"/>
  <c r="AG5" i="7"/>
  <c r="AG45" i="7" s="1"/>
  <c r="AC5" i="7"/>
  <c r="AC45" i="7" s="1"/>
  <c r="Y5" i="7"/>
  <c r="Y45" i="7" s="1"/>
  <c r="U5" i="7"/>
  <c r="U45" i="7" s="1"/>
  <c r="Q5" i="7"/>
  <c r="Q45" i="7" s="1"/>
  <c r="M5" i="7"/>
  <c r="M45" i="7" s="1"/>
  <c r="I5" i="7"/>
  <c r="I45" i="7" s="1"/>
  <c r="E5" i="7"/>
  <c r="E45" i="7" s="1"/>
  <c r="AN5" i="7"/>
  <c r="AN45" i="7" s="1"/>
  <c r="AJ5" i="7"/>
  <c r="AJ45" i="7" s="1"/>
  <c r="AF5" i="7"/>
  <c r="AF45" i="7" s="1"/>
  <c r="AB5" i="7"/>
  <c r="AB45" i="7" s="1"/>
  <c r="X5" i="7"/>
  <c r="X45" i="7" s="1"/>
  <c r="T5" i="7"/>
  <c r="T45" i="7" s="1"/>
  <c r="P5" i="7"/>
  <c r="P45" i="7" s="1"/>
  <c r="L5" i="7"/>
  <c r="L45" i="7" s="1"/>
  <c r="H5" i="7"/>
  <c r="H45" i="7" s="1"/>
  <c r="D5" i="7"/>
  <c r="D45" i="7" s="1"/>
  <c r="AM5" i="7"/>
  <c r="AM45" i="7" s="1"/>
  <c r="AI5" i="7"/>
  <c r="AI45" i="7" s="1"/>
  <c r="AE5" i="7"/>
  <c r="AE45" i="7" s="1"/>
  <c r="AA5" i="7"/>
  <c r="AA45" i="7" s="1"/>
  <c r="W5" i="7"/>
  <c r="W45" i="7" s="1"/>
  <c r="S5" i="7"/>
  <c r="S45" i="7" s="1"/>
  <c r="O5" i="7"/>
  <c r="O45" i="7" s="1"/>
  <c r="K5" i="7"/>
  <c r="K45" i="7" s="1"/>
  <c r="G5" i="7"/>
  <c r="G45" i="7" s="1"/>
  <c r="C5" i="7"/>
  <c r="C45" i="7" s="1"/>
  <c r="AP5" i="7"/>
  <c r="AP45" i="7" s="1"/>
  <c r="AL5" i="7"/>
  <c r="AL45" i="7" s="1"/>
  <c r="AD5" i="7"/>
  <c r="AD45" i="7" s="1"/>
  <c r="Z5" i="7"/>
  <c r="Z45" i="7" s="1"/>
  <c r="V5" i="7"/>
  <c r="V45" i="7" s="1"/>
  <c r="R5" i="7"/>
  <c r="R45" i="7" s="1"/>
  <c r="N5" i="7"/>
  <c r="N45" i="7" s="1"/>
  <c r="J5" i="7"/>
  <c r="J45" i="7" s="1"/>
  <c r="F5" i="7"/>
  <c r="F45" i="7" s="1"/>
  <c r="C14" i="7" l="1"/>
  <c r="C602" i="7"/>
  <c r="AB602" i="7"/>
  <c r="AB598" i="7"/>
  <c r="F602" i="7"/>
  <c r="F598" i="7"/>
  <c r="AP602" i="7"/>
  <c r="AP598" i="7"/>
  <c r="AE602" i="7"/>
  <c r="AE598" i="7"/>
  <c r="X602" i="7"/>
  <c r="X598" i="7"/>
  <c r="Q602" i="7"/>
  <c r="Q598" i="7"/>
  <c r="D602" i="7"/>
  <c r="D598" i="7"/>
  <c r="U602" i="7"/>
  <c r="U598" i="7"/>
  <c r="G602" i="7"/>
  <c r="G598" i="7"/>
  <c r="Y602" i="7"/>
  <c r="Y598" i="7"/>
  <c r="R602" i="7"/>
  <c r="R598" i="7"/>
  <c r="AJ602" i="7"/>
  <c r="AJ598" i="7"/>
  <c r="AC602" i="7"/>
  <c r="AC598" i="7"/>
  <c r="AN602" i="7"/>
  <c r="AN598" i="7"/>
  <c r="J602" i="7"/>
  <c r="J598" i="7"/>
  <c r="AI602" i="7"/>
  <c r="AI598" i="7"/>
  <c r="N602" i="7"/>
  <c r="N598" i="7"/>
  <c r="AM602" i="7"/>
  <c r="AM598" i="7"/>
  <c r="AF602" i="7"/>
  <c r="AF598" i="7"/>
  <c r="K602" i="7"/>
  <c r="K598" i="7"/>
  <c r="V602" i="7"/>
  <c r="V598" i="7"/>
  <c r="O602" i="7"/>
  <c r="O598" i="7"/>
  <c r="H602" i="7"/>
  <c r="H598" i="7"/>
  <c r="AG602" i="7"/>
  <c r="AG598" i="7"/>
  <c r="Z602" i="7"/>
  <c r="Z598" i="7"/>
  <c r="S602" i="7"/>
  <c r="S598" i="7"/>
  <c r="L602" i="7"/>
  <c r="L598" i="7"/>
  <c r="E602" i="7"/>
  <c r="E598" i="7"/>
  <c r="AK602" i="7"/>
  <c r="AK598" i="7"/>
  <c r="AD602" i="7"/>
  <c r="AD598" i="7"/>
  <c r="W602" i="7"/>
  <c r="W598" i="7"/>
  <c r="P602" i="7"/>
  <c r="P598" i="7"/>
  <c r="I602" i="7"/>
  <c r="I598" i="7"/>
  <c r="AO602" i="7"/>
  <c r="AO598" i="7"/>
  <c r="AL602" i="7"/>
  <c r="AL598" i="7"/>
  <c r="AA602" i="7"/>
  <c r="AA598" i="7"/>
  <c r="T602" i="7"/>
  <c r="T598" i="7"/>
  <c r="M602" i="7"/>
  <c r="M598" i="7"/>
  <c r="AH602" i="7"/>
  <c r="AH598" i="7"/>
  <c r="AP594" i="7"/>
  <c r="AP590" i="7"/>
  <c r="AP563" i="7"/>
  <c r="AP557" i="7"/>
  <c r="AP155" i="7"/>
  <c r="AP14" i="7"/>
  <c r="AB594" i="7"/>
  <c r="AB590" i="7"/>
  <c r="AB563" i="7"/>
  <c r="AB557" i="7"/>
  <c r="AB155" i="7"/>
  <c r="AB14" i="7"/>
  <c r="G7" i="7"/>
  <c r="G594" i="7"/>
  <c r="G590" i="7"/>
  <c r="G563" i="7"/>
  <c r="G557" i="7"/>
  <c r="G155" i="7"/>
  <c r="G14" i="7"/>
  <c r="Q594" i="7"/>
  <c r="Q590" i="7"/>
  <c r="Q563" i="7"/>
  <c r="Q557" i="7"/>
  <c r="Q155" i="7"/>
  <c r="Q14" i="7"/>
  <c r="AM594" i="7"/>
  <c r="AM590" i="7"/>
  <c r="AM563" i="7"/>
  <c r="AM557" i="7"/>
  <c r="AM155" i="7"/>
  <c r="AM14" i="7"/>
  <c r="R594" i="7"/>
  <c r="R590" i="7"/>
  <c r="R563" i="7"/>
  <c r="R557" i="7"/>
  <c r="R155" i="7"/>
  <c r="R14" i="7"/>
  <c r="D7" i="7"/>
  <c r="D594" i="7"/>
  <c r="D590" i="7"/>
  <c r="D563" i="7"/>
  <c r="D557" i="7"/>
  <c r="D155" i="7"/>
  <c r="D14" i="7"/>
  <c r="AN594" i="7"/>
  <c r="AN590" i="7"/>
  <c r="AN563" i="7"/>
  <c r="AN557" i="7"/>
  <c r="AN155" i="7"/>
  <c r="AN14" i="7"/>
  <c r="X594" i="7"/>
  <c r="X590" i="7"/>
  <c r="X563" i="7"/>
  <c r="X557" i="7"/>
  <c r="X155" i="7"/>
  <c r="X14" i="7"/>
  <c r="J594" i="7"/>
  <c r="J590" i="7"/>
  <c r="J563" i="7"/>
  <c r="J557" i="7"/>
  <c r="J155" i="7"/>
  <c r="J14" i="7"/>
  <c r="U594" i="7"/>
  <c r="U590" i="7"/>
  <c r="U563" i="7"/>
  <c r="U557" i="7"/>
  <c r="U155" i="7"/>
  <c r="U14" i="7"/>
  <c r="Y594" i="7"/>
  <c r="Y590" i="7"/>
  <c r="Y563" i="7"/>
  <c r="Y557" i="7"/>
  <c r="Y155" i="7"/>
  <c r="Y14" i="7"/>
  <c r="AC594" i="7"/>
  <c r="AC590" i="7"/>
  <c r="AC563" i="7"/>
  <c r="AC557" i="7"/>
  <c r="AC155" i="7"/>
  <c r="AC14" i="7"/>
  <c r="O594" i="7"/>
  <c r="O590" i="7"/>
  <c r="O563" i="7"/>
  <c r="O557" i="7"/>
  <c r="O155" i="7"/>
  <c r="O14" i="7"/>
  <c r="S594" i="7"/>
  <c r="S590" i="7"/>
  <c r="S563" i="7"/>
  <c r="S557" i="7"/>
  <c r="S155" i="7"/>
  <c r="S14" i="7"/>
  <c r="E594" i="7"/>
  <c r="E590" i="7"/>
  <c r="E563" i="7"/>
  <c r="E557" i="7"/>
  <c r="E155" i="7"/>
  <c r="E14" i="7"/>
  <c r="AK594" i="7"/>
  <c r="AK590" i="7"/>
  <c r="AK563" i="7"/>
  <c r="AK557" i="7"/>
  <c r="AK155" i="7"/>
  <c r="AK14" i="7"/>
  <c r="F594" i="7"/>
  <c r="F590" i="7"/>
  <c r="F563" i="7"/>
  <c r="F557" i="7"/>
  <c r="F155" i="7"/>
  <c r="F14" i="7"/>
  <c r="C7" i="7"/>
  <c r="C598" i="7"/>
  <c r="C594" i="7"/>
  <c r="C590" i="7"/>
  <c r="C563" i="7"/>
  <c r="C557" i="7"/>
  <c r="C155" i="7"/>
  <c r="AF594" i="7"/>
  <c r="AF590" i="7"/>
  <c r="AF563" i="7"/>
  <c r="AF557" i="7"/>
  <c r="AF155" i="7"/>
  <c r="AF14" i="7"/>
  <c r="AJ594" i="7"/>
  <c r="AJ590" i="7"/>
  <c r="AJ563" i="7"/>
  <c r="AJ557" i="7"/>
  <c r="AJ155" i="7"/>
  <c r="AJ14" i="7"/>
  <c r="H594" i="7"/>
  <c r="H590" i="7"/>
  <c r="H563" i="7"/>
  <c r="H557" i="7"/>
  <c r="H155" i="7"/>
  <c r="H14" i="7"/>
  <c r="AE594" i="7"/>
  <c r="AE590" i="7"/>
  <c r="AE563" i="7"/>
  <c r="AE557" i="7"/>
  <c r="AE155" i="7"/>
  <c r="AE14" i="7"/>
  <c r="AI594" i="7"/>
  <c r="AI590" i="7"/>
  <c r="AI563" i="7"/>
  <c r="AI557" i="7"/>
  <c r="AI155" i="7"/>
  <c r="AI14" i="7"/>
  <c r="N594" i="7"/>
  <c r="N590" i="7"/>
  <c r="N563" i="7"/>
  <c r="N557" i="7"/>
  <c r="N155" i="7"/>
  <c r="N14" i="7"/>
  <c r="K594" i="7"/>
  <c r="K590" i="7"/>
  <c r="K563" i="7"/>
  <c r="K557" i="7"/>
  <c r="K155" i="7"/>
  <c r="K14" i="7"/>
  <c r="V7" i="7"/>
  <c r="V594" i="7"/>
  <c r="V590" i="7"/>
  <c r="V563" i="7"/>
  <c r="V557" i="7"/>
  <c r="V155" i="7"/>
  <c r="V14" i="7"/>
  <c r="AG594" i="7"/>
  <c r="AG590" i="7"/>
  <c r="AG563" i="7"/>
  <c r="AG557" i="7"/>
  <c r="AG155" i="7"/>
  <c r="AG14" i="7"/>
  <c r="Z594" i="7"/>
  <c r="Z590" i="7"/>
  <c r="Z563" i="7"/>
  <c r="Z557" i="7"/>
  <c r="Z155" i="7"/>
  <c r="Z14" i="7"/>
  <c r="L594" i="7"/>
  <c r="L590" i="7"/>
  <c r="L563" i="7"/>
  <c r="L557" i="7"/>
  <c r="L155" i="7"/>
  <c r="L14" i="7"/>
  <c r="AD594" i="7"/>
  <c r="AD590" i="7"/>
  <c r="AD563" i="7"/>
  <c r="AD557" i="7"/>
  <c r="AD155" i="7"/>
  <c r="AD14" i="7"/>
  <c r="W594" i="7"/>
  <c r="W590" i="7"/>
  <c r="W563" i="7"/>
  <c r="W557" i="7"/>
  <c r="W155" i="7"/>
  <c r="W14" i="7"/>
  <c r="P594" i="7"/>
  <c r="P590" i="7"/>
  <c r="P563" i="7"/>
  <c r="P557" i="7"/>
  <c r="P155" i="7"/>
  <c r="P14" i="7"/>
  <c r="I594" i="7"/>
  <c r="I590" i="7"/>
  <c r="I563" i="7"/>
  <c r="I557" i="7"/>
  <c r="I155" i="7"/>
  <c r="I14" i="7"/>
  <c r="AO594" i="7"/>
  <c r="AO590" i="7"/>
  <c r="AO563" i="7"/>
  <c r="AO557" i="7"/>
  <c r="AO155" i="7"/>
  <c r="AO14" i="7"/>
  <c r="AL594" i="7"/>
  <c r="AL590" i="7"/>
  <c r="AL563" i="7"/>
  <c r="AL557" i="7"/>
  <c r="AL155" i="7"/>
  <c r="AL14" i="7"/>
  <c r="AA594" i="7"/>
  <c r="AA590" i="7"/>
  <c r="AA563" i="7"/>
  <c r="AA557" i="7"/>
  <c r="AA155" i="7"/>
  <c r="AA14" i="7"/>
  <c r="T594" i="7"/>
  <c r="T590" i="7"/>
  <c r="T563" i="7"/>
  <c r="T557" i="7"/>
  <c r="T155" i="7"/>
  <c r="T14" i="7"/>
  <c r="M594" i="7"/>
  <c r="M590" i="7"/>
  <c r="M563" i="7"/>
  <c r="M557" i="7"/>
  <c r="M155" i="7"/>
  <c r="M14" i="7"/>
  <c r="AH594" i="7"/>
  <c r="AH590" i="7"/>
  <c r="AH563" i="7"/>
  <c r="AH557" i="7"/>
  <c r="AH155" i="7"/>
  <c r="AH14" i="7"/>
  <c r="AL7" i="7"/>
  <c r="E7" i="7"/>
  <c r="P7" i="7"/>
  <c r="L7" i="7"/>
  <c r="J7" i="7"/>
  <c r="T7" i="7"/>
  <c r="AH7" i="7"/>
  <c r="AB7" i="7"/>
  <c r="X7" i="7"/>
  <c r="AK7" i="7"/>
  <c r="N7" i="7"/>
  <c r="AF7" i="7"/>
  <c r="AJ7" i="7"/>
  <c r="AN7" i="7"/>
  <c r="Z7" i="7"/>
  <c r="I7" i="7"/>
  <c r="AI7" i="7"/>
  <c r="AD7" i="7"/>
  <c r="M7" i="7"/>
  <c r="AP7" i="7"/>
  <c r="H7" i="7"/>
  <c r="S7" i="7"/>
  <c r="U7" i="7"/>
  <c r="AM7" i="7"/>
  <c r="AO7" i="7"/>
  <c r="R7" i="7"/>
  <c r="W7" i="7"/>
  <c r="Y7" i="7"/>
  <c r="K7" i="7"/>
  <c r="AA7" i="7"/>
  <c r="AC7" i="7"/>
  <c r="F7" i="7"/>
  <c r="O7" i="7"/>
  <c r="AE7" i="7"/>
  <c r="Q7" i="7"/>
  <c r="AG7" i="7"/>
  <c r="B250" i="7" l="1" a="1"/>
  <c r="D250" i="7" s="1"/>
  <c r="B209" i="7" a="1"/>
  <c r="D209" i="7" s="1"/>
  <c r="AL250" i="7" l="1"/>
  <c r="AG250" i="7"/>
  <c r="AA250" i="7"/>
  <c r="V250" i="7"/>
  <c r="Q250" i="7"/>
  <c r="K250" i="7"/>
  <c r="F250" i="7"/>
  <c r="AP209" i="7"/>
  <c r="AK209" i="7"/>
  <c r="AE209" i="7"/>
  <c r="Z209" i="7"/>
  <c r="U209" i="7"/>
  <c r="O209" i="7"/>
  <c r="J209" i="7"/>
  <c r="E209" i="7"/>
  <c r="AP250" i="7"/>
  <c r="AK250" i="7"/>
  <c r="AE250" i="7"/>
  <c r="Z250" i="7"/>
  <c r="U250" i="7"/>
  <c r="O250" i="7"/>
  <c r="J250" i="7"/>
  <c r="E250" i="7"/>
  <c r="AO209" i="7"/>
  <c r="AI209" i="7"/>
  <c r="AD209" i="7"/>
  <c r="Y209" i="7"/>
  <c r="S209" i="7"/>
  <c r="N209" i="7"/>
  <c r="I209" i="7"/>
  <c r="C209" i="7"/>
  <c r="AO250" i="7"/>
  <c r="AI250" i="7"/>
  <c r="AD250" i="7"/>
  <c r="Y250" i="7"/>
  <c r="S250" i="7"/>
  <c r="N250" i="7"/>
  <c r="I250" i="7"/>
  <c r="C250" i="7"/>
  <c r="AM209" i="7"/>
  <c r="AH209" i="7"/>
  <c r="AC209" i="7"/>
  <c r="W209" i="7"/>
  <c r="R209" i="7"/>
  <c r="M209" i="7"/>
  <c r="G209" i="7"/>
  <c r="B209" i="7"/>
  <c r="AM250" i="7"/>
  <c r="AH250" i="7"/>
  <c r="AC250" i="7"/>
  <c r="W250" i="7"/>
  <c r="R250" i="7"/>
  <c r="M250" i="7"/>
  <c r="G250" i="7"/>
  <c r="B250" i="7"/>
  <c r="AL209" i="7"/>
  <c r="AG209" i="7"/>
  <c r="AA209" i="7"/>
  <c r="V209" i="7"/>
  <c r="Q209" i="7"/>
  <c r="K209" i="7"/>
  <c r="F209" i="7"/>
  <c r="AN250" i="7"/>
  <c r="AJ250" i="7"/>
  <c r="AF250" i="7"/>
  <c r="AB250" i="7"/>
  <c r="X250" i="7"/>
  <c r="T250" i="7"/>
  <c r="P250" i="7"/>
  <c r="L250" i="7"/>
  <c r="H250" i="7"/>
  <c r="AN209" i="7"/>
  <c r="AJ209" i="7"/>
  <c r="AF209" i="7"/>
  <c r="AB209" i="7"/>
  <c r="X209" i="7"/>
  <c r="T209" i="7"/>
  <c r="P209" i="7"/>
  <c r="L209" i="7"/>
  <c r="H209" i="7"/>
  <c r="C2" i="7" l="1"/>
  <c r="C64" i="7" l="1"/>
  <c r="C629" i="7"/>
  <c r="C628" i="7"/>
  <c r="C631" i="7"/>
  <c r="D2" i="7"/>
  <c r="C60" i="7"/>
  <c r="D631" i="7" l="1"/>
  <c r="D629" i="7"/>
  <c r="D628" i="7"/>
  <c r="D64" i="7"/>
  <c r="E2" i="7"/>
  <c r="D60" i="7"/>
  <c r="P270" i="7"/>
  <c r="P269" i="7"/>
  <c r="P268" i="7"/>
  <c r="P267" i="7"/>
  <c r="P266" i="7"/>
  <c r="P265" i="7"/>
  <c r="P264" i="7"/>
  <c r="P408" i="7"/>
  <c r="P407" i="7"/>
  <c r="P406" i="7"/>
  <c r="P405" i="7"/>
  <c r="P404" i="7"/>
  <c r="P403" i="7"/>
  <c r="G408" i="7"/>
  <c r="G407" i="7"/>
  <c r="G406" i="7"/>
  <c r="G405" i="7"/>
  <c r="G404" i="7"/>
  <c r="G403" i="7"/>
  <c r="G402" i="7"/>
  <c r="G269" i="7"/>
  <c r="G268" i="7"/>
  <c r="G267" i="7"/>
  <c r="G266" i="7"/>
  <c r="G265" i="7"/>
  <c r="E628" i="7" l="1"/>
  <c r="E631" i="7"/>
  <c r="E629" i="7"/>
  <c r="E64" i="7"/>
  <c r="F2" i="7"/>
  <c r="E60" i="7"/>
  <c r="G409" i="7"/>
  <c r="B411" i="7" s="1"/>
  <c r="P271" i="7"/>
  <c r="C145" i="1"/>
  <c r="B264" i="7" s="1"/>
  <c r="F550" i="7" l="1"/>
  <c r="F551" i="7" s="1"/>
  <c r="F132" i="7" s="1"/>
  <c r="L550" i="7"/>
  <c r="L551" i="7" s="1"/>
  <c r="L132" i="7" s="1"/>
  <c r="V550" i="7"/>
  <c r="V551" i="7" s="1"/>
  <c r="V132" i="7" s="1"/>
  <c r="AN550" i="7"/>
  <c r="AN551" i="7" s="1"/>
  <c r="AN132" i="7" s="1"/>
  <c r="J550" i="7"/>
  <c r="J551" i="7" s="1"/>
  <c r="J132" i="7" s="1"/>
  <c r="N550" i="7"/>
  <c r="N551" i="7" s="1"/>
  <c r="N132" i="7" s="1"/>
  <c r="AH550" i="7"/>
  <c r="AH551" i="7" s="1"/>
  <c r="AH132" i="7" s="1"/>
  <c r="AP550" i="7"/>
  <c r="AP551" i="7" s="1"/>
  <c r="AP132" i="7" s="1"/>
  <c r="AD550" i="7"/>
  <c r="AD551" i="7" s="1"/>
  <c r="AD132" i="7" s="1"/>
  <c r="I550" i="7"/>
  <c r="I551" i="7" s="1"/>
  <c r="I132" i="7" s="1"/>
  <c r="AG550" i="7"/>
  <c r="AG551" i="7" s="1"/>
  <c r="AG132" i="7" s="1"/>
  <c r="AK550" i="7"/>
  <c r="AK551" i="7" s="1"/>
  <c r="AK132" i="7" s="1"/>
  <c r="AO550" i="7"/>
  <c r="AO551" i="7" s="1"/>
  <c r="AO132" i="7" s="1"/>
  <c r="AF550" i="7"/>
  <c r="AF551" i="7" s="1"/>
  <c r="AF132" i="7" s="1"/>
  <c r="AA550" i="7"/>
  <c r="AA551" i="7" s="1"/>
  <c r="AA132" i="7" s="1"/>
  <c r="AM550" i="7"/>
  <c r="AM551" i="7" s="1"/>
  <c r="AM132" i="7" s="1"/>
  <c r="AC550" i="7"/>
  <c r="AC551" i="7" s="1"/>
  <c r="AC132" i="7" s="1"/>
  <c r="P550" i="7"/>
  <c r="P551" i="7" s="1"/>
  <c r="P132" i="7" s="1"/>
  <c r="AB550" i="7"/>
  <c r="AB551" i="7" s="1"/>
  <c r="AB132" i="7" s="1"/>
  <c r="H550" i="7"/>
  <c r="H551" i="7" s="1"/>
  <c r="H132" i="7" s="1"/>
  <c r="K550" i="7"/>
  <c r="K551" i="7" s="1"/>
  <c r="K132" i="7" s="1"/>
  <c r="S550" i="7"/>
  <c r="S551" i="7" s="1"/>
  <c r="S132" i="7" s="1"/>
  <c r="O550" i="7"/>
  <c r="O551" i="7" s="1"/>
  <c r="O132" i="7" s="1"/>
  <c r="T550" i="7"/>
  <c r="T551" i="7" s="1"/>
  <c r="T132" i="7" s="1"/>
  <c r="AI550" i="7"/>
  <c r="AI551" i="7" s="1"/>
  <c r="AI132" i="7" s="1"/>
  <c r="M550" i="7"/>
  <c r="M551" i="7" s="1"/>
  <c r="M132" i="7" s="1"/>
  <c r="AL550" i="7"/>
  <c r="AL551" i="7" s="1"/>
  <c r="AL132" i="7" s="1"/>
  <c r="Q550" i="7"/>
  <c r="Q551" i="7" s="1"/>
  <c r="Q132" i="7" s="1"/>
  <c r="U550" i="7"/>
  <c r="U551" i="7" s="1"/>
  <c r="U132" i="7" s="1"/>
  <c r="E550" i="7"/>
  <c r="E551" i="7" s="1"/>
  <c r="E132" i="7" s="1"/>
  <c r="R550" i="7"/>
  <c r="R551" i="7" s="1"/>
  <c r="R132" i="7" s="1"/>
  <c r="G550" i="7"/>
  <c r="G551" i="7" s="1"/>
  <c r="G132" i="7" s="1"/>
  <c r="D550" i="7"/>
  <c r="D551" i="7" s="1"/>
  <c r="D132" i="7" s="1"/>
  <c r="AJ550" i="7"/>
  <c r="AJ551" i="7" s="1"/>
  <c r="AJ132" i="7" s="1"/>
  <c r="Z550" i="7"/>
  <c r="Z551" i="7" s="1"/>
  <c r="Z132" i="7" s="1"/>
  <c r="Y550" i="7"/>
  <c r="Y551" i="7" s="1"/>
  <c r="Y132" i="7" s="1"/>
  <c r="AE550" i="7"/>
  <c r="AE551" i="7" s="1"/>
  <c r="AE132" i="7" s="1"/>
  <c r="C550" i="7"/>
  <c r="W550" i="7"/>
  <c r="W551" i="7" s="1"/>
  <c r="W132" i="7" s="1"/>
  <c r="X550" i="7"/>
  <c r="X551" i="7" s="1"/>
  <c r="X132" i="7" s="1"/>
  <c r="B408" i="7"/>
  <c r="B270" i="7"/>
  <c r="F629" i="7"/>
  <c r="F628" i="7"/>
  <c r="F631" i="7"/>
  <c r="F64" i="7"/>
  <c r="G2" i="7"/>
  <c r="F60" i="7"/>
  <c r="B451" i="7"/>
  <c r="B450" i="7"/>
  <c r="C443" i="7" a="1"/>
  <c r="D443" i="7" s="1"/>
  <c r="M408" i="7"/>
  <c r="M407" i="7"/>
  <c r="C305" i="7" a="1"/>
  <c r="D305" i="7" s="1"/>
  <c r="B269" i="7"/>
  <c r="C551" i="7" l="1"/>
  <c r="C132" i="7" s="1"/>
  <c r="I409" i="7"/>
  <c r="G631" i="7"/>
  <c r="G629" i="7"/>
  <c r="G628" i="7"/>
  <c r="G64" i="7"/>
  <c r="H2" i="7"/>
  <c r="G60" i="7"/>
  <c r="AM443" i="7"/>
  <c r="AI443" i="7"/>
  <c r="AE443" i="7"/>
  <c r="AA443" i="7"/>
  <c r="W443" i="7"/>
  <c r="S443" i="7"/>
  <c r="O443" i="7"/>
  <c r="K443" i="7"/>
  <c r="G443" i="7"/>
  <c r="C443" i="7"/>
  <c r="AP443" i="7"/>
  <c r="AL443" i="7"/>
  <c r="AH443" i="7"/>
  <c r="AD443" i="7"/>
  <c r="Z443" i="7"/>
  <c r="V443" i="7"/>
  <c r="R443" i="7"/>
  <c r="N443" i="7"/>
  <c r="J443" i="7"/>
  <c r="F443" i="7"/>
  <c r="AO443" i="7"/>
  <c r="AK443" i="7"/>
  <c r="AG443" i="7"/>
  <c r="AC443" i="7"/>
  <c r="Y443" i="7"/>
  <c r="U443" i="7"/>
  <c r="Q443" i="7"/>
  <c r="M443" i="7"/>
  <c r="I443" i="7"/>
  <c r="E443" i="7"/>
  <c r="AN443" i="7"/>
  <c r="AJ443" i="7"/>
  <c r="AF443" i="7"/>
  <c r="AB443" i="7"/>
  <c r="X443" i="7"/>
  <c r="T443" i="7"/>
  <c r="P443" i="7"/>
  <c r="L443" i="7"/>
  <c r="H443" i="7"/>
  <c r="AO305" i="7"/>
  <c r="AK305" i="7"/>
  <c r="AG305" i="7"/>
  <c r="AC305" i="7"/>
  <c r="Y305" i="7"/>
  <c r="U305" i="7"/>
  <c r="Q305" i="7"/>
  <c r="M305" i="7"/>
  <c r="I305" i="7"/>
  <c r="E305" i="7"/>
  <c r="AM305" i="7"/>
  <c r="AI305" i="7"/>
  <c r="AE305" i="7"/>
  <c r="AA305" i="7"/>
  <c r="W305" i="7"/>
  <c r="S305" i="7"/>
  <c r="O305" i="7"/>
  <c r="K305" i="7"/>
  <c r="G305" i="7"/>
  <c r="C305" i="7"/>
  <c r="AP305" i="7"/>
  <c r="AL305" i="7"/>
  <c r="AH305" i="7"/>
  <c r="AD305" i="7"/>
  <c r="Z305" i="7"/>
  <c r="V305" i="7"/>
  <c r="R305" i="7"/>
  <c r="N305" i="7"/>
  <c r="J305" i="7"/>
  <c r="F305" i="7"/>
  <c r="AN305" i="7"/>
  <c r="AJ305" i="7"/>
  <c r="AF305" i="7"/>
  <c r="AB305" i="7"/>
  <c r="X305" i="7"/>
  <c r="T305" i="7"/>
  <c r="P305" i="7"/>
  <c r="L305" i="7"/>
  <c r="H305" i="7"/>
  <c r="C48" i="7" a="1"/>
  <c r="E48" i="7" s="1"/>
  <c r="B305" i="7" l="1" a="1"/>
  <c r="B305" i="7" s="1"/>
  <c r="H631" i="7"/>
  <c r="H629" i="7"/>
  <c r="H628" i="7"/>
  <c r="H64" i="7"/>
  <c r="I2" i="7"/>
  <c r="H60" i="7"/>
  <c r="B443" i="7" a="1"/>
  <c r="B443" i="7" s="1"/>
  <c r="AM48" i="7"/>
  <c r="AH48" i="7"/>
  <c r="AB48" i="7"/>
  <c r="W48" i="7"/>
  <c r="R48" i="7"/>
  <c r="L48" i="7"/>
  <c r="G48" i="7"/>
  <c r="AL48" i="7"/>
  <c r="AF48" i="7"/>
  <c r="AA48" i="7"/>
  <c r="V48" i="7"/>
  <c r="P48" i="7"/>
  <c r="K48" i="7"/>
  <c r="F48" i="7"/>
  <c r="AP48" i="7"/>
  <c r="AJ48" i="7"/>
  <c r="AE48" i="7"/>
  <c r="Z48" i="7"/>
  <c r="T48" i="7"/>
  <c r="O48" i="7"/>
  <c r="J48" i="7"/>
  <c r="D48" i="7"/>
  <c r="AN48" i="7"/>
  <c r="AI48" i="7"/>
  <c r="AD48" i="7"/>
  <c r="X48" i="7"/>
  <c r="S48" i="7"/>
  <c r="N48" i="7"/>
  <c r="H48" i="7"/>
  <c r="C48" i="7"/>
  <c r="AO48" i="7"/>
  <c r="AK48" i="7"/>
  <c r="AG48" i="7"/>
  <c r="AC48" i="7"/>
  <c r="Y48" i="7"/>
  <c r="U48" i="7"/>
  <c r="Q48" i="7"/>
  <c r="M48" i="7"/>
  <c r="I48" i="7"/>
  <c r="I628" i="7" l="1"/>
  <c r="I629" i="7"/>
  <c r="I631" i="7"/>
  <c r="I64" i="7"/>
  <c r="J2" i="7"/>
  <c r="I60" i="7"/>
  <c r="B639" i="7" a="1"/>
  <c r="C639" i="7" s="1"/>
  <c r="B638" i="7" a="1"/>
  <c r="C638" i="7" s="1"/>
  <c r="B637" i="7" a="1"/>
  <c r="B637" i="7" s="1"/>
  <c r="B259" i="7" l="1"/>
  <c r="C408" i="7"/>
  <c r="C407" i="7"/>
  <c r="C406" i="7"/>
  <c r="C405" i="7"/>
  <c r="C404" i="7"/>
  <c r="C403" i="7"/>
  <c r="C402" i="7"/>
  <c r="C270" i="7"/>
  <c r="C269" i="7"/>
  <c r="C268" i="7"/>
  <c r="C267" i="7"/>
  <c r="C266" i="7"/>
  <c r="C265" i="7"/>
  <c r="C264" i="7"/>
  <c r="J629" i="7"/>
  <c r="J628" i="7"/>
  <c r="J631" i="7"/>
  <c r="J64" i="7"/>
  <c r="K2" i="7"/>
  <c r="J60" i="7"/>
  <c r="AO638" i="7"/>
  <c r="AG638" i="7"/>
  <c r="Y638" i="7"/>
  <c r="Q638" i="7"/>
  <c r="AL638" i="7"/>
  <c r="AD638" i="7"/>
  <c r="V638" i="7"/>
  <c r="N638" i="7"/>
  <c r="F638" i="7"/>
  <c r="AK638" i="7"/>
  <c r="AC638" i="7"/>
  <c r="U638" i="7"/>
  <c r="M638" i="7"/>
  <c r="E638" i="7"/>
  <c r="AP638" i="7"/>
  <c r="AH638" i="7"/>
  <c r="Z638" i="7"/>
  <c r="R638" i="7"/>
  <c r="J638" i="7"/>
  <c r="B638" i="7"/>
  <c r="I638" i="7"/>
  <c r="AL639" i="7"/>
  <c r="AD639" i="7"/>
  <c r="V639" i="7"/>
  <c r="N639" i="7"/>
  <c r="F639" i="7"/>
  <c r="AK639" i="7"/>
  <c r="AC639" i="7"/>
  <c r="U639" i="7"/>
  <c r="M639" i="7"/>
  <c r="E639" i="7"/>
  <c r="AN639" i="7"/>
  <c r="AJ639" i="7"/>
  <c r="AF639" i="7"/>
  <c r="AB639" i="7"/>
  <c r="X639" i="7"/>
  <c r="T639" i="7"/>
  <c r="P639" i="7"/>
  <c r="L639" i="7"/>
  <c r="H639" i="7"/>
  <c r="D639" i="7"/>
  <c r="AP639" i="7"/>
  <c r="AH639" i="7"/>
  <c r="Z639" i="7"/>
  <c r="R639" i="7"/>
  <c r="J639" i="7"/>
  <c r="B639" i="7"/>
  <c r="C636" i="7" s="1"/>
  <c r="AO639" i="7"/>
  <c r="AG639" i="7"/>
  <c r="Y639" i="7"/>
  <c r="Q639" i="7"/>
  <c r="I639" i="7"/>
  <c r="AM639" i="7"/>
  <c r="AI639" i="7"/>
  <c r="AE639" i="7"/>
  <c r="AA639" i="7"/>
  <c r="W639" i="7"/>
  <c r="S639" i="7"/>
  <c r="O639" i="7"/>
  <c r="K639" i="7"/>
  <c r="G639" i="7"/>
  <c r="AN638" i="7"/>
  <c r="AJ638" i="7"/>
  <c r="AF638" i="7"/>
  <c r="AB638" i="7"/>
  <c r="X638" i="7"/>
  <c r="T638" i="7"/>
  <c r="P638" i="7"/>
  <c r="L638" i="7"/>
  <c r="H638" i="7"/>
  <c r="D638" i="7"/>
  <c r="AM638" i="7"/>
  <c r="AI638" i="7"/>
  <c r="AE638" i="7"/>
  <c r="AA638" i="7"/>
  <c r="W638" i="7"/>
  <c r="S638" i="7"/>
  <c r="O638" i="7"/>
  <c r="K638" i="7"/>
  <c r="G638" i="7"/>
  <c r="AN637" i="7"/>
  <c r="AF637" i="7"/>
  <c r="X637" i="7"/>
  <c r="P637" i="7"/>
  <c r="H637" i="7"/>
  <c r="AM637" i="7"/>
  <c r="AE637" i="7"/>
  <c r="AA637" i="7"/>
  <c r="W637" i="7"/>
  <c r="S637" i="7"/>
  <c r="O637" i="7"/>
  <c r="K637" i="7"/>
  <c r="G637" i="7"/>
  <c r="C637" i="7"/>
  <c r="AO637" i="7"/>
  <c r="AK637" i="7"/>
  <c r="AG637" i="7"/>
  <c r="AC637" i="7"/>
  <c r="Y637" i="7"/>
  <c r="U637" i="7"/>
  <c r="Q637" i="7"/>
  <c r="M637" i="7"/>
  <c r="I637" i="7"/>
  <c r="E637" i="7"/>
  <c r="AJ637" i="7"/>
  <c r="AB637" i="7"/>
  <c r="T637" i="7"/>
  <c r="L637" i="7"/>
  <c r="D637" i="7"/>
  <c r="AI637" i="7"/>
  <c r="AP637" i="7"/>
  <c r="AL637" i="7"/>
  <c r="AH637" i="7"/>
  <c r="AD637" i="7"/>
  <c r="Z637" i="7"/>
  <c r="V637" i="7"/>
  <c r="R637" i="7"/>
  <c r="N637" i="7"/>
  <c r="J637" i="7"/>
  <c r="F637" i="7"/>
  <c r="C271" i="7" l="1"/>
  <c r="C409" i="7"/>
  <c r="K629" i="7"/>
  <c r="K631" i="7"/>
  <c r="K628" i="7"/>
  <c r="K64" i="7"/>
  <c r="L2" i="7"/>
  <c r="K60" i="7"/>
  <c r="L631" i="7" l="1"/>
  <c r="L629" i="7"/>
  <c r="L628" i="7"/>
  <c r="L64" i="7"/>
  <c r="M2" i="7"/>
  <c r="L60" i="7"/>
  <c r="M628" i="7" l="1"/>
  <c r="M629" i="7"/>
  <c r="M631" i="7"/>
  <c r="M64" i="7"/>
  <c r="N2" i="7"/>
  <c r="M60" i="7"/>
  <c r="N631" i="7" l="1"/>
  <c r="N629" i="7"/>
  <c r="N628" i="7"/>
  <c r="N64" i="7"/>
  <c r="O2" i="7"/>
  <c r="N60" i="7"/>
  <c r="O631" i="7" l="1"/>
  <c r="O629" i="7"/>
  <c r="O628" i="7"/>
  <c r="O64" i="7"/>
  <c r="P2" i="7"/>
  <c r="O60" i="7"/>
  <c r="B16" i="7" a="1"/>
  <c r="C16" i="7" s="1"/>
  <c r="B15" i="7" a="1"/>
  <c r="C15" i="7" s="1"/>
  <c r="B651" i="7" l="1"/>
  <c r="B649" i="7" s="1"/>
  <c r="C21" i="7"/>
  <c r="C23" i="7" s="1"/>
  <c r="P631" i="7"/>
  <c r="P629" i="7"/>
  <c r="P628" i="7"/>
  <c r="P64" i="7"/>
  <c r="Q2" i="7"/>
  <c r="P60" i="7"/>
  <c r="V16" i="7"/>
  <c r="AG16" i="7"/>
  <c r="AD15" i="7"/>
  <c r="N15" i="7"/>
  <c r="M16" i="7"/>
  <c r="AP15" i="7"/>
  <c r="Z15" i="7"/>
  <c r="J15" i="7"/>
  <c r="AO16" i="7"/>
  <c r="AD16" i="7"/>
  <c r="U16" i="7"/>
  <c r="I16" i="7"/>
  <c r="AL15" i="7"/>
  <c r="V15" i="7"/>
  <c r="F15" i="7"/>
  <c r="AL16" i="7"/>
  <c r="AC16" i="7"/>
  <c r="Q16" i="7"/>
  <c r="F16" i="7"/>
  <c r="AH15" i="7"/>
  <c r="R15" i="7"/>
  <c r="B15" i="7"/>
  <c r="AK16" i="7"/>
  <c r="Y16" i="7"/>
  <c r="N16" i="7"/>
  <c r="E16" i="7"/>
  <c r="AN15" i="7"/>
  <c r="AJ15" i="7"/>
  <c r="AF15" i="7"/>
  <c r="AB15" i="7"/>
  <c r="X15" i="7"/>
  <c r="T15" i="7"/>
  <c r="P15" i="7"/>
  <c r="L15" i="7"/>
  <c r="H15" i="7"/>
  <c r="D15" i="7"/>
  <c r="AP16" i="7"/>
  <c r="AH16" i="7"/>
  <c r="Z16" i="7"/>
  <c r="R16" i="7"/>
  <c r="J16" i="7"/>
  <c r="B16" i="7"/>
  <c r="B21" i="7" s="1"/>
  <c r="B23" i="7" s="1"/>
  <c r="AO15" i="7"/>
  <c r="AK15" i="7"/>
  <c r="AG15" i="7"/>
  <c r="AC15" i="7"/>
  <c r="Y15" i="7"/>
  <c r="U15" i="7"/>
  <c r="Q15" i="7"/>
  <c r="M15" i="7"/>
  <c r="I15" i="7"/>
  <c r="E15" i="7"/>
  <c r="AM15" i="7"/>
  <c r="AI15" i="7"/>
  <c r="AE15" i="7"/>
  <c r="AA15" i="7"/>
  <c r="W15" i="7"/>
  <c r="S15" i="7"/>
  <c r="O15" i="7"/>
  <c r="K15" i="7"/>
  <c r="G15" i="7"/>
  <c r="AN16" i="7"/>
  <c r="AJ16" i="7"/>
  <c r="AF16" i="7"/>
  <c r="AB16" i="7"/>
  <c r="X16" i="7"/>
  <c r="T16" i="7"/>
  <c r="P16" i="7"/>
  <c r="L16" i="7"/>
  <c r="H16" i="7"/>
  <c r="D16" i="7"/>
  <c r="AM16" i="7"/>
  <c r="AI16" i="7"/>
  <c r="AE16" i="7"/>
  <c r="AA16" i="7"/>
  <c r="W16" i="7"/>
  <c r="S16" i="7"/>
  <c r="O16" i="7"/>
  <c r="K16" i="7"/>
  <c r="G16" i="7"/>
  <c r="B616" i="7" l="1"/>
  <c r="B617" i="7" s="1"/>
  <c r="B619" i="7" s="1"/>
  <c r="B103" i="7"/>
  <c r="W651" i="7"/>
  <c r="X21" i="7"/>
  <c r="X23" i="7" s="1"/>
  <c r="M651" i="7"/>
  <c r="N21" i="7"/>
  <c r="N23" i="7" s="1"/>
  <c r="AE651" i="7"/>
  <c r="AF21" i="7"/>
  <c r="AF23" i="7" s="1"/>
  <c r="X651" i="7"/>
  <c r="Y21" i="7"/>
  <c r="Y23" i="7" s="1"/>
  <c r="AI651" i="7"/>
  <c r="AJ21" i="7"/>
  <c r="AJ23" i="7" s="1"/>
  <c r="I651" i="7"/>
  <c r="J21" i="7"/>
  <c r="J23" i="7" s="1"/>
  <c r="U651" i="7"/>
  <c r="V21" i="7"/>
  <c r="V23" i="7" s="1"/>
  <c r="Q651" i="7"/>
  <c r="R21" i="7"/>
  <c r="R23" i="7" s="1"/>
  <c r="N651" i="7"/>
  <c r="O21" i="7"/>
  <c r="O23" i="7" s="1"/>
  <c r="AG651" i="7"/>
  <c r="AH21" i="7"/>
  <c r="AH23" i="7" s="1"/>
  <c r="AO651" i="7"/>
  <c r="AP21" i="7"/>
  <c r="AP23" i="7" s="1"/>
  <c r="H651" i="7"/>
  <c r="I21" i="7"/>
  <c r="I23" i="7" s="1"/>
  <c r="T651" i="7"/>
  <c r="U21" i="7"/>
  <c r="U23" i="7" s="1"/>
  <c r="G651" i="7"/>
  <c r="H21" i="7"/>
  <c r="H23" i="7" s="1"/>
  <c r="AC651" i="7"/>
  <c r="AD21" i="7"/>
  <c r="AD23" i="7" s="1"/>
  <c r="K651" i="7"/>
  <c r="L21" i="7"/>
  <c r="L23" i="7" s="1"/>
  <c r="AN651" i="7"/>
  <c r="AO21" i="7"/>
  <c r="AO23" i="7" s="1"/>
  <c r="O651" i="7"/>
  <c r="P21" i="7"/>
  <c r="P23" i="7" s="1"/>
  <c r="D651" i="7"/>
  <c r="E21" i="7"/>
  <c r="E23" i="7" s="1"/>
  <c r="AA651" i="7"/>
  <c r="AB21" i="7"/>
  <c r="AB23" i="7" s="1"/>
  <c r="L651" i="7"/>
  <c r="M21" i="7"/>
  <c r="M23" i="7" s="1"/>
  <c r="AJ651" i="7"/>
  <c r="AK21" i="7"/>
  <c r="AK23" i="7" s="1"/>
  <c r="AM651" i="7"/>
  <c r="AN21" i="7"/>
  <c r="AN23" i="7" s="1"/>
  <c r="AF651" i="7"/>
  <c r="AG21" i="7"/>
  <c r="AG23" i="7" s="1"/>
  <c r="F651" i="7"/>
  <c r="G21" i="7"/>
  <c r="G23" i="7" s="1"/>
  <c r="J651" i="7"/>
  <c r="K21" i="7"/>
  <c r="K23" i="7" s="1"/>
  <c r="Y651" i="7"/>
  <c r="Z21" i="7"/>
  <c r="Z23" i="7" s="1"/>
  <c r="E651" i="7"/>
  <c r="F21" i="7"/>
  <c r="F23" i="7" s="1"/>
  <c r="P651" i="7"/>
  <c r="Q21" i="7"/>
  <c r="Q23" i="7" s="1"/>
  <c r="R651" i="7"/>
  <c r="S21" i="7"/>
  <c r="S23" i="7" s="1"/>
  <c r="AB651" i="7"/>
  <c r="AC21" i="7"/>
  <c r="AC23" i="7" s="1"/>
  <c r="V651" i="7"/>
  <c r="W21" i="7"/>
  <c r="W23" i="7" s="1"/>
  <c r="AK651" i="7"/>
  <c r="AL21" i="7"/>
  <c r="AL23" i="7" s="1"/>
  <c r="Z651" i="7"/>
  <c r="AA21" i="7"/>
  <c r="AA23" i="7" s="1"/>
  <c r="AD651" i="7"/>
  <c r="AE21" i="7"/>
  <c r="AE23" i="7" s="1"/>
  <c r="AH651" i="7"/>
  <c r="AI21" i="7"/>
  <c r="AI23" i="7" s="1"/>
  <c r="AL651" i="7"/>
  <c r="AM21" i="7"/>
  <c r="AM23" i="7" s="1"/>
  <c r="C651" i="7"/>
  <c r="D21" i="7"/>
  <c r="D23" i="7" s="1"/>
  <c r="S651" i="7"/>
  <c r="T21" i="7"/>
  <c r="T23" i="7" s="1"/>
  <c r="Q628" i="7"/>
  <c r="Q631" i="7"/>
  <c r="Q629" i="7"/>
  <c r="Q64" i="7"/>
  <c r="R2" i="7"/>
  <c r="Q60" i="7"/>
  <c r="AJ154" i="7"/>
  <c r="G154" i="7"/>
  <c r="AM154" i="7"/>
  <c r="P154" i="7"/>
  <c r="AF154" i="7"/>
  <c r="R154" i="7"/>
  <c r="Y154" i="7"/>
  <c r="AL154" i="7"/>
  <c r="K154" i="7"/>
  <c r="D154" i="7"/>
  <c r="T154" i="7"/>
  <c r="Z154" i="7"/>
  <c r="AK154" i="7"/>
  <c r="O154" i="7"/>
  <c r="H154" i="7"/>
  <c r="AN154" i="7"/>
  <c r="E154" i="7"/>
  <c r="Q154" i="7"/>
  <c r="AD154" i="7"/>
  <c r="AG154" i="7"/>
  <c r="W154" i="7"/>
  <c r="I154" i="7"/>
  <c r="AA154" i="7"/>
  <c r="F154" i="7"/>
  <c r="U154" i="7"/>
  <c r="AE154" i="7"/>
  <c r="X154" i="7"/>
  <c r="AH154" i="7"/>
  <c r="S154" i="7"/>
  <c r="AI154" i="7"/>
  <c r="L154" i="7"/>
  <c r="AB154" i="7"/>
  <c r="J154" i="7"/>
  <c r="AP154" i="7"/>
  <c r="N154" i="7"/>
  <c r="AC154" i="7"/>
  <c r="AO154" i="7"/>
  <c r="M154" i="7"/>
  <c r="V154" i="7"/>
  <c r="D151" i="1"/>
  <c r="R629" i="7" l="1"/>
  <c r="R628" i="7"/>
  <c r="R631" i="7"/>
  <c r="R64" i="7"/>
  <c r="S2" i="7"/>
  <c r="R60" i="7"/>
  <c r="E151" i="1"/>
  <c r="S631" i="7" l="1"/>
  <c r="S629" i="7"/>
  <c r="S628" i="7"/>
  <c r="S64" i="7"/>
  <c r="F151" i="1"/>
  <c r="G151" i="1" s="1"/>
  <c r="T2" i="7"/>
  <c r="S60" i="7"/>
  <c r="B94" i="7"/>
  <c r="T631" i="7" l="1"/>
  <c r="T629" i="7"/>
  <c r="T628" i="7"/>
  <c r="T64" i="7"/>
  <c r="U2" i="7"/>
  <c r="T60" i="7"/>
  <c r="H151" i="1"/>
  <c r="B93" i="7"/>
  <c r="U628" i="7" l="1"/>
  <c r="U622" i="7"/>
  <c r="U610" i="7"/>
  <c r="U627" i="7"/>
  <c r="U609" i="7" s="1"/>
  <c r="U631" i="7"/>
  <c r="U629" i="7"/>
  <c r="U611" i="7" s="1"/>
  <c r="U64" i="7"/>
  <c r="V2" i="7"/>
  <c r="U60" i="7"/>
  <c r="I151" i="1"/>
  <c r="V629" i="7" l="1"/>
  <c r="V611" i="7" s="1"/>
  <c r="V628" i="7"/>
  <c r="V622" i="7"/>
  <c r="V631" i="7"/>
  <c r="V627" i="7"/>
  <c r="V609" i="7" s="1"/>
  <c r="V610" i="7"/>
  <c r="V64" i="7"/>
  <c r="W2" i="7"/>
  <c r="V60" i="7"/>
  <c r="J151" i="1"/>
  <c r="M402" i="7"/>
  <c r="B431" i="7"/>
  <c r="B430" i="7"/>
  <c r="B428" i="7"/>
  <c r="B290" i="7"/>
  <c r="B425" i="7"/>
  <c r="B424" i="7"/>
  <c r="B423" i="7"/>
  <c r="B422" i="7"/>
  <c r="B287" i="7"/>
  <c r="B286" i="7"/>
  <c r="B285" i="7"/>
  <c r="B293" i="7"/>
  <c r="B292" i="7"/>
  <c r="W631" i="7" l="1"/>
  <c r="W627" i="7"/>
  <c r="W609" i="7" s="1"/>
  <c r="W629" i="7"/>
  <c r="W611" i="7" s="1"/>
  <c r="W628" i="7"/>
  <c r="W622" i="7"/>
  <c r="W610" i="7"/>
  <c r="W64" i="7"/>
  <c r="X2" i="7"/>
  <c r="W60" i="7"/>
  <c r="K151" i="1"/>
  <c r="F9" i="1"/>
  <c r="X631" i="7" l="1"/>
  <c r="X627" i="7"/>
  <c r="X609" i="7" s="1"/>
  <c r="X629" i="7"/>
  <c r="X611" i="7" s="1"/>
  <c r="X628" i="7"/>
  <c r="X622" i="7"/>
  <c r="X610" i="7"/>
  <c r="X64" i="7"/>
  <c r="Y2" i="7"/>
  <c r="X60" i="7"/>
  <c r="L151" i="1"/>
  <c r="B657" i="7"/>
  <c r="B104" i="7"/>
  <c r="Y628" i="7" l="1"/>
  <c r="Y622" i="7"/>
  <c r="Y610" i="7"/>
  <c r="Y627" i="7"/>
  <c r="Y609" i="7" s="1"/>
  <c r="Y629" i="7"/>
  <c r="Y611" i="7" s="1"/>
  <c r="Y631" i="7"/>
  <c r="Y64" i="7"/>
  <c r="Z2" i="7"/>
  <c r="Y60" i="7"/>
  <c r="M151" i="1"/>
  <c r="F10" i="1"/>
  <c r="B95" i="7"/>
  <c r="B92" i="7"/>
  <c r="Z622" i="7" l="1"/>
  <c r="Z610" i="7"/>
  <c r="Z631" i="7"/>
  <c r="Z627" i="7"/>
  <c r="Z609" i="7" s="1"/>
  <c r="Z629" i="7"/>
  <c r="Z611" i="7" s="1"/>
  <c r="Z628" i="7"/>
  <c r="Z64" i="7"/>
  <c r="AA2" i="7"/>
  <c r="Z60" i="7"/>
  <c r="N151" i="1"/>
  <c r="G84" i="1"/>
  <c r="G83" i="1"/>
  <c r="G82" i="1"/>
  <c r="G81" i="1"/>
  <c r="G80" i="1"/>
  <c r="AA631" i="7" l="1"/>
  <c r="AA627" i="7"/>
  <c r="AA609" i="7" s="1"/>
  <c r="AA629" i="7"/>
  <c r="AA611" i="7" s="1"/>
  <c r="AA628" i="7"/>
  <c r="AA622" i="7"/>
  <c r="AA610" i="7"/>
  <c r="AA64" i="7"/>
  <c r="AB2" i="7"/>
  <c r="AB33" i="7" s="1"/>
  <c r="AA643" i="7"/>
  <c r="AA649" i="7"/>
  <c r="AA60" i="7"/>
  <c r="O151" i="1"/>
  <c r="B406" i="7"/>
  <c r="B405" i="7"/>
  <c r="B268" i="7"/>
  <c r="B267" i="7"/>
  <c r="B403" i="7"/>
  <c r="B266" i="7"/>
  <c r="B402" i="7"/>
  <c r="B265" i="7"/>
  <c r="B404" i="7"/>
  <c r="B407" i="7"/>
  <c r="C144" i="1"/>
  <c r="H80" i="1"/>
  <c r="I80" i="1" s="1"/>
  <c r="H82" i="1"/>
  <c r="I82" i="1" s="1"/>
  <c r="H83" i="1"/>
  <c r="I83" i="1" s="1"/>
  <c r="H84" i="1"/>
  <c r="I84" i="1" s="1"/>
  <c r="H81" i="1"/>
  <c r="I81" i="1" s="1"/>
  <c r="G85" i="1"/>
  <c r="AB631" i="7" l="1"/>
  <c r="AB627" i="7"/>
  <c r="AB609" i="7" s="1"/>
  <c r="AB629" i="7"/>
  <c r="AB611" i="7" s="1"/>
  <c r="AB628" i="7"/>
  <c r="AB622" i="7"/>
  <c r="AB610" i="7"/>
  <c r="AB35" i="7"/>
  <c r="AB64" i="7"/>
  <c r="AC2" i="7"/>
  <c r="AC33" i="7" s="1"/>
  <c r="AB643" i="7"/>
  <c r="AB649" i="7"/>
  <c r="AB60" i="7"/>
  <c r="B271" i="7"/>
  <c r="B409" i="7"/>
  <c r="P151" i="1"/>
  <c r="H85" i="1"/>
  <c r="I85" i="1"/>
  <c r="B96" i="7" s="1"/>
  <c r="C41" i="1"/>
  <c r="B170" i="7" l="1"/>
  <c r="B169" i="7"/>
  <c r="AC628" i="7"/>
  <c r="AC622" i="7"/>
  <c r="AC610" i="7"/>
  <c r="AC629" i="7"/>
  <c r="AC611" i="7" s="1"/>
  <c r="AC631" i="7"/>
  <c r="AC627" i="7"/>
  <c r="AC609" i="7" s="1"/>
  <c r="AC64" i="7"/>
  <c r="AC35" i="7"/>
  <c r="AD2" i="7"/>
  <c r="AD33" i="7" s="1"/>
  <c r="AC649" i="7"/>
  <c r="AC643" i="7"/>
  <c r="AC60" i="7"/>
  <c r="Q151" i="1"/>
  <c r="G42" i="4"/>
  <c r="G3" i="4"/>
  <c r="B171" i="7" l="1"/>
  <c r="AD610" i="7"/>
  <c r="AD629" i="7"/>
  <c r="AD611" i="7" s="1"/>
  <c r="AD628" i="7"/>
  <c r="AD631" i="7"/>
  <c r="AD627" i="7"/>
  <c r="AD609" i="7" s="1"/>
  <c r="AD622" i="7"/>
  <c r="AD35" i="7"/>
  <c r="AD64" i="7"/>
  <c r="AE2" i="7"/>
  <c r="AE33" i="7" s="1"/>
  <c r="AD649" i="7"/>
  <c r="AD643" i="7"/>
  <c r="AD60" i="7"/>
  <c r="R151" i="1"/>
  <c r="C581" i="7"/>
  <c r="C582" i="7"/>
  <c r="C583" i="7"/>
  <c r="C584" i="7"/>
  <c r="C574" i="7"/>
  <c r="C575" i="7"/>
  <c r="C576" i="7"/>
  <c r="C577" i="7"/>
  <c r="C192" i="7" l="1"/>
  <c r="C233" i="7"/>
  <c r="C190" i="7"/>
  <c r="C231" i="7"/>
  <c r="C191" i="7"/>
  <c r="C232" i="7"/>
  <c r="B284" i="7"/>
  <c r="C230" i="7"/>
  <c r="AE631" i="7"/>
  <c r="AE627" i="7"/>
  <c r="AE609" i="7" s="1"/>
  <c r="AE629" i="7"/>
  <c r="AE611" i="7" s="1"/>
  <c r="AE628" i="7"/>
  <c r="AE622" i="7"/>
  <c r="AE610" i="7"/>
  <c r="AE64" i="7"/>
  <c r="AE35" i="7"/>
  <c r="C239" i="7"/>
  <c r="C198" i="7"/>
  <c r="C238" i="7"/>
  <c r="C197" i="7"/>
  <c r="C237" i="7"/>
  <c r="C196" i="7"/>
  <c r="C195" i="7"/>
  <c r="C236" i="7"/>
  <c r="AF2" i="7"/>
  <c r="AF33" i="7" s="1"/>
  <c r="AE643" i="7"/>
  <c r="AE649" i="7"/>
  <c r="AE60" i="7"/>
  <c r="S151" i="1"/>
  <c r="B291" i="7"/>
  <c r="B294" i="7" s="1"/>
  <c r="B429" i="7"/>
  <c r="C578" i="7"/>
  <c r="C585" i="7"/>
  <c r="B98" i="7" s="1"/>
  <c r="C189" i="7"/>
  <c r="E269" i="7" l="1"/>
  <c r="E267" i="7"/>
  <c r="E265" i="7"/>
  <c r="E270" i="7"/>
  <c r="E268" i="7"/>
  <c r="E266" i="7"/>
  <c r="E264" i="7"/>
  <c r="AF631" i="7"/>
  <c r="AF627" i="7"/>
  <c r="AF609" i="7" s="1"/>
  <c r="AF629" i="7"/>
  <c r="AF611" i="7" s="1"/>
  <c r="AF628" i="7"/>
  <c r="AF622" i="7"/>
  <c r="AF610" i="7"/>
  <c r="AF64" i="7"/>
  <c r="AF35" i="7"/>
  <c r="AG2" i="7"/>
  <c r="AG33" i="7" s="1"/>
  <c r="AF649" i="7"/>
  <c r="AF643" i="7"/>
  <c r="AF60" i="7"/>
  <c r="T151" i="1"/>
  <c r="C240" i="7"/>
  <c r="C54" i="1"/>
  <c r="C49" i="1"/>
  <c r="C35" i="7" l="1"/>
  <c r="D35" i="7"/>
  <c r="E35" i="7"/>
  <c r="F35" i="7"/>
  <c r="G35" i="7"/>
  <c r="H35" i="7"/>
  <c r="I35" i="7"/>
  <c r="J35" i="7"/>
  <c r="K35" i="7"/>
  <c r="L35" i="7"/>
  <c r="M35" i="7"/>
  <c r="N35" i="7"/>
  <c r="O35" i="7"/>
  <c r="P35" i="7"/>
  <c r="Q35" i="7"/>
  <c r="R35" i="7"/>
  <c r="S35" i="7"/>
  <c r="T35" i="7"/>
  <c r="U35" i="7"/>
  <c r="V35" i="7"/>
  <c r="W35" i="7"/>
  <c r="X35" i="7"/>
  <c r="Y35" i="7"/>
  <c r="Z35" i="7"/>
  <c r="AA35" i="7"/>
  <c r="E271" i="7"/>
  <c r="AG628" i="7"/>
  <c r="AG622" i="7"/>
  <c r="AG610" i="7"/>
  <c r="AG627" i="7"/>
  <c r="AG609" i="7" s="1"/>
  <c r="AG631" i="7"/>
  <c r="AG629" i="7"/>
  <c r="AG611" i="7" s="1"/>
  <c r="AG64" i="7"/>
  <c r="AG35" i="7"/>
  <c r="AH2" i="7"/>
  <c r="AH33" i="7" s="1"/>
  <c r="AG649" i="7"/>
  <c r="AG643" i="7"/>
  <c r="AG60" i="7"/>
  <c r="U151" i="1"/>
  <c r="B419" i="7"/>
  <c r="B418" i="7"/>
  <c r="B417" i="7"/>
  <c r="B416" i="7"/>
  <c r="B281" i="7"/>
  <c r="B280" i="7"/>
  <c r="B279" i="7"/>
  <c r="B278" i="7"/>
  <c r="AP28" i="7"/>
  <c r="AO28" i="7"/>
  <c r="AN28" i="7"/>
  <c r="AM28" i="7"/>
  <c r="AL28" i="7"/>
  <c r="AK28" i="7"/>
  <c r="AJ28" i="7"/>
  <c r="AI28" i="7"/>
  <c r="AH28" i="7"/>
  <c r="AG28" i="7"/>
  <c r="AF28" i="7"/>
  <c r="AE28" i="7"/>
  <c r="AD28" i="7"/>
  <c r="AC28" i="7"/>
  <c r="AB28" i="7"/>
  <c r="AA28" i="7"/>
  <c r="Z28" i="7"/>
  <c r="Y28" i="7"/>
  <c r="X28" i="7"/>
  <c r="W28" i="7"/>
  <c r="V28" i="7"/>
  <c r="U28" i="7"/>
  <c r="T28" i="7"/>
  <c r="S28" i="7"/>
  <c r="R28" i="7"/>
  <c r="Q28" i="7"/>
  <c r="P28" i="7"/>
  <c r="O28" i="7"/>
  <c r="N28" i="7"/>
  <c r="M28" i="7"/>
  <c r="L28" i="7"/>
  <c r="K28" i="7"/>
  <c r="J28" i="7"/>
  <c r="I28" i="7"/>
  <c r="H28" i="7"/>
  <c r="G28" i="7"/>
  <c r="F28" i="7"/>
  <c r="E28" i="7"/>
  <c r="D28" i="7"/>
  <c r="C28" i="7"/>
  <c r="AP27" i="7"/>
  <c r="AO27" i="7"/>
  <c r="AN27" i="7"/>
  <c r="AM27" i="7"/>
  <c r="AL27" i="7"/>
  <c r="AK27" i="7"/>
  <c r="AJ27" i="7"/>
  <c r="AI27" i="7"/>
  <c r="AH27" i="7"/>
  <c r="AG27" i="7"/>
  <c r="AF27" i="7"/>
  <c r="AE27" i="7"/>
  <c r="AD27" i="7"/>
  <c r="AC27" i="7"/>
  <c r="AB27" i="7"/>
  <c r="AA27" i="7"/>
  <c r="Z27" i="7"/>
  <c r="Y27" i="7"/>
  <c r="X27" i="7"/>
  <c r="W27" i="7"/>
  <c r="V27" i="7"/>
  <c r="U27" i="7"/>
  <c r="T27" i="7"/>
  <c r="S27" i="7"/>
  <c r="R27" i="7"/>
  <c r="Q27" i="7"/>
  <c r="P27" i="7"/>
  <c r="O27" i="7"/>
  <c r="N27" i="7"/>
  <c r="M27" i="7"/>
  <c r="L27" i="7"/>
  <c r="K27" i="7"/>
  <c r="J27" i="7"/>
  <c r="I27" i="7"/>
  <c r="H27" i="7"/>
  <c r="G27" i="7"/>
  <c r="F27" i="7"/>
  <c r="E27" i="7"/>
  <c r="D27" i="7"/>
  <c r="C27" i="7"/>
  <c r="AP26" i="7"/>
  <c r="AO26" i="7"/>
  <c r="AN26" i="7"/>
  <c r="AM26" i="7"/>
  <c r="AL26" i="7"/>
  <c r="AK26" i="7"/>
  <c r="AJ26" i="7"/>
  <c r="AI26" i="7"/>
  <c r="AH26" i="7"/>
  <c r="AG26" i="7"/>
  <c r="AF26" i="7"/>
  <c r="AE26" i="7"/>
  <c r="AD26" i="7"/>
  <c r="AC26" i="7"/>
  <c r="AB26" i="7"/>
  <c r="AA26" i="7"/>
  <c r="Z26" i="7"/>
  <c r="Y26" i="7"/>
  <c r="X26" i="7"/>
  <c r="W26" i="7"/>
  <c r="V26" i="7"/>
  <c r="U26" i="7"/>
  <c r="T26" i="7"/>
  <c r="S26" i="7"/>
  <c r="R26" i="7"/>
  <c r="Q26" i="7"/>
  <c r="P26" i="7"/>
  <c r="O26" i="7"/>
  <c r="N26" i="7"/>
  <c r="M26" i="7"/>
  <c r="L26" i="7"/>
  <c r="K26" i="7"/>
  <c r="J26" i="7"/>
  <c r="I26" i="7"/>
  <c r="H26" i="7"/>
  <c r="G26" i="7"/>
  <c r="F26" i="7"/>
  <c r="E26" i="7"/>
  <c r="D26" i="7"/>
  <c r="C26" i="7"/>
  <c r="AH628" i="7" l="1"/>
  <c r="AH622" i="7"/>
  <c r="AH631" i="7"/>
  <c r="AH627" i="7"/>
  <c r="AH609" i="7" s="1"/>
  <c r="AH629" i="7"/>
  <c r="AH611" i="7" s="1"/>
  <c r="AH610" i="7"/>
  <c r="AH64" i="7"/>
  <c r="AH35" i="7"/>
  <c r="B282" i="7"/>
  <c r="AI2" i="7"/>
  <c r="AI33" i="7" s="1"/>
  <c r="AH649" i="7"/>
  <c r="AH643" i="7"/>
  <c r="AH60" i="7"/>
  <c r="V151" i="1"/>
  <c r="AI631" i="7" l="1"/>
  <c r="AI627" i="7"/>
  <c r="AI609" i="7" s="1"/>
  <c r="AI629" i="7"/>
  <c r="AI611" i="7" s="1"/>
  <c r="AI628" i="7"/>
  <c r="AI622" i="7"/>
  <c r="AI610" i="7"/>
  <c r="AI64" i="7"/>
  <c r="AI35" i="7"/>
  <c r="AJ2" i="7"/>
  <c r="AJ33" i="7" s="1"/>
  <c r="AI643" i="7"/>
  <c r="AI649" i="7"/>
  <c r="AI60" i="7"/>
  <c r="C65" i="7"/>
  <c r="W151" i="1"/>
  <c r="C650" i="7"/>
  <c r="C561" i="7"/>
  <c r="C555" i="7"/>
  <c r="C601" i="7"/>
  <c r="C597" i="7"/>
  <c r="C593" i="7"/>
  <c r="C589" i="7"/>
  <c r="C42" i="7"/>
  <c r="C46" i="7"/>
  <c r="C47" i="7" s="1"/>
  <c r="C39" i="7"/>
  <c r="C618" i="7"/>
  <c r="D618" i="7" s="1"/>
  <c r="C154" i="7"/>
  <c r="C725" i="7"/>
  <c r="C693" i="7"/>
  <c r="C661" i="7"/>
  <c r="C31" i="7"/>
  <c r="C66" i="7"/>
  <c r="AJ631" i="7" l="1"/>
  <c r="AJ627" i="7"/>
  <c r="AJ609" i="7" s="1"/>
  <c r="AJ629" i="7"/>
  <c r="AJ611" i="7" s="1"/>
  <c r="AJ628" i="7"/>
  <c r="AJ622" i="7"/>
  <c r="AJ610" i="7"/>
  <c r="AJ64" i="7"/>
  <c r="AJ35" i="7"/>
  <c r="AK2" i="7"/>
  <c r="AK33" i="7" s="1"/>
  <c r="AJ649" i="7"/>
  <c r="AJ643" i="7"/>
  <c r="AJ60" i="7"/>
  <c r="D65" i="7"/>
  <c r="X151" i="1"/>
  <c r="D650" i="7"/>
  <c r="D601" i="7"/>
  <c r="D597" i="7"/>
  <c r="D593" i="7"/>
  <c r="D589" i="7"/>
  <c r="D561" i="7"/>
  <c r="D555" i="7"/>
  <c r="D42" i="7"/>
  <c r="D46" i="7"/>
  <c r="D39" i="7"/>
  <c r="E618" i="7"/>
  <c r="D725" i="7"/>
  <c r="D693" i="7"/>
  <c r="D661" i="7"/>
  <c r="D31" i="7"/>
  <c r="D66" i="7"/>
  <c r="AK628" i="7" l="1"/>
  <c r="AK622" i="7"/>
  <c r="AK610" i="7"/>
  <c r="AK631" i="7"/>
  <c r="AK627" i="7"/>
  <c r="AK609" i="7" s="1"/>
  <c r="AK629" i="7"/>
  <c r="AK611" i="7" s="1"/>
  <c r="AK64" i="7"/>
  <c r="AK35" i="7"/>
  <c r="AL2" i="7"/>
  <c r="AL33" i="7" s="1"/>
  <c r="AK649" i="7"/>
  <c r="AK643" i="7"/>
  <c r="AK60" i="7"/>
  <c r="E65" i="7"/>
  <c r="Y151" i="1"/>
  <c r="E650" i="7"/>
  <c r="E561" i="7"/>
  <c r="E555" i="7"/>
  <c r="E601" i="7"/>
  <c r="E597" i="7"/>
  <c r="E593" i="7"/>
  <c r="E589" i="7"/>
  <c r="E42" i="7"/>
  <c r="E46" i="7"/>
  <c r="E39" i="7"/>
  <c r="F618" i="7"/>
  <c r="E725" i="7"/>
  <c r="E693" i="7"/>
  <c r="E661" i="7"/>
  <c r="E66" i="7"/>
  <c r="E31" i="7"/>
  <c r="AL629" i="7" l="1"/>
  <c r="AL611" i="7" s="1"/>
  <c r="AL622" i="7"/>
  <c r="AL610" i="7"/>
  <c r="AL631" i="7"/>
  <c r="AL627" i="7"/>
  <c r="AL609" i="7" s="1"/>
  <c r="AL628" i="7"/>
  <c r="AL64" i="7"/>
  <c r="AL35" i="7"/>
  <c r="AM2" i="7"/>
  <c r="AM33" i="7" s="1"/>
  <c r="AL649" i="7"/>
  <c r="AL643" i="7"/>
  <c r="AL60" i="7"/>
  <c r="F65" i="7"/>
  <c r="Z151" i="1"/>
  <c r="F650" i="7"/>
  <c r="F555" i="7"/>
  <c r="F601" i="7"/>
  <c r="F597" i="7"/>
  <c r="F593" i="7"/>
  <c r="F589" i="7"/>
  <c r="F561" i="7"/>
  <c r="F42" i="7"/>
  <c r="F46" i="7"/>
  <c r="F39" i="7"/>
  <c r="G618" i="7"/>
  <c r="F693" i="7"/>
  <c r="F725" i="7"/>
  <c r="F661" i="7"/>
  <c r="F66" i="7"/>
  <c r="F31" i="7"/>
  <c r="AP645" i="7"/>
  <c r="AM631" i="7" l="1"/>
  <c r="AM627" i="7"/>
  <c r="AM609" i="7" s="1"/>
  <c r="AM629" i="7"/>
  <c r="AM611" i="7" s="1"/>
  <c r="AM628" i="7"/>
  <c r="AM622" i="7"/>
  <c r="AM610" i="7"/>
  <c r="AM64" i="7"/>
  <c r="AM35" i="7"/>
  <c r="AN2" i="7"/>
  <c r="AN33" i="7" s="1"/>
  <c r="AM643" i="7"/>
  <c r="AM649" i="7"/>
  <c r="AM60" i="7"/>
  <c r="G65" i="7"/>
  <c r="AA151" i="1"/>
  <c r="G650" i="7"/>
  <c r="G561" i="7"/>
  <c r="G555" i="7"/>
  <c r="G593" i="7"/>
  <c r="G601" i="7"/>
  <c r="G597" i="7"/>
  <c r="G589" i="7"/>
  <c r="G42" i="7"/>
  <c r="G46" i="7"/>
  <c r="G39" i="7"/>
  <c r="H618" i="7"/>
  <c r="G725" i="7"/>
  <c r="G693" i="7"/>
  <c r="G661" i="7"/>
  <c r="G31" i="7"/>
  <c r="G66" i="7"/>
  <c r="AN631" i="7" l="1"/>
  <c r="AN627" i="7"/>
  <c r="AN609" i="7" s="1"/>
  <c r="AN629" i="7"/>
  <c r="AN611" i="7" s="1"/>
  <c r="AN628" i="7"/>
  <c r="AN622" i="7"/>
  <c r="AN610" i="7"/>
  <c r="AN64" i="7"/>
  <c r="AN35" i="7"/>
  <c r="AO2" i="7"/>
  <c r="AO33" i="7" s="1"/>
  <c r="AN643" i="7"/>
  <c r="AN649" i="7"/>
  <c r="AN60" i="7"/>
  <c r="H65" i="7"/>
  <c r="AB151" i="1"/>
  <c r="H650" i="7"/>
  <c r="H593" i="7"/>
  <c r="H561" i="7"/>
  <c r="H555" i="7"/>
  <c r="H601" i="7"/>
  <c r="H597" i="7"/>
  <c r="H589" i="7"/>
  <c r="H42" i="7"/>
  <c r="H46" i="7"/>
  <c r="H39" i="7"/>
  <c r="I618" i="7"/>
  <c r="H725" i="7"/>
  <c r="H661" i="7"/>
  <c r="H693" i="7"/>
  <c r="H31" i="7"/>
  <c r="H66" i="7"/>
  <c r="A738" i="7"/>
  <c r="A739" i="7" s="1"/>
  <c r="A740" i="7" s="1"/>
  <c r="A741" i="7" s="1"/>
  <c r="A742" i="7" s="1"/>
  <c r="A743" i="7" s="1"/>
  <c r="A744" i="7" s="1"/>
  <c r="A745" i="7" s="1"/>
  <c r="A746" i="7" s="1"/>
  <c r="A726" i="7"/>
  <c r="H726" i="7" s="1"/>
  <c r="B721" i="7"/>
  <c r="C718" i="7" s="1"/>
  <c r="A706" i="7"/>
  <c r="A707" i="7" s="1"/>
  <c r="A708" i="7" s="1"/>
  <c r="A709" i="7" s="1"/>
  <c r="A710" i="7" s="1"/>
  <c r="A711" i="7" s="1"/>
  <c r="A712" i="7" s="1"/>
  <c r="A713" i="7" s="1"/>
  <c r="A714" i="7" s="1"/>
  <c r="A694" i="7"/>
  <c r="H694" i="7" s="1"/>
  <c r="B689" i="7"/>
  <c r="C686" i="7" s="1"/>
  <c r="A674" i="7"/>
  <c r="A675" i="7" s="1"/>
  <c r="A676" i="7" s="1"/>
  <c r="A677" i="7" s="1"/>
  <c r="A678" i="7" s="1"/>
  <c r="A679" i="7" s="1"/>
  <c r="A680" i="7" s="1"/>
  <c r="A681" i="7" s="1"/>
  <c r="A682" i="7" s="1"/>
  <c r="A662" i="7"/>
  <c r="H662" i="7" s="1"/>
  <c r="C654" i="7"/>
  <c r="A600" i="7"/>
  <c r="A596" i="7"/>
  <c r="A592" i="7"/>
  <c r="A588" i="7"/>
  <c r="A584" i="7"/>
  <c r="A293" i="7" s="1"/>
  <c r="A583" i="7"/>
  <c r="A292" i="7" s="1"/>
  <c r="A582" i="7"/>
  <c r="A291" i="7" s="1"/>
  <c r="A581" i="7"/>
  <c r="A290" i="7" s="1"/>
  <c r="A577" i="7"/>
  <c r="A287" i="7" s="1"/>
  <c r="A576" i="7"/>
  <c r="A286" i="7" s="1"/>
  <c r="A575" i="7"/>
  <c r="A285" i="7" s="1"/>
  <c r="A574" i="7"/>
  <c r="A284" i="7" s="1"/>
  <c r="A573" i="7"/>
  <c r="A283" i="7" s="1"/>
  <c r="C571" i="7"/>
  <c r="A571" i="7"/>
  <c r="A281" i="7" s="1"/>
  <c r="C570" i="7"/>
  <c r="A570" i="7"/>
  <c r="A280" i="7" s="1"/>
  <c r="C569" i="7"/>
  <c r="A569" i="7"/>
  <c r="A279" i="7" s="1"/>
  <c r="C568" i="7"/>
  <c r="C224" i="7" s="1"/>
  <c r="A568" i="7"/>
  <c r="A278" i="7" s="1"/>
  <c r="A567" i="7"/>
  <c r="A277" i="7" s="1"/>
  <c r="A527" i="7"/>
  <c r="A528" i="7" s="1"/>
  <c r="A529" i="7" s="1"/>
  <c r="A530" i="7" s="1"/>
  <c r="A531" i="7" s="1"/>
  <c r="A532" i="7" s="1"/>
  <c r="A533" i="7" s="1"/>
  <c r="A534" i="7" s="1"/>
  <c r="A535" i="7" s="1"/>
  <c r="A515" i="7"/>
  <c r="A516" i="7" s="1"/>
  <c r="A517" i="7" s="1"/>
  <c r="A518" i="7" s="1"/>
  <c r="A519" i="7" s="1"/>
  <c r="A520" i="7" s="1"/>
  <c r="A521" i="7" s="1"/>
  <c r="A522" i="7" s="1"/>
  <c r="A523" i="7" s="1"/>
  <c r="A501" i="7"/>
  <c r="A502" i="7" s="1"/>
  <c r="A503" i="7" s="1"/>
  <c r="A504" i="7" s="1"/>
  <c r="A505" i="7" s="1"/>
  <c r="A506" i="7" s="1"/>
  <c r="A507" i="7" s="1"/>
  <c r="A508" i="7" s="1"/>
  <c r="A509" i="7" s="1"/>
  <c r="A489" i="7"/>
  <c r="A490" i="7" s="1"/>
  <c r="A491" i="7" s="1"/>
  <c r="A492" i="7" s="1"/>
  <c r="A493" i="7" s="1"/>
  <c r="A494" i="7" s="1"/>
  <c r="A495" i="7" s="1"/>
  <c r="A496" i="7" s="1"/>
  <c r="A497" i="7" s="1"/>
  <c r="A475" i="7"/>
  <c r="A476" i="7" s="1"/>
  <c r="A477" i="7" s="1"/>
  <c r="A478" i="7" s="1"/>
  <c r="A479" i="7" s="1"/>
  <c r="A480" i="7" s="1"/>
  <c r="A481" i="7" s="1"/>
  <c r="A482" i="7" s="1"/>
  <c r="A483" i="7" s="1"/>
  <c r="A463" i="7"/>
  <c r="A464" i="7" s="1"/>
  <c r="A465" i="7" s="1"/>
  <c r="A466" i="7" s="1"/>
  <c r="A467" i="7" s="1"/>
  <c r="A468" i="7" s="1"/>
  <c r="A469" i="7" s="1"/>
  <c r="A470" i="7" s="1"/>
  <c r="A471" i="7" s="1"/>
  <c r="B457" i="7"/>
  <c r="B456" i="7"/>
  <c r="A388" i="7"/>
  <c r="A389" i="7" s="1"/>
  <c r="A390" i="7" s="1"/>
  <c r="A391" i="7" s="1"/>
  <c r="A392" i="7" s="1"/>
  <c r="A393" i="7" s="1"/>
  <c r="A394" i="7" s="1"/>
  <c r="A395" i="7" s="1"/>
  <c r="A396" i="7" s="1"/>
  <c r="A376" i="7"/>
  <c r="A377" i="7" s="1"/>
  <c r="A378" i="7" s="1"/>
  <c r="A379" i="7" s="1"/>
  <c r="A380" i="7" s="1"/>
  <c r="A381" i="7" s="1"/>
  <c r="A382" i="7" s="1"/>
  <c r="A383" i="7" s="1"/>
  <c r="A384" i="7" s="1"/>
  <c r="A362" i="7"/>
  <c r="A363" i="7" s="1"/>
  <c r="A364" i="7" s="1"/>
  <c r="A365" i="7" s="1"/>
  <c r="A366" i="7" s="1"/>
  <c r="A367" i="7" s="1"/>
  <c r="A368" i="7" s="1"/>
  <c r="A369" i="7" s="1"/>
  <c r="A370" i="7" s="1"/>
  <c r="A350" i="7"/>
  <c r="A351" i="7" s="1"/>
  <c r="A352" i="7" s="1"/>
  <c r="A353" i="7" s="1"/>
  <c r="A354" i="7" s="1"/>
  <c r="A355" i="7" s="1"/>
  <c r="A356" i="7" s="1"/>
  <c r="A357" i="7" s="1"/>
  <c r="A358" i="7" s="1"/>
  <c r="A336" i="7"/>
  <c r="A337" i="7" s="1"/>
  <c r="A338" i="7" s="1"/>
  <c r="A339" i="7" s="1"/>
  <c r="A340" i="7" s="1"/>
  <c r="A341" i="7" s="1"/>
  <c r="A342" i="7" s="1"/>
  <c r="A343" i="7" s="1"/>
  <c r="A344" i="7" s="1"/>
  <c r="A325" i="7"/>
  <c r="A326" i="7" s="1"/>
  <c r="A327" i="7" s="1"/>
  <c r="A328" i="7" s="1"/>
  <c r="A329" i="7" s="1"/>
  <c r="A330" i="7" s="1"/>
  <c r="A331" i="7" s="1"/>
  <c r="A332" i="7" s="1"/>
  <c r="A333" i="7" s="1"/>
  <c r="B319" i="7"/>
  <c r="B318" i="7"/>
  <c r="A289" i="7"/>
  <c r="A276" i="7"/>
  <c r="A269" i="7"/>
  <c r="A407" i="7" s="1"/>
  <c r="A268" i="7"/>
  <c r="A406" i="7" s="1"/>
  <c r="A267" i="7"/>
  <c r="A405" i="7" s="1"/>
  <c r="A266" i="7"/>
  <c r="A404" i="7" s="1"/>
  <c r="A265" i="7"/>
  <c r="A403" i="7" s="1"/>
  <c r="A264" i="7"/>
  <c r="A402" i="7" s="1"/>
  <c r="A241" i="7"/>
  <c r="A235" i="7"/>
  <c r="A229" i="7"/>
  <c r="A223" i="7"/>
  <c r="A222" i="7"/>
  <c r="A200" i="7"/>
  <c r="A194" i="7"/>
  <c r="A188" i="7"/>
  <c r="A182" i="7"/>
  <c r="A181" i="7"/>
  <c r="B140" i="7"/>
  <c r="B139" i="7"/>
  <c r="B136" i="7"/>
  <c r="B135" i="7"/>
  <c r="AP125" i="7"/>
  <c r="AO125" i="7"/>
  <c r="AN125" i="7"/>
  <c r="AM125" i="7"/>
  <c r="AL125" i="7"/>
  <c r="AK125" i="7"/>
  <c r="AJ125" i="7"/>
  <c r="AI125" i="7"/>
  <c r="AH125" i="7"/>
  <c r="AG125" i="7"/>
  <c r="AF125" i="7"/>
  <c r="AE125" i="7"/>
  <c r="AD125" i="7"/>
  <c r="AC125" i="7"/>
  <c r="AB125" i="7"/>
  <c r="AA125" i="7"/>
  <c r="Z125" i="7"/>
  <c r="Y125" i="7"/>
  <c r="X125" i="7"/>
  <c r="W125" i="7"/>
  <c r="V125" i="7"/>
  <c r="U125" i="7"/>
  <c r="T125" i="7"/>
  <c r="S125" i="7"/>
  <c r="R125" i="7"/>
  <c r="Q125" i="7"/>
  <c r="P125" i="7"/>
  <c r="O125" i="7"/>
  <c r="N125" i="7"/>
  <c r="M125" i="7"/>
  <c r="L125" i="7"/>
  <c r="K125" i="7"/>
  <c r="J125" i="7"/>
  <c r="I125" i="7"/>
  <c r="H125" i="7"/>
  <c r="G125" i="7"/>
  <c r="F125" i="7"/>
  <c r="E125" i="7"/>
  <c r="D125" i="7"/>
  <c r="C125" i="7"/>
  <c r="B111" i="7"/>
  <c r="B110" i="7"/>
  <c r="B109" i="7"/>
  <c r="B106" i="7"/>
  <c r="B105" i="7"/>
  <c r="B88" i="7"/>
  <c r="A82" i="7"/>
  <c r="A81" i="7"/>
  <c r="A80" i="7"/>
  <c r="A79" i="7"/>
  <c r="AO628" i="7" l="1"/>
  <c r="AO622" i="7"/>
  <c r="AO610" i="7"/>
  <c r="AO629" i="7"/>
  <c r="AO611" i="7" s="1"/>
  <c r="AO631" i="7"/>
  <c r="AO627" i="7"/>
  <c r="AO609" i="7" s="1"/>
  <c r="AO64" i="7"/>
  <c r="AO35" i="7"/>
  <c r="AP2" i="7"/>
  <c r="AP33" i="7" s="1"/>
  <c r="AO649" i="7"/>
  <c r="AO643" i="7"/>
  <c r="AO60" i="7"/>
  <c r="I65" i="7"/>
  <c r="AC151" i="1"/>
  <c r="I650" i="7"/>
  <c r="I561" i="7"/>
  <c r="I555" i="7"/>
  <c r="I601" i="7"/>
  <c r="I597" i="7"/>
  <c r="I593" i="7"/>
  <c r="I589" i="7"/>
  <c r="I42" i="7"/>
  <c r="I46" i="7"/>
  <c r="I39" i="7"/>
  <c r="J618" i="7"/>
  <c r="A727" i="7"/>
  <c r="C739" i="7" s="1"/>
  <c r="C726" i="7"/>
  <c r="C376" i="7" s="1"/>
  <c r="D726" i="7"/>
  <c r="E726" i="7"/>
  <c r="F726" i="7"/>
  <c r="G726" i="7"/>
  <c r="A663" i="7"/>
  <c r="C675" i="7" s="1"/>
  <c r="C662" i="7"/>
  <c r="D662" i="7"/>
  <c r="E662" i="7"/>
  <c r="F662" i="7"/>
  <c r="G662" i="7"/>
  <c r="A695" i="7"/>
  <c r="I695" i="7" s="1"/>
  <c r="C694" i="7"/>
  <c r="C350" i="7" s="1"/>
  <c r="D694" i="7"/>
  <c r="E694" i="7"/>
  <c r="F694" i="7"/>
  <c r="G694" i="7"/>
  <c r="I726" i="7"/>
  <c r="I725" i="7"/>
  <c r="I727" i="7"/>
  <c r="I693" i="7"/>
  <c r="I694" i="7"/>
  <c r="I661" i="7"/>
  <c r="I662" i="7"/>
  <c r="I66" i="7"/>
  <c r="I31" i="7"/>
  <c r="C183" i="7"/>
  <c r="C226" i="7"/>
  <c r="C185" i="7"/>
  <c r="C225" i="7"/>
  <c r="C184" i="7"/>
  <c r="C227" i="7"/>
  <c r="C186" i="7"/>
  <c r="C644" i="7"/>
  <c r="C572" i="7"/>
  <c r="B97" i="7" s="1"/>
  <c r="B288" i="7"/>
  <c r="B112" i="7"/>
  <c r="B420" i="7"/>
  <c r="B426" i="7"/>
  <c r="D674" i="7"/>
  <c r="D440" i="7"/>
  <c r="D304" i="7"/>
  <c r="C738" i="7"/>
  <c r="C375" i="7"/>
  <c r="C706" i="7"/>
  <c r="C674" i="7"/>
  <c r="C324" i="7"/>
  <c r="C562" i="7"/>
  <c r="C556" i="7"/>
  <c r="C441" i="7"/>
  <c r="C440" i="7"/>
  <c r="C439" i="7"/>
  <c r="C438" i="7"/>
  <c r="C437" i="7"/>
  <c r="C457" i="7"/>
  <c r="C319" i="7"/>
  <c r="C303" i="7"/>
  <c r="C302" i="7"/>
  <c r="C301" i="7"/>
  <c r="C300" i="7"/>
  <c r="C299" i="7"/>
  <c r="B141" i="7"/>
  <c r="C41" i="7"/>
  <c r="D41" i="7"/>
  <c r="B137" i="7"/>
  <c r="A438" i="7"/>
  <c r="A446" i="7" s="1"/>
  <c r="A440" i="7"/>
  <c r="A448" i="7" s="1"/>
  <c r="A442" i="7"/>
  <c r="A450" i="7" s="1"/>
  <c r="A415" i="7"/>
  <c r="A426" i="7"/>
  <c r="A427" i="7"/>
  <c r="A299" i="7"/>
  <c r="A307" i="7" s="1"/>
  <c r="A300" i="7"/>
  <c r="A308" i="7" s="1"/>
  <c r="A301" i="7"/>
  <c r="A309" i="7" s="1"/>
  <c r="A302" i="7"/>
  <c r="A310" i="7" s="1"/>
  <c r="A303" i="7"/>
  <c r="A311" i="7" s="1"/>
  <c r="A304" i="7"/>
  <c r="A312" i="7" s="1"/>
  <c r="A437" i="7"/>
  <c r="A445" i="7" s="1"/>
  <c r="A439" i="7"/>
  <c r="A447" i="7" s="1"/>
  <c r="A441" i="7"/>
  <c r="A449" i="7" s="1"/>
  <c r="A414" i="7"/>
  <c r="A420" i="7"/>
  <c r="A421" i="7"/>
  <c r="A432" i="7"/>
  <c r="D408" i="7" l="1"/>
  <c r="D405" i="7"/>
  <c r="D404" i="7"/>
  <c r="D406" i="7"/>
  <c r="D407" i="7"/>
  <c r="D402" i="7"/>
  <c r="D403" i="7"/>
  <c r="D269" i="7"/>
  <c r="D270" i="7"/>
  <c r="D267" i="7"/>
  <c r="D265" i="7"/>
  <c r="D268" i="7"/>
  <c r="D264" i="7"/>
  <c r="D266" i="7"/>
  <c r="AP631" i="7"/>
  <c r="AP627" i="7"/>
  <c r="AP609" i="7" s="1"/>
  <c r="AP629" i="7"/>
  <c r="AP611" i="7" s="1"/>
  <c r="AP628" i="7"/>
  <c r="AP622" i="7"/>
  <c r="AP610" i="7"/>
  <c r="AP64" i="7"/>
  <c r="AP35" i="7"/>
  <c r="AP649" i="7"/>
  <c r="AP643" i="7"/>
  <c r="AP60" i="7"/>
  <c r="J65" i="7"/>
  <c r="AD151" i="1"/>
  <c r="J650" i="7"/>
  <c r="J561" i="7"/>
  <c r="J589" i="7"/>
  <c r="J555" i="7"/>
  <c r="J601" i="7"/>
  <c r="J597" i="7"/>
  <c r="J593" i="7"/>
  <c r="J42" i="7"/>
  <c r="J46" i="7"/>
  <c r="J39" i="7"/>
  <c r="K618" i="7"/>
  <c r="B99" i="7"/>
  <c r="I663" i="7"/>
  <c r="D707" i="7"/>
  <c r="C707" i="7"/>
  <c r="C320" i="7"/>
  <c r="A664" i="7"/>
  <c r="D676" i="7" s="1"/>
  <c r="C663" i="7"/>
  <c r="C326" i="7" s="1"/>
  <c r="D663" i="7"/>
  <c r="E663" i="7"/>
  <c r="F663" i="7"/>
  <c r="G663" i="7"/>
  <c r="H663" i="7"/>
  <c r="A696" i="7"/>
  <c r="D708" i="7" s="1"/>
  <c r="C695" i="7"/>
  <c r="C351" i="7" s="1"/>
  <c r="D695" i="7"/>
  <c r="E695" i="7"/>
  <c r="F695" i="7"/>
  <c r="G695" i="7"/>
  <c r="H695" i="7"/>
  <c r="A728" i="7"/>
  <c r="J728" i="7" s="1"/>
  <c r="C727" i="7"/>
  <c r="C377" i="7" s="1"/>
  <c r="D727" i="7"/>
  <c r="E727" i="7"/>
  <c r="F727" i="7"/>
  <c r="G727" i="7"/>
  <c r="H727" i="7"/>
  <c r="J725" i="7"/>
  <c r="J696" i="7"/>
  <c r="J695" i="7"/>
  <c r="J694" i="7"/>
  <c r="J693" i="7"/>
  <c r="J727" i="7"/>
  <c r="J726" i="7"/>
  <c r="J662" i="7"/>
  <c r="J663" i="7"/>
  <c r="J661" i="7"/>
  <c r="C187" i="7"/>
  <c r="J66" i="7"/>
  <c r="J31" i="7"/>
  <c r="D556" i="7"/>
  <c r="D300" i="7"/>
  <c r="D301" i="7"/>
  <c r="D437" i="7"/>
  <c r="D441" i="7"/>
  <c r="D562" i="7"/>
  <c r="D675" i="7"/>
  <c r="D349" i="7"/>
  <c r="D376" i="7"/>
  <c r="D319" i="7"/>
  <c r="D302" i="7"/>
  <c r="D438" i="7"/>
  <c r="D442" i="7"/>
  <c r="D324" i="7"/>
  <c r="D738" i="7"/>
  <c r="D43" i="7"/>
  <c r="D299" i="7"/>
  <c r="D303" i="7"/>
  <c r="D439" i="7"/>
  <c r="D457" i="7"/>
  <c r="D325" i="7"/>
  <c r="D706" i="7"/>
  <c r="D739" i="7"/>
  <c r="D644" i="7"/>
  <c r="C228" i="7"/>
  <c r="C458" i="7"/>
  <c r="C349" i="7"/>
  <c r="C43" i="7"/>
  <c r="C67" i="7" s="1"/>
  <c r="E738" i="7"/>
  <c r="E739" i="7"/>
  <c r="E707" i="7"/>
  <c r="E706" i="7"/>
  <c r="E674" i="7"/>
  <c r="E562" i="7"/>
  <c r="E442" i="7"/>
  <c r="E441" i="7"/>
  <c r="E440" i="7"/>
  <c r="E438" i="7"/>
  <c r="E437" i="7"/>
  <c r="E457" i="7"/>
  <c r="E304" i="7"/>
  <c r="E303" i="7"/>
  <c r="E302" i="7"/>
  <c r="E300" i="7"/>
  <c r="E299" i="7"/>
  <c r="E41" i="7"/>
  <c r="C515" i="7"/>
  <c r="C325" i="7"/>
  <c r="C462" i="7"/>
  <c r="C489" i="7"/>
  <c r="C514" i="7"/>
  <c r="D375" i="7"/>
  <c r="C69" i="7" l="1"/>
  <c r="C71" i="7" s="1"/>
  <c r="D409" i="7"/>
  <c r="D271" i="7"/>
  <c r="K65" i="7"/>
  <c r="AE151" i="1"/>
  <c r="K650" i="7"/>
  <c r="K561" i="7"/>
  <c r="K555" i="7"/>
  <c r="K601" i="7"/>
  <c r="K597" i="7"/>
  <c r="K593" i="7"/>
  <c r="K589" i="7"/>
  <c r="K42" i="7"/>
  <c r="K46" i="7"/>
  <c r="K39" i="7"/>
  <c r="L618" i="7"/>
  <c r="D488" i="7"/>
  <c r="C464" i="7"/>
  <c r="C490" i="7"/>
  <c r="D463" i="7"/>
  <c r="C516" i="7"/>
  <c r="C488" i="7"/>
  <c r="E708" i="7"/>
  <c r="E676" i="7"/>
  <c r="D326" i="7"/>
  <c r="D377" i="7"/>
  <c r="D740" i="7"/>
  <c r="J664" i="7"/>
  <c r="A729" i="7"/>
  <c r="C741" i="7" s="1"/>
  <c r="C728" i="7"/>
  <c r="D728" i="7"/>
  <c r="E728" i="7"/>
  <c r="F728" i="7"/>
  <c r="G728" i="7"/>
  <c r="H728" i="7"/>
  <c r="C740" i="7"/>
  <c r="I728" i="7"/>
  <c r="A665" i="7"/>
  <c r="F677" i="7" s="1"/>
  <c r="C664" i="7"/>
  <c r="D664" i="7"/>
  <c r="E664" i="7"/>
  <c r="F664" i="7"/>
  <c r="G664" i="7"/>
  <c r="H664" i="7"/>
  <c r="I664" i="7"/>
  <c r="C676" i="7"/>
  <c r="D351" i="7"/>
  <c r="A697" i="7"/>
  <c r="K697" i="7" s="1"/>
  <c r="C696" i="7"/>
  <c r="D696" i="7"/>
  <c r="E696" i="7"/>
  <c r="F696" i="7"/>
  <c r="G696" i="7"/>
  <c r="H696" i="7"/>
  <c r="C708" i="7"/>
  <c r="I696" i="7"/>
  <c r="K728" i="7"/>
  <c r="K727" i="7"/>
  <c r="K725" i="7"/>
  <c r="K696" i="7"/>
  <c r="K726" i="7"/>
  <c r="K694" i="7"/>
  <c r="K664" i="7"/>
  <c r="K662" i="7"/>
  <c r="K695" i="7"/>
  <c r="K663" i="7"/>
  <c r="K661" i="7"/>
  <c r="K693" i="7"/>
  <c r="D320" i="7"/>
  <c r="D458" i="7"/>
  <c r="K31" i="7"/>
  <c r="K66" i="7"/>
  <c r="E301" i="7"/>
  <c r="E319" i="7"/>
  <c r="E439" i="7"/>
  <c r="E556" i="7"/>
  <c r="E675" i="7"/>
  <c r="E740" i="7"/>
  <c r="E351" i="7"/>
  <c r="E324" i="7"/>
  <c r="E377" i="7"/>
  <c r="E376" i="7"/>
  <c r="D350" i="7"/>
  <c r="E325" i="7"/>
  <c r="E350" i="7"/>
  <c r="F644" i="7"/>
  <c r="E644" i="7"/>
  <c r="E375" i="7"/>
  <c r="E43" i="7"/>
  <c r="D515" i="7"/>
  <c r="D514" i="7"/>
  <c r="C463" i="7"/>
  <c r="D462" i="7"/>
  <c r="F740" i="7"/>
  <c r="F739" i="7"/>
  <c r="F377" i="7"/>
  <c r="F376" i="7"/>
  <c r="F375" i="7"/>
  <c r="F708" i="7"/>
  <c r="F707" i="7"/>
  <c r="F706" i="7"/>
  <c r="F351" i="7"/>
  <c r="F350" i="7"/>
  <c r="F349" i="7"/>
  <c r="F676" i="7"/>
  <c r="F675" i="7"/>
  <c r="F674" i="7"/>
  <c r="F325" i="7"/>
  <c r="F324" i="7"/>
  <c r="F562" i="7"/>
  <c r="F556" i="7"/>
  <c r="F457" i="7"/>
  <c r="F442" i="7"/>
  <c r="F441" i="7"/>
  <c r="F440" i="7"/>
  <c r="F439" i="7"/>
  <c r="F438" i="7"/>
  <c r="F437" i="7"/>
  <c r="F304" i="7"/>
  <c r="F303" i="7"/>
  <c r="F302" i="7"/>
  <c r="F301" i="7"/>
  <c r="F300" i="7"/>
  <c r="F299" i="7"/>
  <c r="F319" i="7"/>
  <c r="F41" i="7"/>
  <c r="E320" i="7"/>
  <c r="E458" i="7"/>
  <c r="C709" i="7" l="1"/>
  <c r="L65" i="7"/>
  <c r="AF151" i="1"/>
  <c r="L650" i="7"/>
  <c r="L597" i="7"/>
  <c r="L589" i="7"/>
  <c r="L561" i="7"/>
  <c r="L555" i="7"/>
  <c r="L601" i="7"/>
  <c r="L593" i="7"/>
  <c r="L42" i="7"/>
  <c r="L46" i="7"/>
  <c r="L39" i="7"/>
  <c r="M618" i="7"/>
  <c r="D490" i="7"/>
  <c r="E489" i="7"/>
  <c r="E463" i="7"/>
  <c r="D489" i="7"/>
  <c r="E515" i="7"/>
  <c r="E514" i="7"/>
  <c r="E516" i="7"/>
  <c r="D516" i="7"/>
  <c r="E462" i="7"/>
  <c r="D464" i="7"/>
  <c r="E490" i="7"/>
  <c r="F741" i="7"/>
  <c r="F709" i="7"/>
  <c r="F327" i="7"/>
  <c r="E352" i="7"/>
  <c r="F352" i="7"/>
  <c r="K665" i="7"/>
  <c r="E327" i="7"/>
  <c r="E378" i="7"/>
  <c r="C352" i="7"/>
  <c r="D352" i="7"/>
  <c r="C327" i="7"/>
  <c r="D327" i="7"/>
  <c r="A698" i="7"/>
  <c r="C710" i="7" s="1"/>
  <c r="C697" i="7"/>
  <c r="D697" i="7"/>
  <c r="E697" i="7"/>
  <c r="F697" i="7"/>
  <c r="G697" i="7"/>
  <c r="H697" i="7"/>
  <c r="I697" i="7"/>
  <c r="J697" i="7"/>
  <c r="D709" i="7"/>
  <c r="A666" i="7"/>
  <c r="E678" i="7" s="1"/>
  <c r="C665" i="7"/>
  <c r="D665" i="7"/>
  <c r="E665" i="7"/>
  <c r="F665" i="7"/>
  <c r="G665" i="7"/>
  <c r="H665" i="7"/>
  <c r="I665" i="7"/>
  <c r="J665" i="7"/>
  <c r="E677" i="7"/>
  <c r="D677" i="7"/>
  <c r="E709" i="7"/>
  <c r="K729" i="7"/>
  <c r="C677" i="7"/>
  <c r="C378" i="7"/>
  <c r="D378" i="7"/>
  <c r="A730" i="7"/>
  <c r="C742" i="7" s="1"/>
  <c r="C729" i="7"/>
  <c r="D729" i="7"/>
  <c r="E729" i="7"/>
  <c r="F729" i="7"/>
  <c r="G729" i="7"/>
  <c r="H729" i="7"/>
  <c r="I729" i="7"/>
  <c r="E741" i="7"/>
  <c r="J729" i="7"/>
  <c r="D741" i="7"/>
  <c r="L728" i="7"/>
  <c r="L726" i="7"/>
  <c r="L729" i="7"/>
  <c r="L727" i="7"/>
  <c r="L725" i="7"/>
  <c r="L696" i="7"/>
  <c r="L694" i="7"/>
  <c r="L665" i="7"/>
  <c r="L664" i="7"/>
  <c r="L663" i="7"/>
  <c r="L662" i="7"/>
  <c r="L661" i="7"/>
  <c r="L697" i="7"/>
  <c r="L695" i="7"/>
  <c r="L693" i="7"/>
  <c r="L31" i="7"/>
  <c r="L66" i="7"/>
  <c r="E326" i="7"/>
  <c r="E349" i="7"/>
  <c r="F378" i="7"/>
  <c r="F326" i="7"/>
  <c r="G644" i="7"/>
  <c r="F43" i="7"/>
  <c r="F462" i="7"/>
  <c r="F490" i="7"/>
  <c r="F514" i="7"/>
  <c r="F515" i="7"/>
  <c r="G741" i="7"/>
  <c r="G740" i="7"/>
  <c r="G739" i="7"/>
  <c r="G378" i="7"/>
  <c r="G377" i="7"/>
  <c r="G376" i="7"/>
  <c r="G375" i="7"/>
  <c r="G709" i="7"/>
  <c r="G708" i="7"/>
  <c r="G707" i="7"/>
  <c r="G706" i="7"/>
  <c r="G352" i="7"/>
  <c r="G351" i="7"/>
  <c r="G350" i="7"/>
  <c r="G349" i="7"/>
  <c r="G677" i="7"/>
  <c r="G676" i="7"/>
  <c r="G675" i="7"/>
  <c r="G674" i="7"/>
  <c r="G327" i="7"/>
  <c r="G326" i="7"/>
  <c r="G325" i="7"/>
  <c r="G324" i="7"/>
  <c r="G562" i="7"/>
  <c r="G556" i="7"/>
  <c r="G442" i="7"/>
  <c r="G441" i="7"/>
  <c r="G440" i="7"/>
  <c r="G439" i="7"/>
  <c r="G438" i="7"/>
  <c r="G437" i="7"/>
  <c r="G457" i="7"/>
  <c r="G319" i="7"/>
  <c r="G304" i="7"/>
  <c r="G303" i="7"/>
  <c r="G302" i="7"/>
  <c r="G301" i="7"/>
  <c r="G300" i="7"/>
  <c r="G299" i="7"/>
  <c r="G41" i="7"/>
  <c r="F320" i="7"/>
  <c r="F463" i="7"/>
  <c r="F488" i="7"/>
  <c r="F516" i="7"/>
  <c r="F458" i="7"/>
  <c r="F489" i="7"/>
  <c r="E742" i="7" l="1"/>
  <c r="D742" i="7"/>
  <c r="C678" i="7"/>
  <c r="M65" i="7"/>
  <c r="AG151" i="1"/>
  <c r="M650" i="7"/>
  <c r="M561" i="7"/>
  <c r="M555" i="7"/>
  <c r="M601" i="7"/>
  <c r="M597" i="7"/>
  <c r="M593" i="7"/>
  <c r="M589" i="7"/>
  <c r="M42" i="7"/>
  <c r="M46" i="7"/>
  <c r="M39" i="7"/>
  <c r="N618" i="7"/>
  <c r="E488" i="7"/>
  <c r="F491" i="7"/>
  <c r="D465" i="7"/>
  <c r="E491" i="7"/>
  <c r="C465" i="7"/>
  <c r="F465" i="7"/>
  <c r="D491" i="7"/>
  <c r="F464" i="7"/>
  <c r="C491" i="7"/>
  <c r="F517" i="7"/>
  <c r="E517" i="7"/>
  <c r="D517" i="7"/>
  <c r="E465" i="7"/>
  <c r="E464" i="7"/>
  <c r="C517" i="7"/>
  <c r="G710" i="7"/>
  <c r="E710" i="7"/>
  <c r="L698" i="7"/>
  <c r="G353" i="7"/>
  <c r="D678" i="7"/>
  <c r="G328" i="7"/>
  <c r="G678" i="7"/>
  <c r="L666" i="7"/>
  <c r="G379" i="7"/>
  <c r="D710" i="7"/>
  <c r="G742" i="7"/>
  <c r="L730" i="7"/>
  <c r="F710" i="7"/>
  <c r="C328" i="7"/>
  <c r="D328" i="7"/>
  <c r="F328" i="7"/>
  <c r="E328" i="7"/>
  <c r="D379" i="7"/>
  <c r="C379" i="7"/>
  <c r="F379" i="7"/>
  <c r="E379" i="7"/>
  <c r="A667" i="7"/>
  <c r="C679" i="7" s="1"/>
  <c r="C666" i="7"/>
  <c r="D666" i="7"/>
  <c r="E666" i="7"/>
  <c r="F666" i="7"/>
  <c r="G666" i="7"/>
  <c r="H666" i="7"/>
  <c r="I666" i="7"/>
  <c r="J666" i="7"/>
  <c r="K666" i="7"/>
  <c r="F678" i="7"/>
  <c r="C353" i="7"/>
  <c r="D353" i="7"/>
  <c r="F353" i="7"/>
  <c r="E353" i="7"/>
  <c r="A731" i="7"/>
  <c r="E743" i="7" s="1"/>
  <c r="C730" i="7"/>
  <c r="D730" i="7"/>
  <c r="E730" i="7"/>
  <c r="F730" i="7"/>
  <c r="G730" i="7"/>
  <c r="H730" i="7"/>
  <c r="I730" i="7"/>
  <c r="J730" i="7"/>
  <c r="K730" i="7"/>
  <c r="F742" i="7"/>
  <c r="A699" i="7"/>
  <c r="D711" i="7" s="1"/>
  <c r="C698" i="7"/>
  <c r="D698" i="7"/>
  <c r="E698" i="7"/>
  <c r="F698" i="7"/>
  <c r="G698" i="7"/>
  <c r="H698" i="7"/>
  <c r="I698" i="7"/>
  <c r="J698" i="7"/>
  <c r="K698" i="7"/>
  <c r="M729" i="7"/>
  <c r="M727" i="7"/>
  <c r="M726" i="7"/>
  <c r="M725" i="7"/>
  <c r="M730" i="7"/>
  <c r="M693" i="7"/>
  <c r="M698" i="7"/>
  <c r="M696" i="7"/>
  <c r="M728" i="7"/>
  <c r="M697" i="7"/>
  <c r="M695" i="7"/>
  <c r="M665" i="7"/>
  <c r="M663" i="7"/>
  <c r="M661" i="7"/>
  <c r="M694" i="7"/>
  <c r="M666" i="7"/>
  <c r="M664" i="7"/>
  <c r="M662" i="7"/>
  <c r="M66" i="7"/>
  <c r="M31" i="7"/>
  <c r="H644" i="7"/>
  <c r="G43" i="7"/>
  <c r="G462" i="7"/>
  <c r="G465" i="7"/>
  <c r="G489" i="7"/>
  <c r="G517" i="7"/>
  <c r="G490" i="7"/>
  <c r="G514" i="7"/>
  <c r="H742" i="7"/>
  <c r="H741" i="7"/>
  <c r="H740" i="7"/>
  <c r="H739" i="7"/>
  <c r="H379" i="7"/>
  <c r="H378" i="7"/>
  <c r="H377" i="7"/>
  <c r="H376" i="7"/>
  <c r="H375" i="7"/>
  <c r="H710" i="7"/>
  <c r="H709" i="7"/>
  <c r="H708" i="7"/>
  <c r="H707" i="7"/>
  <c r="H706" i="7"/>
  <c r="H353" i="7"/>
  <c r="H352" i="7"/>
  <c r="H351" i="7"/>
  <c r="H350" i="7"/>
  <c r="H349" i="7"/>
  <c r="H678" i="7"/>
  <c r="H677" i="7"/>
  <c r="H676" i="7"/>
  <c r="H675" i="7"/>
  <c r="H674" i="7"/>
  <c r="H328" i="7"/>
  <c r="H327" i="7"/>
  <c r="H326" i="7"/>
  <c r="H325" i="7"/>
  <c r="H324" i="7"/>
  <c r="H562" i="7"/>
  <c r="H556" i="7"/>
  <c r="H457" i="7"/>
  <c r="H442" i="7"/>
  <c r="H441" i="7"/>
  <c r="H440" i="7"/>
  <c r="H439" i="7"/>
  <c r="H438" i="7"/>
  <c r="H437" i="7"/>
  <c r="H304" i="7"/>
  <c r="H303" i="7"/>
  <c r="H302" i="7"/>
  <c r="H301" i="7"/>
  <c r="H300" i="7"/>
  <c r="H299" i="7"/>
  <c r="H319" i="7"/>
  <c r="H41" i="7"/>
  <c r="G320" i="7"/>
  <c r="G464" i="7"/>
  <c r="G463" i="7"/>
  <c r="G491" i="7"/>
  <c r="G515" i="7"/>
  <c r="G488" i="7"/>
  <c r="G516" i="7"/>
  <c r="G458" i="7"/>
  <c r="N65" i="7" l="1"/>
  <c r="AH151" i="1"/>
  <c r="N650" i="7"/>
  <c r="N555" i="7"/>
  <c r="N601" i="7"/>
  <c r="N597" i="7"/>
  <c r="N593" i="7"/>
  <c r="N589" i="7"/>
  <c r="N561" i="7"/>
  <c r="N42" i="7"/>
  <c r="N46" i="7"/>
  <c r="N39" i="7"/>
  <c r="O618" i="7"/>
  <c r="C466" i="7"/>
  <c r="G466" i="7"/>
  <c r="E518" i="7"/>
  <c r="E492" i="7"/>
  <c r="F518" i="7"/>
  <c r="G492" i="7"/>
  <c r="F492" i="7"/>
  <c r="C518" i="7"/>
  <c r="D466" i="7"/>
  <c r="D492" i="7"/>
  <c r="D518" i="7"/>
  <c r="F466" i="7"/>
  <c r="C492" i="7"/>
  <c r="E466" i="7"/>
  <c r="G518" i="7"/>
  <c r="H711" i="7"/>
  <c r="H743" i="7"/>
  <c r="H679" i="7"/>
  <c r="F679" i="7"/>
  <c r="M699" i="7"/>
  <c r="E711" i="7"/>
  <c r="F711" i="7"/>
  <c r="H329" i="7"/>
  <c r="D679" i="7"/>
  <c r="C711" i="7"/>
  <c r="E679" i="7"/>
  <c r="M667" i="7"/>
  <c r="H354" i="7"/>
  <c r="M731" i="7"/>
  <c r="F743" i="7"/>
  <c r="D743" i="7"/>
  <c r="C743" i="7"/>
  <c r="H380" i="7"/>
  <c r="A700" i="7"/>
  <c r="E712" i="7" s="1"/>
  <c r="C699" i="7"/>
  <c r="D699" i="7"/>
  <c r="E699" i="7"/>
  <c r="F699" i="7"/>
  <c r="G699" i="7"/>
  <c r="H699" i="7"/>
  <c r="I699" i="7"/>
  <c r="J699" i="7"/>
  <c r="K699" i="7"/>
  <c r="L699" i="7"/>
  <c r="G711" i="7"/>
  <c r="C380" i="7"/>
  <c r="D380" i="7"/>
  <c r="E380" i="7"/>
  <c r="F380" i="7"/>
  <c r="G380" i="7"/>
  <c r="C329" i="7"/>
  <c r="D329" i="7"/>
  <c r="E329" i="7"/>
  <c r="G329" i="7"/>
  <c r="F329" i="7"/>
  <c r="C354" i="7"/>
  <c r="D354" i="7"/>
  <c r="E354" i="7"/>
  <c r="F354" i="7"/>
  <c r="G354" i="7"/>
  <c r="A732" i="7"/>
  <c r="G744" i="7" s="1"/>
  <c r="C731" i="7"/>
  <c r="D731" i="7"/>
  <c r="E731" i="7"/>
  <c r="F731" i="7"/>
  <c r="G731" i="7"/>
  <c r="H731" i="7"/>
  <c r="I731" i="7"/>
  <c r="J731" i="7"/>
  <c r="K731" i="7"/>
  <c r="G743" i="7"/>
  <c r="L731" i="7"/>
  <c r="A668" i="7"/>
  <c r="G680" i="7" s="1"/>
  <c r="C667" i="7"/>
  <c r="D667" i="7"/>
  <c r="E667" i="7"/>
  <c r="F667" i="7"/>
  <c r="G667" i="7"/>
  <c r="H667" i="7"/>
  <c r="I667" i="7"/>
  <c r="J667" i="7"/>
  <c r="K667" i="7"/>
  <c r="L667" i="7"/>
  <c r="G679" i="7"/>
  <c r="N731" i="7"/>
  <c r="N729" i="7"/>
  <c r="N727" i="7"/>
  <c r="N699" i="7"/>
  <c r="N698" i="7"/>
  <c r="N697" i="7"/>
  <c r="N696" i="7"/>
  <c r="N695" i="7"/>
  <c r="N694" i="7"/>
  <c r="N693" i="7"/>
  <c r="N726" i="7"/>
  <c r="N730" i="7"/>
  <c r="N725" i="7"/>
  <c r="N728" i="7"/>
  <c r="N667" i="7"/>
  <c r="N665" i="7"/>
  <c r="N663" i="7"/>
  <c r="N661" i="7"/>
  <c r="N666" i="7"/>
  <c r="N664" i="7"/>
  <c r="N662" i="7"/>
  <c r="N66" i="7"/>
  <c r="N31" i="7"/>
  <c r="I644" i="7"/>
  <c r="H43" i="7"/>
  <c r="H463" i="7"/>
  <c r="H464" i="7"/>
  <c r="H488" i="7"/>
  <c r="H492" i="7"/>
  <c r="H516" i="7"/>
  <c r="H458" i="7"/>
  <c r="H489" i="7"/>
  <c r="H517" i="7"/>
  <c r="I743" i="7"/>
  <c r="I742" i="7"/>
  <c r="I741" i="7"/>
  <c r="I740" i="7"/>
  <c r="I380" i="7"/>
  <c r="I379" i="7"/>
  <c r="I378" i="7"/>
  <c r="I377" i="7"/>
  <c r="I376" i="7"/>
  <c r="I354" i="7"/>
  <c r="I353" i="7"/>
  <c r="I375" i="7"/>
  <c r="I711" i="7"/>
  <c r="I710" i="7"/>
  <c r="I709" i="7"/>
  <c r="I708" i="7"/>
  <c r="I707" i="7"/>
  <c r="I706" i="7"/>
  <c r="I329" i="7"/>
  <c r="I328" i="7"/>
  <c r="I352" i="7"/>
  <c r="I350" i="7"/>
  <c r="I349" i="7"/>
  <c r="I679" i="7"/>
  <c r="I678" i="7"/>
  <c r="I677" i="7"/>
  <c r="I676" i="7"/>
  <c r="I675" i="7"/>
  <c r="I674" i="7"/>
  <c r="I327" i="7"/>
  <c r="I326" i="7"/>
  <c r="I325" i="7"/>
  <c r="I324" i="7"/>
  <c r="I562" i="7"/>
  <c r="I556" i="7"/>
  <c r="I442" i="7"/>
  <c r="I441" i="7"/>
  <c r="I440" i="7"/>
  <c r="I439" i="7"/>
  <c r="I438" i="7"/>
  <c r="I437" i="7"/>
  <c r="I351" i="7"/>
  <c r="I457" i="7"/>
  <c r="I319" i="7"/>
  <c r="I304" i="7"/>
  <c r="I303" i="7"/>
  <c r="I302" i="7"/>
  <c r="I301" i="7"/>
  <c r="I300" i="7"/>
  <c r="I299" i="7"/>
  <c r="I41" i="7"/>
  <c r="H320" i="7"/>
  <c r="H465" i="7"/>
  <c r="H462" i="7"/>
  <c r="H466" i="7"/>
  <c r="H490" i="7"/>
  <c r="H514" i="7"/>
  <c r="H518" i="7"/>
  <c r="H491" i="7"/>
  <c r="H515" i="7"/>
  <c r="C680" i="7" l="1"/>
  <c r="O65" i="7"/>
  <c r="AI151" i="1"/>
  <c r="O650" i="7"/>
  <c r="O561" i="7"/>
  <c r="O601" i="7"/>
  <c r="O597" i="7"/>
  <c r="O589" i="7"/>
  <c r="O555" i="7"/>
  <c r="O593" i="7"/>
  <c r="O42" i="7"/>
  <c r="O46" i="7"/>
  <c r="O39" i="7"/>
  <c r="P618" i="7"/>
  <c r="G493" i="7"/>
  <c r="D467" i="7"/>
  <c r="H493" i="7"/>
  <c r="E493" i="7"/>
  <c r="G519" i="7"/>
  <c r="D493" i="7"/>
  <c r="F519" i="7"/>
  <c r="H519" i="7"/>
  <c r="C467" i="7"/>
  <c r="C493" i="7"/>
  <c r="E519" i="7"/>
  <c r="F467" i="7"/>
  <c r="D519" i="7"/>
  <c r="H467" i="7"/>
  <c r="G467" i="7"/>
  <c r="C519" i="7"/>
  <c r="F493" i="7"/>
  <c r="E467" i="7"/>
  <c r="C744" i="7"/>
  <c r="F744" i="7"/>
  <c r="I712" i="7"/>
  <c r="N700" i="7"/>
  <c r="F712" i="7"/>
  <c r="C712" i="7"/>
  <c r="I744" i="7"/>
  <c r="E744" i="7"/>
  <c r="D744" i="7"/>
  <c r="I680" i="7"/>
  <c r="N732" i="7"/>
  <c r="I355" i="7"/>
  <c r="D712" i="7"/>
  <c r="D680" i="7"/>
  <c r="G712" i="7"/>
  <c r="N668" i="7"/>
  <c r="F680" i="7"/>
  <c r="I381" i="7"/>
  <c r="A733" i="7"/>
  <c r="D745" i="7" s="1"/>
  <c r="C732" i="7"/>
  <c r="D732" i="7"/>
  <c r="E732" i="7"/>
  <c r="F732" i="7"/>
  <c r="G732" i="7"/>
  <c r="H732" i="7"/>
  <c r="I732" i="7"/>
  <c r="J732" i="7"/>
  <c r="K732" i="7"/>
  <c r="L732" i="7"/>
  <c r="H744" i="7"/>
  <c r="M732" i="7"/>
  <c r="C330" i="7"/>
  <c r="E330" i="7"/>
  <c r="D330" i="7"/>
  <c r="F330" i="7"/>
  <c r="G330" i="7"/>
  <c r="H330" i="7"/>
  <c r="C355" i="7"/>
  <c r="D355" i="7"/>
  <c r="F355" i="7"/>
  <c r="E355" i="7"/>
  <c r="G355" i="7"/>
  <c r="H355" i="7"/>
  <c r="A669" i="7"/>
  <c r="E681" i="7" s="1"/>
  <c r="C668" i="7"/>
  <c r="D668" i="7"/>
  <c r="E668" i="7"/>
  <c r="F668" i="7"/>
  <c r="G668" i="7"/>
  <c r="H668" i="7"/>
  <c r="I668" i="7"/>
  <c r="J668" i="7"/>
  <c r="K668" i="7"/>
  <c r="L668" i="7"/>
  <c r="M668" i="7"/>
  <c r="H680" i="7"/>
  <c r="A701" i="7"/>
  <c r="F713" i="7" s="1"/>
  <c r="C700" i="7"/>
  <c r="D700" i="7"/>
  <c r="E700" i="7"/>
  <c r="F700" i="7"/>
  <c r="G700" i="7"/>
  <c r="H700" i="7"/>
  <c r="I700" i="7"/>
  <c r="J700" i="7"/>
  <c r="K700" i="7"/>
  <c r="L700" i="7"/>
  <c r="M700" i="7"/>
  <c r="H712" i="7"/>
  <c r="I330" i="7"/>
  <c r="E680" i="7"/>
  <c r="C381" i="7"/>
  <c r="D381" i="7"/>
  <c r="E381" i="7"/>
  <c r="F381" i="7"/>
  <c r="G381" i="7"/>
  <c r="H381" i="7"/>
  <c r="O732" i="7"/>
  <c r="O731" i="7"/>
  <c r="O730" i="7"/>
  <c r="O729" i="7"/>
  <c r="O728" i="7"/>
  <c r="O727" i="7"/>
  <c r="O725" i="7"/>
  <c r="O700" i="7"/>
  <c r="O698" i="7"/>
  <c r="O726" i="7"/>
  <c r="O699" i="7"/>
  <c r="O697" i="7"/>
  <c r="O695" i="7"/>
  <c r="O693" i="7"/>
  <c r="O666" i="7"/>
  <c r="O664" i="7"/>
  <c r="O662" i="7"/>
  <c r="O694" i="7"/>
  <c r="O668" i="7"/>
  <c r="O696" i="7"/>
  <c r="O667" i="7"/>
  <c r="O665" i="7"/>
  <c r="O663" i="7"/>
  <c r="O661" i="7"/>
  <c r="O31" i="7"/>
  <c r="O66" i="7"/>
  <c r="J644" i="7"/>
  <c r="I466" i="7"/>
  <c r="I465" i="7"/>
  <c r="I489" i="7"/>
  <c r="I493" i="7"/>
  <c r="I517" i="7"/>
  <c r="I490" i="7"/>
  <c r="I514" i="7"/>
  <c r="I518" i="7"/>
  <c r="I43" i="7"/>
  <c r="J744" i="7"/>
  <c r="J743" i="7"/>
  <c r="J742" i="7"/>
  <c r="J741" i="7"/>
  <c r="J740" i="7"/>
  <c r="J381" i="7"/>
  <c r="J380" i="7"/>
  <c r="J379" i="7"/>
  <c r="J378" i="7"/>
  <c r="J377" i="7"/>
  <c r="J376" i="7"/>
  <c r="J375" i="7"/>
  <c r="J712" i="7"/>
  <c r="J711" i="7"/>
  <c r="J710" i="7"/>
  <c r="J709" i="7"/>
  <c r="J708" i="7"/>
  <c r="J707" i="7"/>
  <c r="J706" i="7"/>
  <c r="J355" i="7"/>
  <c r="J354" i="7"/>
  <c r="J353" i="7"/>
  <c r="J352" i="7"/>
  <c r="J351" i="7"/>
  <c r="J350" i="7"/>
  <c r="J349" i="7"/>
  <c r="J680" i="7"/>
  <c r="J679" i="7"/>
  <c r="J678" i="7"/>
  <c r="J677" i="7"/>
  <c r="J676" i="7"/>
  <c r="J675" i="7"/>
  <c r="J674" i="7"/>
  <c r="J330" i="7"/>
  <c r="J329" i="7"/>
  <c r="J328" i="7"/>
  <c r="J327" i="7"/>
  <c r="J326" i="7"/>
  <c r="J325" i="7"/>
  <c r="J324" i="7"/>
  <c r="J562" i="7"/>
  <c r="J556" i="7"/>
  <c r="J457" i="7"/>
  <c r="J442" i="7"/>
  <c r="J441" i="7"/>
  <c r="J440" i="7"/>
  <c r="J439" i="7"/>
  <c r="J438" i="7"/>
  <c r="J437" i="7"/>
  <c r="J304" i="7"/>
  <c r="J303" i="7"/>
  <c r="J302" i="7"/>
  <c r="J301" i="7"/>
  <c r="J300" i="7"/>
  <c r="J299" i="7"/>
  <c r="J319" i="7"/>
  <c r="J41" i="7"/>
  <c r="I320" i="7"/>
  <c r="I462" i="7"/>
  <c r="I464" i="7"/>
  <c r="I463" i="7"/>
  <c r="I467" i="7"/>
  <c r="I491" i="7"/>
  <c r="I515" i="7"/>
  <c r="I519" i="7"/>
  <c r="I488" i="7"/>
  <c r="I492" i="7"/>
  <c r="I516" i="7"/>
  <c r="I458" i="7"/>
  <c r="C713" i="7" l="1"/>
  <c r="C745" i="7"/>
  <c r="C681" i="7"/>
  <c r="P65" i="7"/>
  <c r="AJ151" i="1"/>
  <c r="P650" i="7"/>
  <c r="P601" i="7"/>
  <c r="P593" i="7"/>
  <c r="P561" i="7"/>
  <c r="P555" i="7"/>
  <c r="P597" i="7"/>
  <c r="P589" i="7"/>
  <c r="P42" i="7"/>
  <c r="P46" i="7"/>
  <c r="P39" i="7"/>
  <c r="Q618" i="7"/>
  <c r="O669" i="7"/>
  <c r="C468" i="7"/>
  <c r="H520" i="7"/>
  <c r="D494" i="7"/>
  <c r="I468" i="7"/>
  <c r="G520" i="7"/>
  <c r="C494" i="7"/>
  <c r="F520" i="7"/>
  <c r="H468" i="7"/>
  <c r="F494" i="7"/>
  <c r="E520" i="7"/>
  <c r="G468" i="7"/>
  <c r="D520" i="7"/>
  <c r="H494" i="7"/>
  <c r="F468" i="7"/>
  <c r="I494" i="7"/>
  <c r="C520" i="7"/>
  <c r="G494" i="7"/>
  <c r="D468" i="7"/>
  <c r="E494" i="7"/>
  <c r="E468" i="7"/>
  <c r="I520" i="7"/>
  <c r="E713" i="7"/>
  <c r="G681" i="7"/>
  <c r="D681" i="7"/>
  <c r="J681" i="7"/>
  <c r="H681" i="7"/>
  <c r="F681" i="7"/>
  <c r="J745" i="7"/>
  <c r="F745" i="7"/>
  <c r="O701" i="7"/>
  <c r="H713" i="7"/>
  <c r="G713" i="7"/>
  <c r="J331" i="7"/>
  <c r="H745" i="7"/>
  <c r="J713" i="7"/>
  <c r="D713" i="7"/>
  <c r="E745" i="7"/>
  <c r="O733" i="7"/>
  <c r="G745" i="7"/>
  <c r="J356" i="7"/>
  <c r="A702" i="7"/>
  <c r="D714" i="7" s="1"/>
  <c r="C701" i="7"/>
  <c r="D701" i="7"/>
  <c r="E701" i="7"/>
  <c r="F701" i="7"/>
  <c r="G701" i="7"/>
  <c r="H701" i="7"/>
  <c r="I701" i="7"/>
  <c r="J701" i="7"/>
  <c r="K701" i="7"/>
  <c r="L701" i="7"/>
  <c r="M701" i="7"/>
  <c r="I713" i="7"/>
  <c r="N701" i="7"/>
  <c r="D382" i="7"/>
  <c r="C382" i="7"/>
  <c r="E382" i="7"/>
  <c r="F382" i="7"/>
  <c r="G382" i="7"/>
  <c r="H382" i="7"/>
  <c r="I382" i="7"/>
  <c r="C331" i="7"/>
  <c r="D331" i="7"/>
  <c r="F331" i="7"/>
  <c r="E331" i="7"/>
  <c r="G331" i="7"/>
  <c r="H331" i="7"/>
  <c r="I331" i="7"/>
  <c r="A734" i="7"/>
  <c r="I746" i="7" s="1"/>
  <c r="C733" i="7"/>
  <c r="D733" i="7"/>
  <c r="E733" i="7"/>
  <c r="F733" i="7"/>
  <c r="G733" i="7"/>
  <c r="H733" i="7"/>
  <c r="I733" i="7"/>
  <c r="J733" i="7"/>
  <c r="K733" i="7"/>
  <c r="L733" i="7"/>
  <c r="M733" i="7"/>
  <c r="I745" i="7"/>
  <c r="N733" i="7"/>
  <c r="J382" i="7"/>
  <c r="C356" i="7"/>
  <c r="E356" i="7"/>
  <c r="D356" i="7"/>
  <c r="F356" i="7"/>
  <c r="G356" i="7"/>
  <c r="H356" i="7"/>
  <c r="I356" i="7"/>
  <c r="A670" i="7"/>
  <c r="F682" i="7" s="1"/>
  <c r="C669" i="7"/>
  <c r="D669" i="7"/>
  <c r="E669" i="7"/>
  <c r="F669" i="7"/>
  <c r="G669" i="7"/>
  <c r="H669" i="7"/>
  <c r="I669" i="7"/>
  <c r="J669" i="7"/>
  <c r="K669" i="7"/>
  <c r="L669" i="7"/>
  <c r="M669" i="7"/>
  <c r="N669" i="7"/>
  <c r="I681" i="7"/>
  <c r="P732" i="7"/>
  <c r="P730" i="7"/>
  <c r="P728" i="7"/>
  <c r="P731" i="7"/>
  <c r="P727" i="7"/>
  <c r="P729" i="7"/>
  <c r="P700" i="7"/>
  <c r="P698" i="7"/>
  <c r="P694" i="7"/>
  <c r="P725" i="7"/>
  <c r="P726" i="7"/>
  <c r="P701" i="7"/>
  <c r="P699" i="7"/>
  <c r="P697" i="7"/>
  <c r="P733" i="7"/>
  <c r="P667" i="7"/>
  <c r="P666" i="7"/>
  <c r="P665" i="7"/>
  <c r="P664" i="7"/>
  <c r="P663" i="7"/>
  <c r="P662" i="7"/>
  <c r="P661" i="7"/>
  <c r="P696" i="7"/>
  <c r="P693" i="7"/>
  <c r="P668" i="7"/>
  <c r="P695" i="7"/>
  <c r="P669" i="7"/>
  <c r="P31" i="7"/>
  <c r="P66" i="7"/>
  <c r="K644" i="7"/>
  <c r="J467" i="7"/>
  <c r="J462" i="7"/>
  <c r="J466" i="7"/>
  <c r="J490" i="7"/>
  <c r="J494" i="7"/>
  <c r="J514" i="7"/>
  <c r="J518" i="7"/>
  <c r="J491" i="7"/>
  <c r="J515" i="7"/>
  <c r="J519" i="7"/>
  <c r="J43" i="7"/>
  <c r="K745" i="7"/>
  <c r="K744" i="7"/>
  <c r="K743" i="7"/>
  <c r="K742" i="7"/>
  <c r="K741" i="7"/>
  <c r="K740" i="7"/>
  <c r="K382" i="7"/>
  <c r="K381" i="7"/>
  <c r="K380" i="7"/>
  <c r="K379" i="7"/>
  <c r="K378" i="7"/>
  <c r="K377" i="7"/>
  <c r="K356" i="7"/>
  <c r="K355" i="7"/>
  <c r="K354" i="7"/>
  <c r="K353" i="7"/>
  <c r="K376" i="7"/>
  <c r="K713" i="7"/>
  <c r="K712" i="7"/>
  <c r="K711" i="7"/>
  <c r="K710" i="7"/>
  <c r="K709" i="7"/>
  <c r="K708" i="7"/>
  <c r="K707" i="7"/>
  <c r="K706" i="7"/>
  <c r="K352" i="7"/>
  <c r="K331" i="7"/>
  <c r="K330" i="7"/>
  <c r="K329" i="7"/>
  <c r="K328" i="7"/>
  <c r="K351" i="7"/>
  <c r="K350" i="7"/>
  <c r="K349" i="7"/>
  <c r="K681" i="7"/>
  <c r="K680" i="7"/>
  <c r="K679" i="7"/>
  <c r="K678" i="7"/>
  <c r="K677" i="7"/>
  <c r="K676" i="7"/>
  <c r="K675" i="7"/>
  <c r="K674" i="7"/>
  <c r="K326" i="7"/>
  <c r="K327" i="7"/>
  <c r="K325" i="7"/>
  <c r="K562" i="7"/>
  <c r="K556" i="7"/>
  <c r="K442" i="7"/>
  <c r="K441" i="7"/>
  <c r="K440" i="7"/>
  <c r="K439" i="7"/>
  <c r="K438" i="7"/>
  <c r="K437" i="7"/>
  <c r="K457" i="7"/>
  <c r="K319" i="7"/>
  <c r="K304" i="7"/>
  <c r="K303" i="7"/>
  <c r="K302" i="7"/>
  <c r="K301" i="7"/>
  <c r="K300" i="7"/>
  <c r="K299" i="7"/>
  <c r="K41" i="7"/>
  <c r="J465" i="7"/>
  <c r="J320" i="7"/>
  <c r="J463" i="7"/>
  <c r="J464" i="7"/>
  <c r="J468" i="7"/>
  <c r="J488" i="7"/>
  <c r="J492" i="7"/>
  <c r="J516" i="7"/>
  <c r="J520" i="7"/>
  <c r="J458" i="7"/>
  <c r="J489" i="7"/>
  <c r="J493" i="7"/>
  <c r="J517" i="7"/>
  <c r="C682" i="7" l="1"/>
  <c r="C746" i="7"/>
  <c r="K746" i="7"/>
  <c r="Q65" i="7"/>
  <c r="K714" i="7"/>
  <c r="AK151" i="1"/>
  <c r="Q650" i="7"/>
  <c r="Q561" i="7"/>
  <c r="Q555" i="7"/>
  <c r="Q601" i="7"/>
  <c r="Q597" i="7"/>
  <c r="Q593" i="7"/>
  <c r="Q589" i="7"/>
  <c r="Q42" i="7"/>
  <c r="Q46" i="7"/>
  <c r="Q39" i="7"/>
  <c r="R618" i="7"/>
  <c r="E495" i="7"/>
  <c r="C469" i="7"/>
  <c r="D495" i="7"/>
  <c r="C495" i="7"/>
  <c r="I521" i="7"/>
  <c r="D521" i="7"/>
  <c r="J521" i="7"/>
  <c r="I469" i="7"/>
  <c r="H521" i="7"/>
  <c r="D469" i="7"/>
  <c r="I495" i="7"/>
  <c r="H469" i="7"/>
  <c r="G521" i="7"/>
  <c r="H495" i="7"/>
  <c r="G469" i="7"/>
  <c r="F521" i="7"/>
  <c r="G495" i="7"/>
  <c r="E469" i="7"/>
  <c r="E521" i="7"/>
  <c r="J469" i="7"/>
  <c r="F495" i="7"/>
  <c r="F469" i="7"/>
  <c r="C521" i="7"/>
  <c r="J495" i="7"/>
  <c r="C714" i="7"/>
  <c r="G714" i="7"/>
  <c r="G682" i="7"/>
  <c r="P670" i="7"/>
  <c r="K357" i="7"/>
  <c r="F746" i="7"/>
  <c r="H746" i="7"/>
  <c r="K383" i="7"/>
  <c r="I682" i="7"/>
  <c r="D682" i="7"/>
  <c r="E714" i="7"/>
  <c r="E746" i="7"/>
  <c r="H682" i="7"/>
  <c r="E682" i="7"/>
  <c r="G746" i="7"/>
  <c r="D746" i="7"/>
  <c r="I714" i="7"/>
  <c r="K682" i="7"/>
  <c r="P702" i="7"/>
  <c r="P734" i="7"/>
  <c r="H714" i="7"/>
  <c r="F714" i="7"/>
  <c r="K332" i="7"/>
  <c r="C383" i="7"/>
  <c r="D383" i="7"/>
  <c r="E383" i="7"/>
  <c r="F383" i="7"/>
  <c r="G383" i="7"/>
  <c r="H383" i="7"/>
  <c r="I383" i="7"/>
  <c r="J383" i="7"/>
  <c r="C670" i="7"/>
  <c r="D670" i="7"/>
  <c r="D671" i="7" s="1"/>
  <c r="D656" i="7" s="1"/>
  <c r="D109" i="7" s="1"/>
  <c r="E670" i="7"/>
  <c r="E671" i="7" s="1"/>
  <c r="E656" i="7" s="1"/>
  <c r="E109" i="7" s="1"/>
  <c r="F670" i="7"/>
  <c r="F671" i="7" s="1"/>
  <c r="F656" i="7" s="1"/>
  <c r="F109" i="7" s="1"/>
  <c r="G670" i="7"/>
  <c r="G671" i="7" s="1"/>
  <c r="G656" i="7" s="1"/>
  <c r="G109" i="7" s="1"/>
  <c r="H670" i="7"/>
  <c r="H671" i="7" s="1"/>
  <c r="H656" i="7" s="1"/>
  <c r="H109" i="7" s="1"/>
  <c r="I670" i="7"/>
  <c r="I671" i="7" s="1"/>
  <c r="I656" i="7" s="1"/>
  <c r="I109" i="7" s="1"/>
  <c r="J670" i="7"/>
  <c r="J671" i="7" s="1"/>
  <c r="J656" i="7" s="1"/>
  <c r="J109" i="7" s="1"/>
  <c r="K670" i="7"/>
  <c r="K671" i="7" s="1"/>
  <c r="K656" i="7" s="1"/>
  <c r="K109" i="7" s="1"/>
  <c r="L670" i="7"/>
  <c r="M670" i="7"/>
  <c r="N670" i="7"/>
  <c r="O670" i="7"/>
  <c r="J682" i="7"/>
  <c r="C734" i="7"/>
  <c r="D734" i="7"/>
  <c r="D735" i="7" s="1"/>
  <c r="D720" i="7" s="1"/>
  <c r="D111" i="7" s="1"/>
  <c r="E734" i="7"/>
  <c r="E735" i="7" s="1"/>
  <c r="E720" i="7" s="1"/>
  <c r="E111" i="7" s="1"/>
  <c r="F734" i="7"/>
  <c r="F735" i="7" s="1"/>
  <c r="F720" i="7" s="1"/>
  <c r="F111" i="7" s="1"/>
  <c r="G734" i="7"/>
  <c r="G735" i="7" s="1"/>
  <c r="G720" i="7" s="1"/>
  <c r="G111" i="7" s="1"/>
  <c r="H734" i="7"/>
  <c r="H735" i="7" s="1"/>
  <c r="H720" i="7" s="1"/>
  <c r="H111" i="7" s="1"/>
  <c r="I734" i="7"/>
  <c r="I735" i="7" s="1"/>
  <c r="I720" i="7" s="1"/>
  <c r="I111" i="7" s="1"/>
  <c r="J734" i="7"/>
  <c r="J735" i="7" s="1"/>
  <c r="J720" i="7" s="1"/>
  <c r="J111" i="7" s="1"/>
  <c r="K734" i="7"/>
  <c r="K735" i="7" s="1"/>
  <c r="K720" i="7" s="1"/>
  <c r="K111" i="7" s="1"/>
  <c r="L734" i="7"/>
  <c r="M734" i="7"/>
  <c r="N734" i="7"/>
  <c r="O734" i="7"/>
  <c r="J746" i="7"/>
  <c r="C357" i="7"/>
  <c r="D357" i="7"/>
  <c r="F357" i="7"/>
  <c r="E357" i="7"/>
  <c r="G357" i="7"/>
  <c r="H357" i="7"/>
  <c r="I357" i="7"/>
  <c r="J357" i="7"/>
  <c r="C332" i="7"/>
  <c r="D332" i="7"/>
  <c r="E332" i="7"/>
  <c r="F332" i="7"/>
  <c r="G332" i="7"/>
  <c r="H332" i="7"/>
  <c r="I332" i="7"/>
  <c r="J332" i="7"/>
  <c r="C702" i="7"/>
  <c r="D702" i="7"/>
  <c r="D703" i="7" s="1"/>
  <c r="D688" i="7" s="1"/>
  <c r="D110" i="7" s="1"/>
  <c r="E702" i="7"/>
  <c r="E703" i="7" s="1"/>
  <c r="E688" i="7" s="1"/>
  <c r="E110" i="7" s="1"/>
  <c r="F702" i="7"/>
  <c r="F703" i="7" s="1"/>
  <c r="F688" i="7" s="1"/>
  <c r="F110" i="7" s="1"/>
  <c r="G702" i="7"/>
  <c r="G703" i="7" s="1"/>
  <c r="G688" i="7" s="1"/>
  <c r="G110" i="7" s="1"/>
  <c r="H702" i="7"/>
  <c r="H703" i="7" s="1"/>
  <c r="H688" i="7" s="1"/>
  <c r="H110" i="7" s="1"/>
  <c r="I702" i="7"/>
  <c r="I703" i="7" s="1"/>
  <c r="I688" i="7" s="1"/>
  <c r="I110" i="7" s="1"/>
  <c r="J702" i="7"/>
  <c r="J703" i="7" s="1"/>
  <c r="J688" i="7" s="1"/>
  <c r="J110" i="7" s="1"/>
  <c r="K702" i="7"/>
  <c r="K703" i="7" s="1"/>
  <c r="K688" i="7" s="1"/>
  <c r="K110" i="7" s="1"/>
  <c r="L702" i="7"/>
  <c r="M702" i="7"/>
  <c r="N702" i="7"/>
  <c r="J714" i="7"/>
  <c r="O702" i="7"/>
  <c r="Q726" i="7"/>
  <c r="Q725" i="7"/>
  <c r="Q734" i="7"/>
  <c r="Q732" i="7"/>
  <c r="Q730" i="7"/>
  <c r="Q728" i="7"/>
  <c r="Q731" i="7"/>
  <c r="Q701" i="7"/>
  <c r="Q699" i="7"/>
  <c r="Q733" i="7"/>
  <c r="Q727" i="7"/>
  <c r="Q729" i="7"/>
  <c r="Q702" i="7"/>
  <c r="Q700" i="7"/>
  <c r="Q698" i="7"/>
  <c r="Q696" i="7"/>
  <c r="Q694" i="7"/>
  <c r="Q670" i="7"/>
  <c r="Q668" i="7"/>
  <c r="Q693" i="7"/>
  <c r="Q666" i="7"/>
  <c r="Q664" i="7"/>
  <c r="Q662" i="7"/>
  <c r="Q695" i="7"/>
  <c r="Q669" i="7"/>
  <c r="Q667" i="7"/>
  <c r="Q665" i="7"/>
  <c r="Q663" i="7"/>
  <c r="Q661" i="7"/>
  <c r="Q697" i="7"/>
  <c r="Q66" i="7"/>
  <c r="Q31" i="7"/>
  <c r="L644" i="7"/>
  <c r="K490" i="7"/>
  <c r="K469" i="7"/>
  <c r="K518" i="7"/>
  <c r="K465" i="7"/>
  <c r="K494" i="7"/>
  <c r="K320" i="7"/>
  <c r="K466" i="7"/>
  <c r="L746" i="7"/>
  <c r="L745" i="7"/>
  <c r="L744" i="7"/>
  <c r="L743" i="7"/>
  <c r="L742" i="7"/>
  <c r="L741" i="7"/>
  <c r="L739" i="7"/>
  <c r="L383" i="7"/>
  <c r="L382" i="7"/>
  <c r="L381" i="7"/>
  <c r="L380" i="7"/>
  <c r="L379" i="7"/>
  <c r="L378" i="7"/>
  <c r="L377" i="7"/>
  <c r="L376" i="7"/>
  <c r="L714" i="7"/>
  <c r="L713" i="7"/>
  <c r="L712" i="7"/>
  <c r="L711" i="7"/>
  <c r="L710" i="7"/>
  <c r="L709" i="7"/>
  <c r="L708" i="7"/>
  <c r="L707" i="7"/>
  <c r="L706" i="7"/>
  <c r="L357" i="7"/>
  <c r="L356" i="7"/>
  <c r="L355" i="7"/>
  <c r="L354" i="7"/>
  <c r="L353" i="7"/>
  <c r="L352" i="7"/>
  <c r="L351" i="7"/>
  <c r="L350" i="7"/>
  <c r="L349" i="7"/>
  <c r="L682" i="7"/>
  <c r="L681" i="7"/>
  <c r="L680" i="7"/>
  <c r="L679" i="7"/>
  <c r="L678" i="7"/>
  <c r="L677" i="7"/>
  <c r="L676" i="7"/>
  <c r="L675" i="7"/>
  <c r="L674" i="7"/>
  <c r="L332" i="7"/>
  <c r="L331" i="7"/>
  <c r="L330" i="7"/>
  <c r="L329" i="7"/>
  <c r="L328" i="7"/>
  <c r="L327" i="7"/>
  <c r="L326" i="7"/>
  <c r="L325" i="7"/>
  <c r="L562" i="7"/>
  <c r="L556" i="7"/>
  <c r="L457" i="7"/>
  <c r="L442" i="7"/>
  <c r="L441" i="7"/>
  <c r="L440" i="7"/>
  <c r="L439" i="7"/>
  <c r="L438" i="7"/>
  <c r="L437" i="7"/>
  <c r="L304" i="7"/>
  <c r="L303" i="7"/>
  <c r="L302" i="7"/>
  <c r="L301" i="7"/>
  <c r="L300" i="7"/>
  <c r="L299" i="7"/>
  <c r="L319" i="7"/>
  <c r="L41" i="7"/>
  <c r="K468" i="7"/>
  <c r="K489" i="7"/>
  <c r="K493" i="7"/>
  <c r="K517" i="7"/>
  <c r="K521" i="7"/>
  <c r="K43" i="7"/>
  <c r="K324" i="7"/>
  <c r="K375" i="7"/>
  <c r="K464" i="7"/>
  <c r="K463" i="7"/>
  <c r="K467" i="7"/>
  <c r="K491" i="7"/>
  <c r="K495" i="7"/>
  <c r="K515" i="7"/>
  <c r="K519" i="7"/>
  <c r="K488" i="7"/>
  <c r="K492" i="7"/>
  <c r="K516" i="7"/>
  <c r="K520" i="7"/>
  <c r="K458" i="7"/>
  <c r="R65" i="7" l="1"/>
  <c r="AL151" i="1"/>
  <c r="R650" i="7"/>
  <c r="R597" i="7"/>
  <c r="R593" i="7"/>
  <c r="R561" i="7"/>
  <c r="R555" i="7"/>
  <c r="R601" i="7"/>
  <c r="R589" i="7"/>
  <c r="R42" i="7"/>
  <c r="R46" i="7"/>
  <c r="R39" i="7"/>
  <c r="S618" i="7"/>
  <c r="D470" i="7"/>
  <c r="D496" i="7"/>
  <c r="H522" i="7"/>
  <c r="K496" i="7"/>
  <c r="G522" i="7"/>
  <c r="J470" i="7"/>
  <c r="J496" i="7"/>
  <c r="F522" i="7"/>
  <c r="I470" i="7"/>
  <c r="I496" i="7"/>
  <c r="E522" i="7"/>
  <c r="H470" i="7"/>
  <c r="H496" i="7"/>
  <c r="D522" i="7"/>
  <c r="G470" i="7"/>
  <c r="G496" i="7"/>
  <c r="C522" i="7"/>
  <c r="K522" i="7"/>
  <c r="C470" i="7"/>
  <c r="F470" i="7"/>
  <c r="E496" i="7"/>
  <c r="J522" i="7"/>
  <c r="K470" i="7"/>
  <c r="C496" i="7"/>
  <c r="E470" i="7"/>
  <c r="F496" i="7"/>
  <c r="I522" i="7"/>
  <c r="L333" i="7"/>
  <c r="L384" i="7"/>
  <c r="L358" i="7"/>
  <c r="J112" i="7"/>
  <c r="H112" i="7"/>
  <c r="I112" i="7"/>
  <c r="D112" i="7"/>
  <c r="G112" i="7"/>
  <c r="C333" i="7"/>
  <c r="D333" i="7"/>
  <c r="E333" i="7"/>
  <c r="F333" i="7"/>
  <c r="G333" i="7"/>
  <c r="H333" i="7"/>
  <c r="I333" i="7"/>
  <c r="J333" i="7"/>
  <c r="K333" i="7"/>
  <c r="C671" i="7"/>
  <c r="C656" i="7" s="1"/>
  <c r="C109" i="7" s="1"/>
  <c r="C358" i="7"/>
  <c r="D358" i="7"/>
  <c r="E358" i="7"/>
  <c r="F358" i="7"/>
  <c r="G358" i="7"/>
  <c r="H358" i="7"/>
  <c r="I358" i="7"/>
  <c r="J358" i="7"/>
  <c r="K358" i="7"/>
  <c r="C703" i="7"/>
  <c r="C688" i="7" s="1"/>
  <c r="C110" i="7" s="1"/>
  <c r="F112" i="7"/>
  <c r="C384" i="7"/>
  <c r="D384" i="7"/>
  <c r="F384" i="7"/>
  <c r="E384" i="7"/>
  <c r="G384" i="7"/>
  <c r="H384" i="7"/>
  <c r="I384" i="7"/>
  <c r="J384" i="7"/>
  <c r="K384" i="7"/>
  <c r="C735" i="7"/>
  <c r="C720" i="7" s="1"/>
  <c r="C111" i="7" s="1"/>
  <c r="E112" i="7"/>
  <c r="R733" i="7"/>
  <c r="R731" i="7"/>
  <c r="R729" i="7"/>
  <c r="R727" i="7"/>
  <c r="R732" i="7"/>
  <c r="R728" i="7"/>
  <c r="R726" i="7"/>
  <c r="R702" i="7"/>
  <c r="R701" i="7"/>
  <c r="R700" i="7"/>
  <c r="R699" i="7"/>
  <c r="R698" i="7"/>
  <c r="R697" i="7"/>
  <c r="R696" i="7"/>
  <c r="R695" i="7"/>
  <c r="R694" i="7"/>
  <c r="R693" i="7"/>
  <c r="R670" i="7"/>
  <c r="R669" i="7"/>
  <c r="R668" i="7"/>
  <c r="R730" i="7"/>
  <c r="R725" i="7"/>
  <c r="R734" i="7"/>
  <c r="R667" i="7"/>
  <c r="R665" i="7"/>
  <c r="R663" i="7"/>
  <c r="R661" i="7"/>
  <c r="R666" i="7"/>
  <c r="R664" i="7"/>
  <c r="R662" i="7"/>
  <c r="R66" i="7"/>
  <c r="R31" i="7"/>
  <c r="M644" i="7"/>
  <c r="L375" i="7"/>
  <c r="L671" i="7"/>
  <c r="L656" i="7" s="1"/>
  <c r="L109" i="7" s="1"/>
  <c r="L735" i="7"/>
  <c r="L720" i="7" s="1"/>
  <c r="L111" i="7" s="1"/>
  <c r="L324" i="7"/>
  <c r="L43" i="7"/>
  <c r="L703" i="7"/>
  <c r="L688" i="7" s="1"/>
  <c r="L110" i="7" s="1"/>
  <c r="K514" i="7"/>
  <c r="L467" i="7"/>
  <c r="L320" i="7"/>
  <c r="L465" i="7"/>
  <c r="L466" i="7"/>
  <c r="L470" i="7"/>
  <c r="L490" i="7"/>
  <c r="L494" i="7"/>
  <c r="L518" i="7"/>
  <c r="L522" i="7"/>
  <c r="L491" i="7"/>
  <c r="L495" i="7"/>
  <c r="L515" i="7"/>
  <c r="L519" i="7"/>
  <c r="K462" i="7"/>
  <c r="M746" i="7"/>
  <c r="M745" i="7"/>
  <c r="M744" i="7"/>
  <c r="M743" i="7"/>
  <c r="M742" i="7"/>
  <c r="M741" i="7"/>
  <c r="M738" i="7"/>
  <c r="M384" i="7"/>
  <c r="M383" i="7"/>
  <c r="M382" i="7"/>
  <c r="M381" i="7"/>
  <c r="M380" i="7"/>
  <c r="M379" i="7"/>
  <c r="M378" i="7"/>
  <c r="M377" i="7"/>
  <c r="M376" i="7"/>
  <c r="M358" i="7"/>
  <c r="M357" i="7"/>
  <c r="M356" i="7"/>
  <c r="M355" i="7"/>
  <c r="M354" i="7"/>
  <c r="M353" i="7"/>
  <c r="M352" i="7"/>
  <c r="M714" i="7"/>
  <c r="M713" i="7"/>
  <c r="M712" i="7"/>
  <c r="M711" i="7"/>
  <c r="M710" i="7"/>
  <c r="M709" i="7"/>
  <c r="M708" i="7"/>
  <c r="M707" i="7"/>
  <c r="M706" i="7"/>
  <c r="M333" i="7"/>
  <c r="M332" i="7"/>
  <c r="M331" i="7"/>
  <c r="M330" i="7"/>
  <c r="M329" i="7"/>
  <c r="M328" i="7"/>
  <c r="M351" i="7"/>
  <c r="M350" i="7"/>
  <c r="M349" i="7"/>
  <c r="M682" i="7"/>
  <c r="M681" i="7"/>
  <c r="M680" i="7"/>
  <c r="M679" i="7"/>
  <c r="M678" i="7"/>
  <c r="M677" i="7"/>
  <c r="M676" i="7"/>
  <c r="M675" i="7"/>
  <c r="M674" i="7"/>
  <c r="M327" i="7"/>
  <c r="M326" i="7"/>
  <c r="M325" i="7"/>
  <c r="M324" i="7"/>
  <c r="M562" i="7"/>
  <c r="M556" i="7"/>
  <c r="M442" i="7"/>
  <c r="M441" i="7"/>
  <c r="M440" i="7"/>
  <c r="M439" i="7"/>
  <c r="M438" i="7"/>
  <c r="M437" i="7"/>
  <c r="M457" i="7"/>
  <c r="M319" i="7"/>
  <c r="M304" i="7"/>
  <c r="M303" i="7"/>
  <c r="M302" i="7"/>
  <c r="M301" i="7"/>
  <c r="M300" i="7"/>
  <c r="M299" i="7"/>
  <c r="M41" i="7"/>
  <c r="L463" i="7"/>
  <c r="L469" i="7"/>
  <c r="L464" i="7"/>
  <c r="L468" i="7"/>
  <c r="L488" i="7"/>
  <c r="L492" i="7"/>
  <c r="L496" i="7"/>
  <c r="L516" i="7"/>
  <c r="L520" i="7"/>
  <c r="L458" i="7"/>
  <c r="L489" i="7"/>
  <c r="L493" i="7"/>
  <c r="L517" i="7"/>
  <c r="L521" i="7"/>
  <c r="K112" i="7"/>
  <c r="S65" i="7" l="1"/>
  <c r="AM151" i="1"/>
  <c r="S650" i="7"/>
  <c r="S561" i="7"/>
  <c r="S555" i="7"/>
  <c r="S601" i="7"/>
  <c r="S597" i="7"/>
  <c r="S593" i="7"/>
  <c r="S589" i="7"/>
  <c r="S42" i="7"/>
  <c r="S46" i="7"/>
  <c r="S39" i="7"/>
  <c r="T618" i="7"/>
  <c r="H471" i="7"/>
  <c r="J523" i="7"/>
  <c r="E497" i="7"/>
  <c r="G471" i="7"/>
  <c r="L462" i="7"/>
  <c r="I523" i="7"/>
  <c r="D497" i="7"/>
  <c r="F471" i="7"/>
  <c r="F497" i="7"/>
  <c r="L514" i="7"/>
  <c r="H523" i="7"/>
  <c r="K497" i="7"/>
  <c r="C497" i="7"/>
  <c r="E471" i="7"/>
  <c r="L497" i="7"/>
  <c r="G523" i="7"/>
  <c r="J497" i="7"/>
  <c r="D471" i="7"/>
  <c r="L523" i="7"/>
  <c r="C523" i="7"/>
  <c r="E523" i="7"/>
  <c r="I497" i="7"/>
  <c r="K471" i="7"/>
  <c r="C471" i="7"/>
  <c r="L471" i="7"/>
  <c r="K523" i="7"/>
  <c r="F523" i="7"/>
  <c r="H497" i="7"/>
  <c r="J471" i="7"/>
  <c r="D523" i="7"/>
  <c r="G497" i="7"/>
  <c r="I471" i="7"/>
  <c r="C112" i="7"/>
  <c r="S734" i="7"/>
  <c r="S733" i="7"/>
  <c r="S732" i="7"/>
  <c r="S731" i="7"/>
  <c r="S730" i="7"/>
  <c r="S729" i="7"/>
  <c r="S728" i="7"/>
  <c r="S727" i="7"/>
  <c r="S697" i="7"/>
  <c r="S726" i="7"/>
  <c r="S702" i="7"/>
  <c r="S700" i="7"/>
  <c r="S698" i="7"/>
  <c r="S696" i="7"/>
  <c r="S725" i="7"/>
  <c r="S701" i="7"/>
  <c r="S699" i="7"/>
  <c r="S695" i="7"/>
  <c r="S693" i="7"/>
  <c r="S668" i="7"/>
  <c r="S667" i="7"/>
  <c r="S665" i="7"/>
  <c r="S663" i="7"/>
  <c r="S661" i="7"/>
  <c r="S694" i="7"/>
  <c r="S669" i="7"/>
  <c r="S666" i="7"/>
  <c r="S664" i="7"/>
  <c r="S662" i="7"/>
  <c r="S670" i="7"/>
  <c r="S31" i="7"/>
  <c r="S66" i="7"/>
  <c r="N644" i="7"/>
  <c r="M375" i="7"/>
  <c r="L112" i="7"/>
  <c r="M735" i="7"/>
  <c r="M720" i="7" s="1"/>
  <c r="M111" i="7" s="1"/>
  <c r="M43" i="7"/>
  <c r="M463" i="7"/>
  <c r="M492" i="7"/>
  <c r="M496" i="7"/>
  <c r="M515" i="7"/>
  <c r="M470" i="7"/>
  <c r="M519" i="7"/>
  <c r="M523" i="7"/>
  <c r="M466" i="7"/>
  <c r="M468" i="7"/>
  <c r="M465" i="7"/>
  <c r="M469" i="7"/>
  <c r="M489" i="7"/>
  <c r="M493" i="7"/>
  <c r="M497" i="7"/>
  <c r="M517" i="7"/>
  <c r="M521" i="7"/>
  <c r="M490" i="7"/>
  <c r="M494" i="7"/>
  <c r="M518" i="7"/>
  <c r="M522" i="7"/>
  <c r="N746" i="7"/>
  <c r="N745" i="7"/>
  <c r="N744" i="7"/>
  <c r="N743" i="7"/>
  <c r="N742" i="7"/>
  <c r="N741" i="7"/>
  <c r="N738" i="7"/>
  <c r="N384" i="7"/>
  <c r="N383" i="7"/>
  <c r="N382" i="7"/>
  <c r="N381" i="7"/>
  <c r="N380" i="7"/>
  <c r="N379" i="7"/>
  <c r="N378" i="7"/>
  <c r="N377" i="7"/>
  <c r="N376" i="7"/>
  <c r="N375" i="7"/>
  <c r="N714" i="7"/>
  <c r="N713" i="7"/>
  <c r="N712" i="7"/>
  <c r="N711" i="7"/>
  <c r="N710" i="7"/>
  <c r="N709" i="7"/>
  <c r="N708" i="7"/>
  <c r="N707" i="7"/>
  <c r="N706" i="7"/>
  <c r="N358" i="7"/>
  <c r="N357" i="7"/>
  <c r="N356" i="7"/>
  <c r="N355" i="7"/>
  <c r="N354" i="7"/>
  <c r="N353" i="7"/>
  <c r="N352" i="7"/>
  <c r="N351" i="7"/>
  <c r="N350" i="7"/>
  <c r="N349" i="7"/>
  <c r="N682" i="7"/>
  <c r="N681" i="7"/>
  <c r="N680" i="7"/>
  <c r="N679" i="7"/>
  <c r="N678" i="7"/>
  <c r="N677" i="7"/>
  <c r="N676" i="7"/>
  <c r="N675" i="7"/>
  <c r="N674" i="7"/>
  <c r="N333" i="7"/>
  <c r="N332" i="7"/>
  <c r="N331" i="7"/>
  <c r="N330" i="7"/>
  <c r="N329" i="7"/>
  <c r="N328" i="7"/>
  <c r="N327" i="7"/>
  <c r="N326" i="7"/>
  <c r="N325" i="7"/>
  <c r="N324" i="7"/>
  <c r="N562" i="7"/>
  <c r="N556" i="7"/>
  <c r="N457" i="7"/>
  <c r="N442" i="7"/>
  <c r="N441" i="7"/>
  <c r="N440" i="7"/>
  <c r="N439" i="7"/>
  <c r="N438" i="7"/>
  <c r="N437" i="7"/>
  <c r="N304" i="7"/>
  <c r="N303" i="7"/>
  <c r="N302" i="7"/>
  <c r="N301" i="7"/>
  <c r="N300" i="7"/>
  <c r="N299" i="7"/>
  <c r="N319" i="7"/>
  <c r="N41" i="7"/>
  <c r="M320" i="7"/>
  <c r="M462" i="7"/>
  <c r="M464" i="7"/>
  <c r="M467" i="7"/>
  <c r="M471" i="7"/>
  <c r="M491" i="7"/>
  <c r="M495" i="7"/>
  <c r="M488" i="7"/>
  <c r="M516" i="7"/>
  <c r="M520" i="7"/>
  <c r="M458" i="7"/>
  <c r="M671" i="7"/>
  <c r="M656" i="7" s="1"/>
  <c r="M109" i="7" s="1"/>
  <c r="M703" i="7"/>
  <c r="M688" i="7" s="1"/>
  <c r="M110" i="7" s="1"/>
  <c r="T65" i="7" l="1"/>
  <c r="AN151" i="1"/>
  <c r="T650" i="7"/>
  <c r="T597" i="7"/>
  <c r="T589" i="7"/>
  <c r="T561" i="7"/>
  <c r="T555" i="7"/>
  <c r="T601" i="7"/>
  <c r="T593" i="7"/>
  <c r="T42" i="7"/>
  <c r="T46" i="7"/>
  <c r="T39" i="7"/>
  <c r="U618" i="7"/>
  <c r="M514" i="7"/>
  <c r="T733" i="7"/>
  <c r="T731" i="7"/>
  <c r="T729" i="7"/>
  <c r="T727" i="7"/>
  <c r="T725" i="7"/>
  <c r="T726" i="7"/>
  <c r="T732" i="7"/>
  <c r="T702" i="7"/>
  <c r="T700" i="7"/>
  <c r="T698" i="7"/>
  <c r="T734" i="7"/>
  <c r="T728" i="7"/>
  <c r="T730" i="7"/>
  <c r="T701" i="7"/>
  <c r="T699" i="7"/>
  <c r="T697" i="7"/>
  <c r="T695" i="7"/>
  <c r="T693" i="7"/>
  <c r="T669" i="7"/>
  <c r="T667" i="7"/>
  <c r="T666" i="7"/>
  <c r="T665" i="7"/>
  <c r="T664" i="7"/>
  <c r="T663" i="7"/>
  <c r="T662" i="7"/>
  <c r="T661" i="7"/>
  <c r="T694" i="7"/>
  <c r="T696" i="7"/>
  <c r="T670" i="7"/>
  <c r="T668" i="7"/>
  <c r="T31" i="7"/>
  <c r="T66" i="7"/>
  <c r="O644" i="7"/>
  <c r="N491" i="7"/>
  <c r="N467" i="7"/>
  <c r="N469" i="7"/>
  <c r="N515" i="7"/>
  <c r="N519" i="7"/>
  <c r="N523" i="7"/>
  <c r="N495" i="7"/>
  <c r="N465" i="7"/>
  <c r="N320" i="7"/>
  <c r="N463" i="7"/>
  <c r="N471" i="7"/>
  <c r="N464" i="7"/>
  <c r="N468" i="7"/>
  <c r="N488" i="7"/>
  <c r="N492" i="7"/>
  <c r="N496" i="7"/>
  <c r="N516" i="7"/>
  <c r="N520" i="7"/>
  <c r="N458" i="7"/>
  <c r="N489" i="7"/>
  <c r="N493" i="7"/>
  <c r="N497" i="7"/>
  <c r="N517" i="7"/>
  <c r="N521" i="7"/>
  <c r="O746" i="7"/>
  <c r="O745" i="7"/>
  <c r="O744" i="7"/>
  <c r="O743" i="7"/>
  <c r="O742" i="7"/>
  <c r="O740" i="7"/>
  <c r="O384" i="7"/>
  <c r="O383" i="7"/>
  <c r="O382" i="7"/>
  <c r="O381" i="7"/>
  <c r="O380" i="7"/>
  <c r="O379" i="7"/>
  <c r="O378" i="7"/>
  <c r="O377" i="7"/>
  <c r="O738" i="7"/>
  <c r="O375" i="7"/>
  <c r="O358" i="7"/>
  <c r="O357" i="7"/>
  <c r="O356" i="7"/>
  <c r="O355" i="7"/>
  <c r="O354" i="7"/>
  <c r="O353" i="7"/>
  <c r="O352" i="7"/>
  <c r="O376" i="7"/>
  <c r="O714" i="7"/>
  <c r="O713" i="7"/>
  <c r="O712" i="7"/>
  <c r="O711" i="7"/>
  <c r="O710" i="7"/>
  <c r="O709" i="7"/>
  <c r="O708" i="7"/>
  <c r="O707" i="7"/>
  <c r="O706" i="7"/>
  <c r="O333" i="7"/>
  <c r="O332" i="7"/>
  <c r="O331" i="7"/>
  <c r="O330" i="7"/>
  <c r="O329" i="7"/>
  <c r="O328" i="7"/>
  <c r="O351" i="7"/>
  <c r="O350" i="7"/>
  <c r="O349" i="7"/>
  <c r="O682" i="7"/>
  <c r="O681" i="7"/>
  <c r="O680" i="7"/>
  <c r="O679" i="7"/>
  <c r="O678" i="7"/>
  <c r="O677" i="7"/>
  <c r="O676" i="7"/>
  <c r="O675" i="7"/>
  <c r="O673" i="7"/>
  <c r="O326" i="7"/>
  <c r="O327" i="7"/>
  <c r="O325" i="7"/>
  <c r="O562" i="7"/>
  <c r="O556" i="7"/>
  <c r="O442" i="7"/>
  <c r="O441" i="7"/>
  <c r="O440" i="7"/>
  <c r="O439" i="7"/>
  <c r="O438" i="7"/>
  <c r="O437" i="7"/>
  <c r="O457" i="7"/>
  <c r="O319" i="7"/>
  <c r="O304" i="7"/>
  <c r="O303" i="7"/>
  <c r="O302" i="7"/>
  <c r="O301" i="7"/>
  <c r="O300" i="7"/>
  <c r="O299" i="7"/>
  <c r="O41" i="7"/>
  <c r="N462" i="7"/>
  <c r="N466" i="7"/>
  <c r="N470" i="7"/>
  <c r="N490" i="7"/>
  <c r="N494" i="7"/>
  <c r="N514" i="7"/>
  <c r="N518" i="7"/>
  <c r="N522" i="7"/>
  <c r="M112" i="7"/>
  <c r="N43" i="7"/>
  <c r="N671" i="7"/>
  <c r="N656" i="7" s="1"/>
  <c r="N109" i="7" s="1"/>
  <c r="N703" i="7"/>
  <c r="N688" i="7" s="1"/>
  <c r="N110" i="7" s="1"/>
  <c r="N735" i="7"/>
  <c r="N720" i="7" s="1"/>
  <c r="N111" i="7" s="1"/>
  <c r="U65" i="7" l="1"/>
  <c r="AO151" i="1"/>
  <c r="U616" i="7"/>
  <c r="U650" i="7"/>
  <c r="U561" i="7"/>
  <c r="U555" i="7"/>
  <c r="U601" i="7"/>
  <c r="U597" i="7"/>
  <c r="U593" i="7"/>
  <c r="U589" i="7"/>
  <c r="U42" i="7"/>
  <c r="U46" i="7"/>
  <c r="U39" i="7"/>
  <c r="V618" i="7"/>
  <c r="U734" i="7"/>
  <c r="U732" i="7"/>
  <c r="U730" i="7"/>
  <c r="U728" i="7"/>
  <c r="U726" i="7"/>
  <c r="U725" i="7"/>
  <c r="U702" i="7"/>
  <c r="U733" i="7"/>
  <c r="U729" i="7"/>
  <c r="U731" i="7"/>
  <c r="U727" i="7"/>
  <c r="U701" i="7"/>
  <c r="U699" i="7"/>
  <c r="U697" i="7"/>
  <c r="U700" i="7"/>
  <c r="U698" i="7"/>
  <c r="U696" i="7"/>
  <c r="U694" i="7"/>
  <c r="U670" i="7"/>
  <c r="U669" i="7"/>
  <c r="U695" i="7"/>
  <c r="U666" i="7"/>
  <c r="U664" i="7"/>
  <c r="U662" i="7"/>
  <c r="U668" i="7"/>
  <c r="U693" i="7"/>
  <c r="U667" i="7"/>
  <c r="U665" i="7"/>
  <c r="U663" i="7"/>
  <c r="U661" i="7"/>
  <c r="U66" i="7"/>
  <c r="U31" i="7"/>
  <c r="P644" i="7"/>
  <c r="O43" i="7"/>
  <c r="O671" i="7"/>
  <c r="O656" i="7" s="1"/>
  <c r="O109" i="7" s="1"/>
  <c r="O703" i="7"/>
  <c r="O688" i="7" s="1"/>
  <c r="O110" i="7" s="1"/>
  <c r="O490" i="7"/>
  <c r="O469" i="7"/>
  <c r="O518" i="7"/>
  <c r="O465" i="7"/>
  <c r="O493" i="7"/>
  <c r="P746" i="7"/>
  <c r="P745" i="7"/>
  <c r="P744" i="7"/>
  <c r="P743" i="7"/>
  <c r="P742" i="7"/>
  <c r="P740" i="7"/>
  <c r="P738" i="7"/>
  <c r="P384" i="7"/>
  <c r="P383" i="7"/>
  <c r="P382" i="7"/>
  <c r="P381" i="7"/>
  <c r="P380" i="7"/>
  <c r="P379" i="7"/>
  <c r="P378" i="7"/>
  <c r="P377" i="7"/>
  <c r="P376" i="7"/>
  <c r="P375" i="7"/>
  <c r="P714" i="7"/>
  <c r="P713" i="7"/>
  <c r="P712" i="7"/>
  <c r="P711" i="7"/>
  <c r="P710" i="7"/>
  <c r="P709" i="7"/>
  <c r="P708" i="7"/>
  <c r="P707" i="7"/>
  <c r="P706" i="7"/>
  <c r="P358" i="7"/>
  <c r="P357" i="7"/>
  <c r="P356" i="7"/>
  <c r="P355" i="7"/>
  <c r="P354" i="7"/>
  <c r="P353" i="7"/>
  <c r="P352" i="7"/>
  <c r="P351" i="7"/>
  <c r="P350" i="7"/>
  <c r="P349" i="7"/>
  <c r="P682" i="7"/>
  <c r="P681" i="7"/>
  <c r="P680" i="7"/>
  <c r="P679" i="7"/>
  <c r="P678" i="7"/>
  <c r="P677" i="7"/>
  <c r="P676" i="7"/>
  <c r="P675" i="7"/>
  <c r="P673" i="7"/>
  <c r="P333" i="7"/>
  <c r="P332" i="7"/>
  <c r="P331" i="7"/>
  <c r="P330" i="7"/>
  <c r="P329" i="7"/>
  <c r="P328" i="7"/>
  <c r="P327" i="7"/>
  <c r="P326" i="7"/>
  <c r="P325" i="7"/>
  <c r="P562" i="7"/>
  <c r="P556" i="7"/>
  <c r="P457" i="7"/>
  <c r="P442" i="7"/>
  <c r="P441" i="7"/>
  <c r="P440" i="7"/>
  <c r="P439" i="7"/>
  <c r="P438" i="7"/>
  <c r="P437" i="7"/>
  <c r="P304" i="7"/>
  <c r="P303" i="7"/>
  <c r="P302" i="7"/>
  <c r="P301" i="7"/>
  <c r="P300" i="7"/>
  <c r="P299" i="7"/>
  <c r="P319" i="7"/>
  <c r="P41" i="7"/>
  <c r="O466" i="7"/>
  <c r="O467" i="7"/>
  <c r="O491" i="7"/>
  <c r="O515" i="7"/>
  <c r="O519" i="7"/>
  <c r="O523" i="7"/>
  <c r="O492" i="7"/>
  <c r="O496" i="7"/>
  <c r="O520" i="7"/>
  <c r="O458" i="7"/>
  <c r="O468" i="7"/>
  <c r="O470" i="7"/>
  <c r="O489" i="7"/>
  <c r="O497" i="7"/>
  <c r="O517" i="7"/>
  <c r="O521" i="7"/>
  <c r="O494" i="7"/>
  <c r="O514" i="7"/>
  <c r="O522" i="7"/>
  <c r="N112" i="7"/>
  <c r="O324" i="7"/>
  <c r="O735" i="7"/>
  <c r="O720" i="7" s="1"/>
  <c r="O111" i="7" s="1"/>
  <c r="O320" i="7"/>
  <c r="O464" i="7"/>
  <c r="O463" i="7"/>
  <c r="O471" i="7"/>
  <c r="O495" i="7"/>
  <c r="O488" i="7"/>
  <c r="O516" i="7"/>
  <c r="V65" i="7" l="1"/>
  <c r="AP151" i="1"/>
  <c r="V616" i="7"/>
  <c r="V650" i="7"/>
  <c r="V555" i="7"/>
  <c r="V601" i="7"/>
  <c r="V597" i="7"/>
  <c r="V593" i="7"/>
  <c r="V589" i="7"/>
  <c r="V561" i="7"/>
  <c r="V42" i="7"/>
  <c r="V46" i="7"/>
  <c r="V39" i="7"/>
  <c r="W618" i="7"/>
  <c r="V734" i="7"/>
  <c r="V732" i="7"/>
  <c r="V730" i="7"/>
  <c r="V728" i="7"/>
  <c r="V701" i="7"/>
  <c r="V700" i="7"/>
  <c r="V699" i="7"/>
  <c r="V698" i="7"/>
  <c r="V697" i="7"/>
  <c r="V696" i="7"/>
  <c r="V695" i="7"/>
  <c r="V694" i="7"/>
  <c r="V693" i="7"/>
  <c r="V670" i="7"/>
  <c r="V669" i="7"/>
  <c r="V668" i="7"/>
  <c r="V727" i="7"/>
  <c r="V702" i="7"/>
  <c r="V733" i="7"/>
  <c r="V729" i="7"/>
  <c r="V725" i="7"/>
  <c r="V731" i="7"/>
  <c r="V726" i="7"/>
  <c r="V666" i="7"/>
  <c r="V664" i="7"/>
  <c r="V662" i="7"/>
  <c r="V667" i="7"/>
  <c r="V665" i="7"/>
  <c r="V663" i="7"/>
  <c r="V661" i="7"/>
  <c r="V66" i="7"/>
  <c r="V31" i="7"/>
  <c r="Q644" i="7"/>
  <c r="O112" i="7"/>
  <c r="O462" i="7"/>
  <c r="P467" i="7"/>
  <c r="P320" i="7"/>
  <c r="P465" i="7"/>
  <c r="P466" i="7"/>
  <c r="P470" i="7"/>
  <c r="P490" i="7"/>
  <c r="P494" i="7"/>
  <c r="P514" i="7"/>
  <c r="P518" i="7"/>
  <c r="P522" i="7"/>
  <c r="P491" i="7"/>
  <c r="P495" i="7"/>
  <c r="P515" i="7"/>
  <c r="P519" i="7"/>
  <c r="P523" i="7"/>
  <c r="P43" i="7"/>
  <c r="P324" i="7"/>
  <c r="P671" i="7"/>
  <c r="P656" i="7" s="1"/>
  <c r="P109" i="7" s="1"/>
  <c r="P703" i="7"/>
  <c r="P688" i="7" s="1"/>
  <c r="P110" i="7" s="1"/>
  <c r="P735" i="7"/>
  <c r="P720" i="7" s="1"/>
  <c r="P111" i="7" s="1"/>
  <c r="Q746" i="7"/>
  <c r="Q745" i="7"/>
  <c r="Q744" i="7"/>
  <c r="Q743" i="7"/>
  <c r="Q742" i="7"/>
  <c r="Q740" i="7"/>
  <c r="Q738" i="7"/>
  <c r="Q384" i="7"/>
  <c r="Q383" i="7"/>
  <c r="Q382" i="7"/>
  <c r="Q381" i="7"/>
  <c r="Q380" i="7"/>
  <c r="Q379" i="7"/>
  <c r="Q378" i="7"/>
  <c r="Q377" i="7"/>
  <c r="Q376" i="7"/>
  <c r="Q358" i="7"/>
  <c r="Q357" i="7"/>
  <c r="Q356" i="7"/>
  <c r="Q355" i="7"/>
  <c r="Q354" i="7"/>
  <c r="Q353" i="7"/>
  <c r="Q352" i="7"/>
  <c r="Q375" i="7"/>
  <c r="Q714" i="7"/>
  <c r="Q713" i="7"/>
  <c r="Q712" i="7"/>
  <c r="Q711" i="7"/>
  <c r="Q710" i="7"/>
  <c r="Q709" i="7"/>
  <c r="Q708" i="7"/>
  <c r="Q707" i="7"/>
  <c r="Q706" i="7"/>
  <c r="Q351" i="7"/>
  <c r="Q333" i="7"/>
  <c r="Q332" i="7"/>
  <c r="Q331" i="7"/>
  <c r="Q330" i="7"/>
  <c r="Q329" i="7"/>
  <c r="Q328" i="7"/>
  <c r="Q350" i="7"/>
  <c r="Q682" i="7"/>
  <c r="Q681" i="7"/>
  <c r="Q680" i="7"/>
  <c r="Q679" i="7"/>
  <c r="Q678" i="7"/>
  <c r="Q677" i="7"/>
  <c r="Q676" i="7"/>
  <c r="Q675" i="7"/>
  <c r="Q673" i="7"/>
  <c r="Q327" i="7"/>
  <c r="Q326" i="7"/>
  <c r="Q325" i="7"/>
  <c r="Q562" i="7"/>
  <c r="Q556" i="7"/>
  <c r="Q442" i="7"/>
  <c r="Q441" i="7"/>
  <c r="Q440" i="7"/>
  <c r="Q439" i="7"/>
  <c r="Q438" i="7"/>
  <c r="Q437" i="7"/>
  <c r="Q457" i="7"/>
  <c r="Q319" i="7"/>
  <c r="Q304" i="7"/>
  <c r="Q303" i="7"/>
  <c r="Q302" i="7"/>
  <c r="Q301" i="7"/>
  <c r="Q300" i="7"/>
  <c r="Q299" i="7"/>
  <c r="Q41" i="7"/>
  <c r="P463" i="7"/>
  <c r="P471" i="7"/>
  <c r="P469" i="7"/>
  <c r="P464" i="7"/>
  <c r="P468" i="7"/>
  <c r="P488" i="7"/>
  <c r="P492" i="7"/>
  <c r="P496" i="7"/>
  <c r="P516" i="7"/>
  <c r="P520" i="7"/>
  <c r="P458" i="7"/>
  <c r="P489" i="7"/>
  <c r="P493" i="7"/>
  <c r="P497" i="7"/>
  <c r="P517" i="7"/>
  <c r="P521" i="7"/>
  <c r="W65" i="7" l="1"/>
  <c r="AQ151" i="1"/>
  <c r="W616" i="7"/>
  <c r="W650" i="7"/>
  <c r="W561" i="7"/>
  <c r="W555" i="7"/>
  <c r="W593" i="7"/>
  <c r="W601" i="7"/>
  <c r="W597" i="7"/>
  <c r="W589" i="7"/>
  <c r="W42" i="7"/>
  <c r="W46" i="7"/>
  <c r="W39" i="7"/>
  <c r="X618" i="7"/>
  <c r="W734" i="7"/>
  <c r="W733" i="7"/>
  <c r="W732" i="7"/>
  <c r="W731" i="7"/>
  <c r="W730" i="7"/>
  <c r="W729" i="7"/>
  <c r="W728" i="7"/>
  <c r="W727" i="7"/>
  <c r="W726" i="7"/>
  <c r="W702" i="7"/>
  <c r="W725" i="7"/>
  <c r="W701" i="7"/>
  <c r="W699" i="7"/>
  <c r="W700" i="7"/>
  <c r="W698" i="7"/>
  <c r="W696" i="7"/>
  <c r="W694" i="7"/>
  <c r="W670" i="7"/>
  <c r="W668" i="7"/>
  <c r="W695" i="7"/>
  <c r="W667" i="7"/>
  <c r="W665" i="7"/>
  <c r="W663" i="7"/>
  <c r="W661" i="7"/>
  <c r="W697" i="7"/>
  <c r="W693" i="7"/>
  <c r="W669" i="7"/>
  <c r="W666" i="7"/>
  <c r="W664" i="7"/>
  <c r="W662" i="7"/>
  <c r="W31" i="7"/>
  <c r="W66" i="7"/>
  <c r="R644" i="7"/>
  <c r="Q324" i="7"/>
  <c r="Q703" i="7"/>
  <c r="Q688" i="7" s="1"/>
  <c r="Q110" i="7" s="1"/>
  <c r="Q43" i="7"/>
  <c r="Q349" i="7"/>
  <c r="Q671" i="7"/>
  <c r="Q656" i="7" s="1"/>
  <c r="Q109" i="7" s="1"/>
  <c r="Q466" i="7"/>
  <c r="Q468" i="7"/>
  <c r="Q465" i="7"/>
  <c r="Q469" i="7"/>
  <c r="Q489" i="7"/>
  <c r="Q493" i="7"/>
  <c r="Q497" i="7"/>
  <c r="Q517" i="7"/>
  <c r="Q521" i="7"/>
  <c r="Q490" i="7"/>
  <c r="Q494" i="7"/>
  <c r="Q514" i="7"/>
  <c r="Q518" i="7"/>
  <c r="Q522" i="7"/>
  <c r="P462" i="7"/>
  <c r="Q735" i="7"/>
  <c r="Q720" i="7" s="1"/>
  <c r="Q111" i="7" s="1"/>
  <c r="P112" i="7"/>
  <c r="R746" i="7"/>
  <c r="R745" i="7"/>
  <c r="R744" i="7"/>
  <c r="R743" i="7"/>
  <c r="R741" i="7"/>
  <c r="R739" i="7"/>
  <c r="R738" i="7"/>
  <c r="R384" i="7"/>
  <c r="R383" i="7"/>
  <c r="R382" i="7"/>
  <c r="R381" i="7"/>
  <c r="R380" i="7"/>
  <c r="R379" i="7"/>
  <c r="R378" i="7"/>
  <c r="R377" i="7"/>
  <c r="R376" i="7"/>
  <c r="R375" i="7"/>
  <c r="R714" i="7"/>
  <c r="R713" i="7"/>
  <c r="R712" i="7"/>
  <c r="R711" i="7"/>
  <c r="R710" i="7"/>
  <c r="R709" i="7"/>
  <c r="R708" i="7"/>
  <c r="R707" i="7"/>
  <c r="R705" i="7"/>
  <c r="R358" i="7"/>
  <c r="R357" i="7"/>
  <c r="R356" i="7"/>
  <c r="R355" i="7"/>
  <c r="R354" i="7"/>
  <c r="R353" i="7"/>
  <c r="R352" i="7"/>
  <c r="R351" i="7"/>
  <c r="R350" i="7"/>
  <c r="R349" i="7"/>
  <c r="R682" i="7"/>
  <c r="R681" i="7"/>
  <c r="R680" i="7"/>
  <c r="R679" i="7"/>
  <c r="R678" i="7"/>
  <c r="R677" i="7"/>
  <c r="R676" i="7"/>
  <c r="R675" i="7"/>
  <c r="R673" i="7"/>
  <c r="R333" i="7"/>
  <c r="R332" i="7"/>
  <c r="R331" i="7"/>
  <c r="R330" i="7"/>
  <c r="R329" i="7"/>
  <c r="R328" i="7"/>
  <c r="R327" i="7"/>
  <c r="R326" i="7"/>
  <c r="R325" i="7"/>
  <c r="R562" i="7"/>
  <c r="R556" i="7"/>
  <c r="R457" i="7"/>
  <c r="R442" i="7"/>
  <c r="R441" i="7"/>
  <c r="R440" i="7"/>
  <c r="R439" i="7"/>
  <c r="R438" i="7"/>
  <c r="R437" i="7"/>
  <c r="R304" i="7"/>
  <c r="R303" i="7"/>
  <c r="R302" i="7"/>
  <c r="R301" i="7"/>
  <c r="R300" i="7"/>
  <c r="R299" i="7"/>
  <c r="R319" i="7"/>
  <c r="R41" i="7"/>
  <c r="Q320" i="7"/>
  <c r="Q470" i="7"/>
  <c r="Q464" i="7"/>
  <c r="Q463" i="7"/>
  <c r="Q467" i="7"/>
  <c r="Q471" i="7"/>
  <c r="Q491" i="7"/>
  <c r="Q495" i="7"/>
  <c r="Q515" i="7"/>
  <c r="Q519" i="7"/>
  <c r="Q523" i="7"/>
  <c r="Q492" i="7"/>
  <c r="Q496" i="7"/>
  <c r="Q516" i="7"/>
  <c r="Q520" i="7"/>
  <c r="Q458" i="7"/>
  <c r="X65" i="7" l="1"/>
  <c r="X616" i="7"/>
  <c r="X650" i="7"/>
  <c r="X593" i="7"/>
  <c r="X561" i="7"/>
  <c r="X555" i="7"/>
  <c r="X601" i="7"/>
  <c r="X597" i="7"/>
  <c r="X589" i="7"/>
  <c r="X42" i="7"/>
  <c r="X46" i="7"/>
  <c r="X39" i="7"/>
  <c r="Y618" i="7"/>
  <c r="Q488" i="7"/>
  <c r="Q462" i="7"/>
  <c r="X733" i="7"/>
  <c r="X731" i="7"/>
  <c r="X729" i="7"/>
  <c r="X727" i="7"/>
  <c r="X734" i="7"/>
  <c r="X730" i="7"/>
  <c r="X726" i="7"/>
  <c r="X732" i="7"/>
  <c r="X725" i="7"/>
  <c r="X701" i="7"/>
  <c r="X699" i="7"/>
  <c r="X695" i="7"/>
  <c r="X728" i="7"/>
  <c r="X700" i="7"/>
  <c r="X698" i="7"/>
  <c r="X696" i="7"/>
  <c r="X702" i="7"/>
  <c r="X667" i="7"/>
  <c r="X666" i="7"/>
  <c r="X665" i="7"/>
  <c r="X664" i="7"/>
  <c r="X663" i="7"/>
  <c r="X662" i="7"/>
  <c r="X661" i="7"/>
  <c r="X697" i="7"/>
  <c r="X693" i="7"/>
  <c r="X670" i="7"/>
  <c r="X668" i="7"/>
  <c r="X669" i="7"/>
  <c r="X694" i="7"/>
  <c r="X31" i="7"/>
  <c r="X66" i="7"/>
  <c r="S644" i="7"/>
  <c r="B432" i="7"/>
  <c r="R324" i="7"/>
  <c r="Q112" i="7"/>
  <c r="S746" i="7"/>
  <c r="S745" i="7"/>
  <c r="S744" i="7"/>
  <c r="S743" i="7"/>
  <c r="S741" i="7"/>
  <c r="S739" i="7"/>
  <c r="S384" i="7"/>
  <c r="S383" i="7"/>
  <c r="S382" i="7"/>
  <c r="S381" i="7"/>
  <c r="S380" i="7"/>
  <c r="S379" i="7"/>
  <c r="S378" i="7"/>
  <c r="S377" i="7"/>
  <c r="S738" i="7"/>
  <c r="S375" i="7"/>
  <c r="S358" i="7"/>
  <c r="S357" i="7"/>
  <c r="S356" i="7"/>
  <c r="S355" i="7"/>
  <c r="S354" i="7"/>
  <c r="S353" i="7"/>
  <c r="S352" i="7"/>
  <c r="S376" i="7"/>
  <c r="S714" i="7"/>
  <c r="S713" i="7"/>
  <c r="S712" i="7"/>
  <c r="S711" i="7"/>
  <c r="S710" i="7"/>
  <c r="S709" i="7"/>
  <c r="S708" i="7"/>
  <c r="S707" i="7"/>
  <c r="S705" i="7"/>
  <c r="S333" i="7"/>
  <c r="S332" i="7"/>
  <c r="S331" i="7"/>
  <c r="S330" i="7"/>
  <c r="S329" i="7"/>
  <c r="S328" i="7"/>
  <c r="S351" i="7"/>
  <c r="S350" i="7"/>
  <c r="S349" i="7"/>
  <c r="S682" i="7"/>
  <c r="S681" i="7"/>
  <c r="S680" i="7"/>
  <c r="S679" i="7"/>
  <c r="S678" i="7"/>
  <c r="S677" i="7"/>
  <c r="S676" i="7"/>
  <c r="S675" i="7"/>
  <c r="S673" i="7"/>
  <c r="S326" i="7"/>
  <c r="S327" i="7"/>
  <c r="S325" i="7"/>
  <c r="S562" i="7"/>
  <c r="S556" i="7"/>
  <c r="S442" i="7"/>
  <c r="S441" i="7"/>
  <c r="S440" i="7"/>
  <c r="S439" i="7"/>
  <c r="S438" i="7"/>
  <c r="S437" i="7"/>
  <c r="S457" i="7"/>
  <c r="S319" i="7"/>
  <c r="S304" i="7"/>
  <c r="S303" i="7"/>
  <c r="S302" i="7"/>
  <c r="S301" i="7"/>
  <c r="S300" i="7"/>
  <c r="S299" i="7"/>
  <c r="S41" i="7"/>
  <c r="R469" i="7"/>
  <c r="R467" i="7"/>
  <c r="R466" i="7"/>
  <c r="R470" i="7"/>
  <c r="R490" i="7"/>
  <c r="R494" i="7"/>
  <c r="R514" i="7"/>
  <c r="R518" i="7"/>
  <c r="R522" i="7"/>
  <c r="R491" i="7"/>
  <c r="R495" i="7"/>
  <c r="R515" i="7"/>
  <c r="R519" i="7"/>
  <c r="R523" i="7"/>
  <c r="R43" i="7"/>
  <c r="R671" i="7"/>
  <c r="R656" i="7" s="1"/>
  <c r="R109" i="7" s="1"/>
  <c r="R703" i="7"/>
  <c r="R688" i="7" s="1"/>
  <c r="R110" i="7" s="1"/>
  <c r="R735" i="7"/>
  <c r="R720" i="7" s="1"/>
  <c r="R111" i="7" s="1"/>
  <c r="R465" i="7"/>
  <c r="R320" i="7"/>
  <c r="R463" i="7"/>
  <c r="R471" i="7"/>
  <c r="R464" i="7"/>
  <c r="R468" i="7"/>
  <c r="R488" i="7"/>
  <c r="R492" i="7"/>
  <c r="R496" i="7"/>
  <c r="R516" i="7"/>
  <c r="R520" i="7"/>
  <c r="R458" i="7"/>
  <c r="R489" i="7"/>
  <c r="R493" i="7"/>
  <c r="R497" i="7"/>
  <c r="R517" i="7"/>
  <c r="R521" i="7"/>
  <c r="E408" i="7" l="1"/>
  <c r="E407" i="7"/>
  <c r="E402" i="7"/>
  <c r="E403" i="7"/>
  <c r="E405" i="7"/>
  <c r="E404" i="7"/>
  <c r="E406" i="7"/>
  <c r="Y616" i="7"/>
  <c r="Y650" i="7"/>
  <c r="Y561" i="7"/>
  <c r="Y555" i="7"/>
  <c r="Y601" i="7"/>
  <c r="Y597" i="7"/>
  <c r="Y593" i="7"/>
  <c r="Y589" i="7"/>
  <c r="Y42" i="7"/>
  <c r="Y46" i="7"/>
  <c r="Y39" i="7"/>
  <c r="Z618" i="7"/>
  <c r="F264" i="7"/>
  <c r="R462" i="7"/>
  <c r="Y65" i="7"/>
  <c r="Y725" i="7"/>
  <c r="Y702" i="7"/>
  <c r="Y733" i="7"/>
  <c r="Y731" i="7"/>
  <c r="Y729" i="7"/>
  <c r="Y727" i="7"/>
  <c r="Y728" i="7"/>
  <c r="Y734" i="7"/>
  <c r="Y700" i="7"/>
  <c r="Y698" i="7"/>
  <c r="Y730" i="7"/>
  <c r="Y726" i="7"/>
  <c r="Y732" i="7"/>
  <c r="Y701" i="7"/>
  <c r="Y699" i="7"/>
  <c r="Y697" i="7"/>
  <c r="Y695" i="7"/>
  <c r="Y693" i="7"/>
  <c r="Y669" i="7"/>
  <c r="Y670" i="7"/>
  <c r="Y668" i="7"/>
  <c r="Y667" i="7"/>
  <c r="Y665" i="7"/>
  <c r="Y663" i="7"/>
  <c r="Y661" i="7"/>
  <c r="Y696" i="7"/>
  <c r="Y694" i="7"/>
  <c r="Y666" i="7"/>
  <c r="Y664" i="7"/>
  <c r="Y662" i="7"/>
  <c r="Y66" i="7"/>
  <c r="Y31" i="7"/>
  <c r="C199" i="7"/>
  <c r="T644" i="7"/>
  <c r="S324" i="7"/>
  <c r="T746" i="7"/>
  <c r="T745" i="7"/>
  <c r="T744" i="7"/>
  <c r="T743" i="7"/>
  <c r="T741" i="7"/>
  <c r="T739" i="7"/>
  <c r="T738" i="7"/>
  <c r="T384" i="7"/>
  <c r="T383" i="7"/>
  <c r="T382" i="7"/>
  <c r="T381" i="7"/>
  <c r="T380" i="7"/>
  <c r="T379" i="7"/>
  <c r="T378" i="7"/>
  <c r="T377" i="7"/>
  <c r="T376" i="7"/>
  <c r="T375" i="7"/>
  <c r="T714" i="7"/>
  <c r="T713" i="7"/>
  <c r="T712" i="7"/>
  <c r="T711" i="7"/>
  <c r="T710" i="7"/>
  <c r="T709" i="7"/>
  <c r="T708" i="7"/>
  <c r="T707" i="7"/>
  <c r="T705" i="7"/>
  <c r="T358" i="7"/>
  <c r="T357" i="7"/>
  <c r="T356" i="7"/>
  <c r="T355" i="7"/>
  <c r="T354" i="7"/>
  <c r="T353" i="7"/>
  <c r="T352" i="7"/>
  <c r="T351" i="7"/>
  <c r="T350" i="7"/>
  <c r="T349" i="7"/>
  <c r="T682" i="7"/>
  <c r="T681" i="7"/>
  <c r="T680" i="7"/>
  <c r="T679" i="7"/>
  <c r="T678" i="7"/>
  <c r="T677" i="7"/>
  <c r="T676" i="7"/>
  <c r="T675" i="7"/>
  <c r="T673" i="7"/>
  <c r="T333" i="7"/>
  <c r="T332" i="7"/>
  <c r="T331" i="7"/>
  <c r="T330" i="7"/>
  <c r="T329" i="7"/>
  <c r="T328" i="7"/>
  <c r="T327" i="7"/>
  <c r="T326" i="7"/>
  <c r="T325" i="7"/>
  <c r="T562" i="7"/>
  <c r="T556" i="7"/>
  <c r="T457" i="7"/>
  <c r="T442" i="7"/>
  <c r="T441" i="7"/>
  <c r="T440" i="7"/>
  <c r="T439" i="7"/>
  <c r="T438" i="7"/>
  <c r="T437" i="7"/>
  <c r="T304" i="7"/>
  <c r="T303" i="7"/>
  <c r="T302" i="7"/>
  <c r="T301" i="7"/>
  <c r="T300" i="7"/>
  <c r="T299" i="7"/>
  <c r="T319" i="7"/>
  <c r="T41" i="7"/>
  <c r="S320" i="7"/>
  <c r="S464" i="7"/>
  <c r="S466" i="7"/>
  <c r="S463" i="7"/>
  <c r="S467" i="7"/>
  <c r="S471" i="7"/>
  <c r="S491" i="7"/>
  <c r="S495" i="7"/>
  <c r="S515" i="7"/>
  <c r="S519" i="7"/>
  <c r="S523" i="7"/>
  <c r="S488" i="7"/>
  <c r="S492" i="7"/>
  <c r="S496" i="7"/>
  <c r="S516" i="7"/>
  <c r="S520" i="7"/>
  <c r="S458" i="7"/>
  <c r="R112" i="7"/>
  <c r="S43" i="7"/>
  <c r="S671" i="7"/>
  <c r="S656" i="7" s="1"/>
  <c r="S109" i="7" s="1"/>
  <c r="S703" i="7"/>
  <c r="S688" i="7" s="1"/>
  <c r="S110" i="7" s="1"/>
  <c r="S468" i="7"/>
  <c r="S470" i="7"/>
  <c r="S465" i="7"/>
  <c r="S469" i="7"/>
  <c r="S489" i="7"/>
  <c r="S493" i="7"/>
  <c r="S497" i="7"/>
  <c r="S517" i="7"/>
  <c r="S521" i="7"/>
  <c r="S490" i="7"/>
  <c r="S494" i="7"/>
  <c r="S514" i="7"/>
  <c r="S518" i="7"/>
  <c r="S522" i="7"/>
  <c r="S735" i="7"/>
  <c r="S720" i="7" s="1"/>
  <c r="S111" i="7" s="1"/>
  <c r="E409" i="7" l="1"/>
  <c r="Z65" i="7"/>
  <c r="Z616" i="7"/>
  <c r="Z650" i="7"/>
  <c r="Z561" i="7"/>
  <c r="Z589" i="7"/>
  <c r="Z555" i="7"/>
  <c r="Z601" i="7"/>
  <c r="Z597" i="7"/>
  <c r="Z593" i="7"/>
  <c r="Z42" i="7"/>
  <c r="Z46" i="7"/>
  <c r="Z39" i="7"/>
  <c r="AA618" i="7"/>
  <c r="S462" i="7"/>
  <c r="Z734" i="7"/>
  <c r="Z732" i="7"/>
  <c r="Z730" i="7"/>
  <c r="Z728" i="7"/>
  <c r="Z726" i="7"/>
  <c r="Z731" i="7"/>
  <c r="Z727" i="7"/>
  <c r="Z725" i="7"/>
  <c r="Z701" i="7"/>
  <c r="Z700" i="7"/>
  <c r="Z699" i="7"/>
  <c r="Z698" i="7"/>
  <c r="Z697" i="7"/>
  <c r="Z696" i="7"/>
  <c r="Z695" i="7"/>
  <c r="Z694" i="7"/>
  <c r="Z693" i="7"/>
  <c r="Z670" i="7"/>
  <c r="Z669" i="7"/>
  <c r="Z668" i="7"/>
  <c r="Z733" i="7"/>
  <c r="Z729" i="7"/>
  <c r="Z702" i="7"/>
  <c r="Z661" i="7"/>
  <c r="Z666" i="7"/>
  <c r="Z664" i="7"/>
  <c r="Z662" i="7"/>
  <c r="Z667" i="7"/>
  <c r="Z665" i="7"/>
  <c r="Z663" i="7"/>
  <c r="Z66" i="7"/>
  <c r="Z31" i="7"/>
  <c r="U644" i="7"/>
  <c r="T324" i="7"/>
  <c r="T735" i="7"/>
  <c r="T720" i="7" s="1"/>
  <c r="T111" i="7" s="1"/>
  <c r="U746" i="7"/>
  <c r="U745" i="7"/>
  <c r="U744" i="7"/>
  <c r="U742" i="7"/>
  <c r="U741" i="7"/>
  <c r="U739" i="7"/>
  <c r="U738" i="7"/>
  <c r="U384" i="7"/>
  <c r="U383" i="7"/>
  <c r="U382" i="7"/>
  <c r="U381" i="7"/>
  <c r="U380" i="7"/>
  <c r="U379" i="7"/>
  <c r="U378" i="7"/>
  <c r="U377" i="7"/>
  <c r="U376" i="7"/>
  <c r="U358" i="7"/>
  <c r="U357" i="7"/>
  <c r="U356" i="7"/>
  <c r="U355" i="7"/>
  <c r="U354" i="7"/>
  <c r="U353" i="7"/>
  <c r="U352" i="7"/>
  <c r="U375" i="7"/>
  <c r="U714" i="7"/>
  <c r="U713" i="7"/>
  <c r="U712" i="7"/>
  <c r="U711" i="7"/>
  <c r="U710" i="7"/>
  <c r="U709" i="7"/>
  <c r="U708" i="7"/>
  <c r="U707" i="7"/>
  <c r="U705" i="7"/>
  <c r="U351" i="7"/>
  <c r="U333" i="7"/>
  <c r="U332" i="7"/>
  <c r="U331" i="7"/>
  <c r="U330" i="7"/>
  <c r="U329" i="7"/>
  <c r="U328" i="7"/>
  <c r="U350" i="7"/>
  <c r="U349" i="7"/>
  <c r="U682" i="7"/>
  <c r="U681" i="7"/>
  <c r="U680" i="7"/>
  <c r="U679" i="7"/>
  <c r="U678" i="7"/>
  <c r="U677" i="7"/>
  <c r="U676" i="7"/>
  <c r="U675" i="7"/>
  <c r="U673" i="7"/>
  <c r="U327" i="7"/>
  <c r="U326" i="7"/>
  <c r="U325" i="7"/>
  <c r="U562" i="7"/>
  <c r="U556" i="7"/>
  <c r="U442" i="7"/>
  <c r="U441" i="7"/>
  <c r="U440" i="7"/>
  <c r="U439" i="7"/>
  <c r="U438" i="7"/>
  <c r="U437" i="7"/>
  <c r="U457" i="7"/>
  <c r="U319" i="7"/>
  <c r="U304" i="7"/>
  <c r="U303" i="7"/>
  <c r="U302" i="7"/>
  <c r="U301" i="7"/>
  <c r="U300" i="7"/>
  <c r="U299" i="7"/>
  <c r="U41" i="7"/>
  <c r="T467" i="7"/>
  <c r="T320" i="7"/>
  <c r="T465" i="7"/>
  <c r="T466" i="7"/>
  <c r="T470" i="7"/>
  <c r="T490" i="7"/>
  <c r="T494" i="7"/>
  <c r="T514" i="7"/>
  <c r="T518" i="7"/>
  <c r="T522" i="7"/>
  <c r="T491" i="7"/>
  <c r="T495" i="7"/>
  <c r="T515" i="7"/>
  <c r="T519" i="7"/>
  <c r="T523" i="7"/>
  <c r="T43" i="7"/>
  <c r="T671" i="7"/>
  <c r="T656" i="7" s="1"/>
  <c r="T109" i="7" s="1"/>
  <c r="T703" i="7"/>
  <c r="T688" i="7" s="1"/>
  <c r="T110" i="7" s="1"/>
  <c r="T463" i="7"/>
  <c r="T471" i="7"/>
  <c r="T469" i="7"/>
  <c r="T464" i="7"/>
  <c r="T468" i="7"/>
  <c r="T488" i="7"/>
  <c r="T492" i="7"/>
  <c r="T496" i="7"/>
  <c r="T516" i="7"/>
  <c r="T520" i="7"/>
  <c r="T458" i="7"/>
  <c r="T489" i="7"/>
  <c r="T493" i="7"/>
  <c r="T497" i="7"/>
  <c r="T517" i="7"/>
  <c r="T521" i="7"/>
  <c r="S112" i="7"/>
  <c r="AA65" i="7" l="1"/>
  <c r="AA616" i="7"/>
  <c r="AA561" i="7"/>
  <c r="AA555" i="7"/>
  <c r="AA601" i="7"/>
  <c r="AA597" i="7"/>
  <c r="AA593" i="7"/>
  <c r="AA589" i="7"/>
  <c r="AA42" i="7"/>
  <c r="AA46" i="7"/>
  <c r="AA39" i="7"/>
  <c r="AB618" i="7"/>
  <c r="T462" i="7"/>
  <c r="AA734" i="7"/>
  <c r="AA733" i="7"/>
  <c r="AA732" i="7"/>
  <c r="AA731" i="7"/>
  <c r="AA730" i="7"/>
  <c r="AA729" i="7"/>
  <c r="AA728" i="7"/>
  <c r="AA727" i="7"/>
  <c r="AA726" i="7"/>
  <c r="AA702" i="7"/>
  <c r="AA701" i="7"/>
  <c r="AA699" i="7"/>
  <c r="AA697" i="7"/>
  <c r="AA725" i="7"/>
  <c r="AA700" i="7"/>
  <c r="AA698" i="7"/>
  <c r="AA696" i="7"/>
  <c r="AA694" i="7"/>
  <c r="AA670" i="7"/>
  <c r="AA666" i="7"/>
  <c r="AA664" i="7"/>
  <c r="AA662" i="7"/>
  <c r="AA693" i="7"/>
  <c r="AA669" i="7"/>
  <c r="AA667" i="7"/>
  <c r="AA665" i="7"/>
  <c r="AA663" i="7"/>
  <c r="AA661" i="7"/>
  <c r="AA695" i="7"/>
  <c r="AA668" i="7"/>
  <c r="AA31" i="7"/>
  <c r="AA66" i="7"/>
  <c r="V644" i="7"/>
  <c r="U324" i="7"/>
  <c r="U735" i="7"/>
  <c r="U720" i="7" s="1"/>
  <c r="U111" i="7" s="1"/>
  <c r="V746" i="7"/>
  <c r="V745" i="7"/>
  <c r="V744" i="7"/>
  <c r="V742" i="7"/>
  <c r="V741" i="7"/>
  <c r="V739" i="7"/>
  <c r="V738" i="7"/>
  <c r="V384" i="7"/>
  <c r="V383" i="7"/>
  <c r="V382" i="7"/>
  <c r="V381" i="7"/>
  <c r="V380" i="7"/>
  <c r="V379" i="7"/>
  <c r="V378" i="7"/>
  <c r="V377" i="7"/>
  <c r="V376" i="7"/>
  <c r="V375" i="7"/>
  <c r="V714" i="7"/>
  <c r="V713" i="7"/>
  <c r="V712" i="7"/>
  <c r="V711" i="7"/>
  <c r="V710" i="7"/>
  <c r="V709" i="7"/>
  <c r="V708" i="7"/>
  <c r="V707" i="7"/>
  <c r="V705" i="7"/>
  <c r="V358" i="7"/>
  <c r="V357" i="7"/>
  <c r="V356" i="7"/>
  <c r="V355" i="7"/>
  <c r="V354" i="7"/>
  <c r="V353" i="7"/>
  <c r="V352" i="7"/>
  <c r="V351" i="7"/>
  <c r="V350" i="7"/>
  <c r="V349" i="7"/>
  <c r="V682" i="7"/>
  <c r="V681" i="7"/>
  <c r="V680" i="7"/>
  <c r="V679" i="7"/>
  <c r="V678" i="7"/>
  <c r="V677" i="7"/>
  <c r="V676" i="7"/>
  <c r="V675" i="7"/>
  <c r="V673" i="7"/>
  <c r="V333" i="7"/>
  <c r="V332" i="7"/>
  <c r="V331" i="7"/>
  <c r="V330" i="7"/>
  <c r="V329" i="7"/>
  <c r="V328" i="7"/>
  <c r="V327" i="7"/>
  <c r="V326" i="7"/>
  <c r="V325" i="7"/>
  <c r="V562" i="7"/>
  <c r="V556" i="7"/>
  <c r="V457" i="7"/>
  <c r="V442" i="7"/>
  <c r="V441" i="7"/>
  <c r="V440" i="7"/>
  <c r="V439" i="7"/>
  <c r="V438" i="7"/>
  <c r="V437" i="7"/>
  <c r="V304" i="7"/>
  <c r="V303" i="7"/>
  <c r="V302" i="7"/>
  <c r="V301" i="7"/>
  <c r="V300" i="7"/>
  <c r="V299" i="7"/>
  <c r="V319" i="7"/>
  <c r="V41" i="7"/>
  <c r="U320" i="7"/>
  <c r="U470" i="7"/>
  <c r="U464" i="7"/>
  <c r="U463" i="7"/>
  <c r="U467" i="7"/>
  <c r="U471" i="7"/>
  <c r="U491" i="7"/>
  <c r="U495" i="7"/>
  <c r="U515" i="7"/>
  <c r="U519" i="7"/>
  <c r="U523" i="7"/>
  <c r="U488" i="7"/>
  <c r="U492" i="7"/>
  <c r="U496" i="7"/>
  <c r="U516" i="7"/>
  <c r="U520" i="7"/>
  <c r="U458" i="7"/>
  <c r="T112" i="7"/>
  <c r="U43" i="7"/>
  <c r="U671" i="7"/>
  <c r="U656" i="7" s="1"/>
  <c r="U109" i="7" s="1"/>
  <c r="U703" i="7"/>
  <c r="U688" i="7" s="1"/>
  <c r="U110" i="7" s="1"/>
  <c r="U466" i="7"/>
  <c r="U468" i="7"/>
  <c r="U465" i="7"/>
  <c r="U469" i="7"/>
  <c r="U489" i="7"/>
  <c r="U493" i="7"/>
  <c r="U497" i="7"/>
  <c r="U517" i="7"/>
  <c r="U521" i="7"/>
  <c r="U490" i="7"/>
  <c r="U494" i="7"/>
  <c r="U514" i="7"/>
  <c r="U518" i="7"/>
  <c r="U522" i="7"/>
  <c r="AB451" i="7" l="1"/>
  <c r="AB313" i="7"/>
  <c r="AB616" i="7"/>
  <c r="AB650" i="7"/>
  <c r="AB597" i="7"/>
  <c r="AB589" i="7"/>
  <c r="AB561" i="7"/>
  <c r="AB555" i="7"/>
  <c r="AB601" i="7"/>
  <c r="AB593" i="7"/>
  <c r="AB42" i="7"/>
  <c r="AB39" i="7"/>
  <c r="AB46" i="7"/>
  <c r="AC618" i="7"/>
  <c r="U462" i="7"/>
  <c r="AB65" i="7"/>
  <c r="AB734" i="7"/>
  <c r="AB732" i="7"/>
  <c r="AB730" i="7"/>
  <c r="AB728" i="7"/>
  <c r="AB702" i="7"/>
  <c r="AB729" i="7"/>
  <c r="AB726" i="7"/>
  <c r="AB701" i="7"/>
  <c r="AB699" i="7"/>
  <c r="AB731" i="7"/>
  <c r="AB725" i="7"/>
  <c r="AB733" i="7"/>
  <c r="AB727" i="7"/>
  <c r="AB700" i="7"/>
  <c r="AB698" i="7"/>
  <c r="AB696" i="7"/>
  <c r="AB694" i="7"/>
  <c r="AB670" i="7"/>
  <c r="AB668" i="7"/>
  <c r="AB667" i="7"/>
  <c r="AB666" i="7"/>
  <c r="AB665" i="7"/>
  <c r="AB664" i="7"/>
  <c r="AB663" i="7"/>
  <c r="AB662" i="7"/>
  <c r="AB661" i="7"/>
  <c r="AB693" i="7"/>
  <c r="AB669" i="7"/>
  <c r="AB697" i="7"/>
  <c r="AB695" i="7"/>
  <c r="AB31" i="7"/>
  <c r="AB66" i="7"/>
  <c r="W644" i="7"/>
  <c r="W615" i="7"/>
  <c r="V671" i="7"/>
  <c r="V656" i="7" s="1"/>
  <c r="V109" i="7" s="1"/>
  <c r="V735" i="7"/>
  <c r="V720" i="7" s="1"/>
  <c r="V111" i="7" s="1"/>
  <c r="V324" i="7"/>
  <c r="V43" i="7"/>
  <c r="V703" i="7"/>
  <c r="V688" i="7" s="1"/>
  <c r="V110" i="7" s="1"/>
  <c r="W746" i="7"/>
  <c r="W745" i="7"/>
  <c r="W744" i="7"/>
  <c r="W742" i="7"/>
  <c r="W740" i="7"/>
  <c r="W739" i="7"/>
  <c r="W384" i="7"/>
  <c r="W383" i="7"/>
  <c r="W382" i="7"/>
  <c r="W381" i="7"/>
  <c r="W380" i="7"/>
  <c r="W379" i="7"/>
  <c r="W378" i="7"/>
  <c r="W377" i="7"/>
  <c r="W737" i="7"/>
  <c r="W375" i="7"/>
  <c r="W358" i="7"/>
  <c r="W357" i="7"/>
  <c r="W356" i="7"/>
  <c r="W355" i="7"/>
  <c r="W354" i="7"/>
  <c r="W353" i="7"/>
  <c r="W352" i="7"/>
  <c r="W376" i="7"/>
  <c r="W714" i="7"/>
  <c r="W713" i="7"/>
  <c r="W712" i="7"/>
  <c r="W711" i="7"/>
  <c r="W710" i="7"/>
  <c r="W709" i="7"/>
  <c r="W708" i="7"/>
  <c r="W707" i="7"/>
  <c r="W705" i="7"/>
  <c r="W333" i="7"/>
  <c r="W332" i="7"/>
  <c r="W331" i="7"/>
  <c r="W330" i="7"/>
  <c r="W329" i="7"/>
  <c r="W328" i="7"/>
  <c r="W351" i="7"/>
  <c r="W350" i="7"/>
  <c r="W349" i="7"/>
  <c r="W682" i="7"/>
  <c r="W681" i="7"/>
  <c r="W680" i="7"/>
  <c r="W679" i="7"/>
  <c r="W678" i="7"/>
  <c r="W677" i="7"/>
  <c r="W676" i="7"/>
  <c r="W675" i="7"/>
  <c r="W673" i="7"/>
  <c r="W326" i="7"/>
  <c r="W327" i="7"/>
  <c r="W325" i="7"/>
  <c r="W562" i="7"/>
  <c r="W556" i="7"/>
  <c r="W442" i="7"/>
  <c r="W441" i="7"/>
  <c r="W440" i="7"/>
  <c r="W439" i="7"/>
  <c r="W438" i="7"/>
  <c r="W437" i="7"/>
  <c r="W457" i="7"/>
  <c r="W319" i="7"/>
  <c r="W304" i="7"/>
  <c r="W303" i="7"/>
  <c r="W302" i="7"/>
  <c r="W301" i="7"/>
  <c r="W300" i="7"/>
  <c r="W299" i="7"/>
  <c r="W41" i="7"/>
  <c r="V465" i="7"/>
  <c r="V320" i="7"/>
  <c r="V463" i="7"/>
  <c r="V471" i="7"/>
  <c r="V464" i="7"/>
  <c r="V468" i="7"/>
  <c r="V488" i="7"/>
  <c r="V492" i="7"/>
  <c r="V496" i="7"/>
  <c r="V516" i="7"/>
  <c r="V520" i="7"/>
  <c r="V458" i="7"/>
  <c r="V489" i="7"/>
  <c r="V493" i="7"/>
  <c r="V497" i="7"/>
  <c r="V517" i="7"/>
  <c r="V521" i="7"/>
  <c r="V469" i="7"/>
  <c r="V467" i="7"/>
  <c r="V466" i="7"/>
  <c r="V470" i="7"/>
  <c r="V490" i="7"/>
  <c r="V494" i="7"/>
  <c r="V514" i="7"/>
  <c r="V518" i="7"/>
  <c r="V522" i="7"/>
  <c r="V491" i="7"/>
  <c r="V495" i="7"/>
  <c r="V515" i="7"/>
  <c r="V519" i="7"/>
  <c r="V523" i="7"/>
  <c r="U112" i="7"/>
  <c r="AB103" i="7" l="1"/>
  <c r="AC65" i="7"/>
  <c r="AC451" i="7"/>
  <c r="AC313" i="7"/>
  <c r="AC616" i="7"/>
  <c r="AC650" i="7"/>
  <c r="AC561" i="7"/>
  <c r="AC555" i="7"/>
  <c r="AC601" i="7"/>
  <c r="AC597" i="7"/>
  <c r="AC593" i="7"/>
  <c r="AC589" i="7"/>
  <c r="AC42" i="7"/>
  <c r="AC46" i="7"/>
  <c r="AC39" i="7"/>
  <c r="AD618" i="7"/>
  <c r="V462" i="7"/>
  <c r="AC733" i="7"/>
  <c r="AC731" i="7"/>
  <c r="AC729" i="7"/>
  <c r="AC727" i="7"/>
  <c r="AC725" i="7"/>
  <c r="AC702" i="7"/>
  <c r="AC732" i="7"/>
  <c r="AC728" i="7"/>
  <c r="AC734" i="7"/>
  <c r="AC726" i="7"/>
  <c r="AC693" i="7"/>
  <c r="AC730" i="7"/>
  <c r="AC700" i="7"/>
  <c r="AC698" i="7"/>
  <c r="AC696" i="7"/>
  <c r="AC701" i="7"/>
  <c r="AC699" i="7"/>
  <c r="AC697" i="7"/>
  <c r="AC695" i="7"/>
  <c r="AC694" i="7"/>
  <c r="AC667" i="7"/>
  <c r="AC665" i="7"/>
  <c r="AC663" i="7"/>
  <c r="AC661" i="7"/>
  <c r="AC668" i="7"/>
  <c r="AC670" i="7"/>
  <c r="AC669" i="7"/>
  <c r="AC666" i="7"/>
  <c r="AC664" i="7"/>
  <c r="AC662" i="7"/>
  <c r="AC66" i="7"/>
  <c r="AC31" i="7"/>
  <c r="W617" i="7"/>
  <c r="W619" i="7" s="1"/>
  <c r="X644" i="7"/>
  <c r="X615" i="7"/>
  <c r="W215" i="7"/>
  <c r="W177" i="7"/>
  <c r="W85" i="7"/>
  <c r="W101" i="7"/>
  <c r="V112" i="7"/>
  <c r="W324" i="7"/>
  <c r="W43" i="7"/>
  <c r="W703" i="7"/>
  <c r="W688" i="7" s="1"/>
  <c r="W110" i="7" s="1"/>
  <c r="W671" i="7"/>
  <c r="W656" i="7" s="1"/>
  <c r="W109" i="7" s="1"/>
  <c r="W468" i="7"/>
  <c r="W470" i="7"/>
  <c r="W465" i="7"/>
  <c r="W469" i="7"/>
  <c r="W489" i="7"/>
  <c r="W493" i="7"/>
  <c r="W497" i="7"/>
  <c r="W517" i="7"/>
  <c r="W521" i="7"/>
  <c r="W490" i="7"/>
  <c r="W494" i="7"/>
  <c r="W514" i="7"/>
  <c r="W518" i="7"/>
  <c r="W522" i="7"/>
  <c r="X636" i="7"/>
  <c r="W735" i="7"/>
  <c r="W720" i="7" s="1"/>
  <c r="W111" i="7" s="1"/>
  <c r="X746" i="7"/>
  <c r="X745" i="7"/>
  <c r="X743" i="7"/>
  <c r="X742" i="7"/>
  <c r="X740" i="7"/>
  <c r="X739" i="7"/>
  <c r="X737" i="7"/>
  <c r="X384" i="7"/>
  <c r="X383" i="7"/>
  <c r="X382" i="7"/>
  <c r="X381" i="7"/>
  <c r="X380" i="7"/>
  <c r="X378" i="7"/>
  <c r="X377" i="7"/>
  <c r="X376" i="7"/>
  <c r="X375" i="7"/>
  <c r="X714" i="7"/>
  <c r="X713" i="7"/>
  <c r="X712" i="7"/>
  <c r="X711" i="7"/>
  <c r="X710" i="7"/>
  <c r="X709" i="7"/>
  <c r="X708" i="7"/>
  <c r="X707" i="7"/>
  <c r="X705" i="7"/>
  <c r="X358" i="7"/>
  <c r="X357" i="7"/>
  <c r="X356" i="7"/>
  <c r="X355" i="7"/>
  <c r="X354" i="7"/>
  <c r="X353" i="7"/>
  <c r="X352" i="7"/>
  <c r="X351" i="7"/>
  <c r="X350" i="7"/>
  <c r="X349" i="7"/>
  <c r="X682" i="7"/>
  <c r="X681" i="7"/>
  <c r="X680" i="7"/>
  <c r="X679" i="7"/>
  <c r="X678" i="7"/>
  <c r="X677" i="7"/>
  <c r="X676" i="7"/>
  <c r="X675" i="7"/>
  <c r="X673" i="7"/>
  <c r="X333" i="7"/>
  <c r="X332" i="7"/>
  <c r="X331" i="7"/>
  <c r="X330" i="7"/>
  <c r="X329" i="7"/>
  <c r="X328" i="7"/>
  <c r="X327" i="7"/>
  <c r="X326" i="7"/>
  <c r="X325" i="7"/>
  <c r="X562" i="7"/>
  <c r="X556" i="7"/>
  <c r="X457" i="7"/>
  <c r="X442" i="7"/>
  <c r="X441" i="7"/>
  <c r="X440" i="7"/>
  <c r="X439" i="7"/>
  <c r="X438" i="7"/>
  <c r="X437" i="7"/>
  <c r="X379" i="7"/>
  <c r="X304" i="7"/>
  <c r="X303" i="7"/>
  <c r="X302" i="7"/>
  <c r="X301" i="7"/>
  <c r="X300" i="7"/>
  <c r="X299" i="7"/>
  <c r="X319" i="7"/>
  <c r="X41" i="7"/>
  <c r="W320" i="7"/>
  <c r="W464" i="7"/>
  <c r="W466" i="7"/>
  <c r="W463" i="7"/>
  <c r="W467" i="7"/>
  <c r="W471" i="7"/>
  <c r="W491" i="7"/>
  <c r="W495" i="7"/>
  <c r="W515" i="7"/>
  <c r="W519" i="7"/>
  <c r="W523" i="7"/>
  <c r="W488" i="7"/>
  <c r="W492" i="7"/>
  <c r="W496" i="7"/>
  <c r="W516" i="7"/>
  <c r="W520" i="7"/>
  <c r="W458" i="7"/>
  <c r="AD65" i="7" l="1"/>
  <c r="AD451" i="7"/>
  <c r="AD313" i="7"/>
  <c r="AC103" i="7"/>
  <c r="AD616" i="7"/>
  <c r="AD650" i="7"/>
  <c r="AD601" i="7"/>
  <c r="AD597" i="7"/>
  <c r="AD593" i="7"/>
  <c r="AD589" i="7"/>
  <c r="AD561" i="7"/>
  <c r="AD555" i="7"/>
  <c r="AD42" i="7"/>
  <c r="AD46" i="7"/>
  <c r="AD39" i="7"/>
  <c r="AE618" i="7"/>
  <c r="W462" i="7"/>
  <c r="AD733" i="7"/>
  <c r="AD731" i="7"/>
  <c r="AD729" i="7"/>
  <c r="AD727" i="7"/>
  <c r="AD726" i="7"/>
  <c r="AD701" i="7"/>
  <c r="AD700" i="7"/>
  <c r="AD699" i="7"/>
  <c r="AD698" i="7"/>
  <c r="AD697" i="7"/>
  <c r="AD696" i="7"/>
  <c r="AD695" i="7"/>
  <c r="AD694" i="7"/>
  <c r="AD693" i="7"/>
  <c r="AD670" i="7"/>
  <c r="AD669" i="7"/>
  <c r="AD668" i="7"/>
  <c r="AD730" i="7"/>
  <c r="AD725" i="7"/>
  <c r="AD732" i="7"/>
  <c r="AD734" i="7"/>
  <c r="AD728" i="7"/>
  <c r="AD702" i="7"/>
  <c r="AD667" i="7"/>
  <c r="AD665" i="7"/>
  <c r="AD663" i="7"/>
  <c r="AD661" i="7"/>
  <c r="AD666" i="7"/>
  <c r="AD664" i="7"/>
  <c r="AD662" i="7"/>
  <c r="AD66" i="7"/>
  <c r="AD31" i="7"/>
  <c r="X617" i="7"/>
  <c r="X619" i="7" s="1"/>
  <c r="Y644" i="7"/>
  <c r="Y615" i="7"/>
  <c r="X215" i="7"/>
  <c r="X177" i="7"/>
  <c r="X85" i="7"/>
  <c r="X324" i="7"/>
  <c r="W112" i="7"/>
  <c r="X467" i="7"/>
  <c r="X320" i="7"/>
  <c r="X465" i="7"/>
  <c r="X466" i="7"/>
  <c r="X470" i="7"/>
  <c r="X490" i="7"/>
  <c r="X494" i="7"/>
  <c r="X514" i="7"/>
  <c r="X518" i="7"/>
  <c r="X522" i="7"/>
  <c r="X491" i="7"/>
  <c r="X495" i="7"/>
  <c r="X515" i="7"/>
  <c r="X519" i="7"/>
  <c r="X523" i="7"/>
  <c r="Y636" i="7"/>
  <c r="X43" i="7"/>
  <c r="X101" i="7"/>
  <c r="X671" i="7"/>
  <c r="X656" i="7" s="1"/>
  <c r="X109" i="7" s="1"/>
  <c r="X703" i="7"/>
  <c r="X688" i="7" s="1"/>
  <c r="X110" i="7" s="1"/>
  <c r="X735" i="7"/>
  <c r="X720" i="7" s="1"/>
  <c r="X111" i="7" s="1"/>
  <c r="Y746" i="7"/>
  <c r="Y745" i="7"/>
  <c r="Y743" i="7"/>
  <c r="Y742" i="7"/>
  <c r="Y740" i="7"/>
  <c r="Y739" i="7"/>
  <c r="Y384" i="7"/>
  <c r="Y383" i="7"/>
  <c r="Y382" i="7"/>
  <c r="Y381" i="7"/>
  <c r="Y380" i="7"/>
  <c r="Y379" i="7"/>
  <c r="Y378" i="7"/>
  <c r="Y377" i="7"/>
  <c r="Y737" i="7"/>
  <c r="Y376" i="7"/>
  <c r="Y358" i="7"/>
  <c r="Y357" i="7"/>
  <c r="Y356" i="7"/>
  <c r="Y355" i="7"/>
  <c r="Y354" i="7"/>
  <c r="Y353" i="7"/>
  <c r="Y352" i="7"/>
  <c r="Y375" i="7"/>
  <c r="Y714" i="7"/>
  <c r="Y713" i="7"/>
  <c r="Y712" i="7"/>
  <c r="Y711" i="7"/>
  <c r="Y710" i="7"/>
  <c r="Y709" i="7"/>
  <c r="Y708" i="7"/>
  <c r="Y707" i="7"/>
  <c r="Y705" i="7"/>
  <c r="Y351" i="7"/>
  <c r="Y333" i="7"/>
  <c r="Y332" i="7"/>
  <c r="Y331" i="7"/>
  <c r="Y330" i="7"/>
  <c r="Y329" i="7"/>
  <c r="Y328" i="7"/>
  <c r="Y350" i="7"/>
  <c r="Y349" i="7"/>
  <c r="Y682" i="7"/>
  <c r="Y681" i="7"/>
  <c r="Y680" i="7"/>
  <c r="Y679" i="7"/>
  <c r="Y678" i="7"/>
  <c r="Y677" i="7"/>
  <c r="Y676" i="7"/>
  <c r="Y675" i="7"/>
  <c r="Y673" i="7"/>
  <c r="Y327" i="7"/>
  <c r="Y326" i="7"/>
  <c r="Y325" i="7"/>
  <c r="Y562" i="7"/>
  <c r="Y556" i="7"/>
  <c r="Y442" i="7"/>
  <c r="Y441" i="7"/>
  <c r="Y440" i="7"/>
  <c r="Y439" i="7"/>
  <c r="Y438" i="7"/>
  <c r="Y437" i="7"/>
  <c r="Y457" i="7"/>
  <c r="Y319" i="7"/>
  <c r="Y304" i="7"/>
  <c r="Y303" i="7"/>
  <c r="Y302" i="7"/>
  <c r="Y301" i="7"/>
  <c r="Y300" i="7"/>
  <c r="Y299" i="7"/>
  <c r="Y41" i="7"/>
  <c r="X463" i="7"/>
  <c r="X471" i="7"/>
  <c r="X469" i="7"/>
  <c r="X464" i="7"/>
  <c r="X468" i="7"/>
  <c r="X488" i="7"/>
  <c r="X492" i="7"/>
  <c r="X496" i="7"/>
  <c r="X516" i="7"/>
  <c r="X520" i="7"/>
  <c r="X458" i="7"/>
  <c r="X489" i="7"/>
  <c r="X493" i="7"/>
  <c r="X497" i="7"/>
  <c r="X517" i="7"/>
  <c r="X521" i="7"/>
  <c r="AD103" i="7" l="1"/>
  <c r="AE65" i="7"/>
  <c r="AE451" i="7"/>
  <c r="AE313" i="7"/>
  <c r="AE616" i="7"/>
  <c r="AE650" i="7"/>
  <c r="AE561" i="7"/>
  <c r="AE555" i="7"/>
  <c r="AE601" i="7"/>
  <c r="AE597" i="7"/>
  <c r="AE589" i="7"/>
  <c r="AE593" i="7"/>
  <c r="AE42" i="7"/>
  <c r="AE46" i="7"/>
  <c r="AE39" i="7"/>
  <c r="AF618" i="7"/>
  <c r="W120" i="7"/>
  <c r="W121" i="7" s="1"/>
  <c r="X462" i="7"/>
  <c r="AE734" i="7"/>
  <c r="AE733" i="7"/>
  <c r="AE732" i="7"/>
  <c r="AE731" i="7"/>
  <c r="AE730" i="7"/>
  <c r="AE729" i="7"/>
  <c r="AE728" i="7"/>
  <c r="AE727" i="7"/>
  <c r="AE726" i="7"/>
  <c r="AE725" i="7"/>
  <c r="AE700" i="7"/>
  <c r="AE698" i="7"/>
  <c r="AE702" i="7"/>
  <c r="AE701" i="7"/>
  <c r="AE699" i="7"/>
  <c r="AE697" i="7"/>
  <c r="AE695" i="7"/>
  <c r="AE693" i="7"/>
  <c r="AE669" i="7"/>
  <c r="AE661" i="7"/>
  <c r="AE696" i="7"/>
  <c r="AE694" i="7"/>
  <c r="AE668" i="7"/>
  <c r="AE666" i="7"/>
  <c r="AE664" i="7"/>
  <c r="AE662" i="7"/>
  <c r="AE670" i="7"/>
  <c r="AE667" i="7"/>
  <c r="AE665" i="7"/>
  <c r="AE663" i="7"/>
  <c r="AE31" i="7"/>
  <c r="AE66" i="7"/>
  <c r="Y617" i="7"/>
  <c r="Y619" i="7" s="1"/>
  <c r="Z644" i="7"/>
  <c r="Y324" i="7"/>
  <c r="Z615" i="7"/>
  <c r="Y215" i="7"/>
  <c r="Y177" i="7"/>
  <c r="Y85" i="7"/>
  <c r="Y735" i="7"/>
  <c r="Y720" i="7" s="1"/>
  <c r="Y111" i="7" s="1"/>
  <c r="Y43" i="7"/>
  <c r="Z746" i="7"/>
  <c r="Z745" i="7"/>
  <c r="Z743" i="7"/>
  <c r="Z742" i="7"/>
  <c r="Z740" i="7"/>
  <c r="Z739" i="7"/>
  <c r="Z737" i="7"/>
  <c r="Z384" i="7"/>
  <c r="Z383" i="7"/>
  <c r="Z382" i="7"/>
  <c r="Z381" i="7"/>
  <c r="Z380" i="7"/>
  <c r="Z379" i="7"/>
  <c r="Z378" i="7"/>
  <c r="Z377" i="7"/>
  <c r="Z376" i="7"/>
  <c r="Z375" i="7"/>
  <c r="Z714" i="7"/>
  <c r="Z713" i="7"/>
  <c r="Z712" i="7"/>
  <c r="Z711" i="7"/>
  <c r="Z710" i="7"/>
  <c r="Z709" i="7"/>
  <c r="Z708" i="7"/>
  <c r="Z707" i="7"/>
  <c r="Z705" i="7"/>
  <c r="Z358" i="7"/>
  <c r="Z357" i="7"/>
  <c r="Z356" i="7"/>
  <c r="Z355" i="7"/>
  <c r="Z354" i="7"/>
  <c r="Z353" i="7"/>
  <c r="Z352" i="7"/>
  <c r="Z351" i="7"/>
  <c r="Z350" i="7"/>
  <c r="Z349" i="7"/>
  <c r="Z682" i="7"/>
  <c r="Z681" i="7"/>
  <c r="Z680" i="7"/>
  <c r="Z679" i="7"/>
  <c r="Z678" i="7"/>
  <c r="Z677" i="7"/>
  <c r="Z676" i="7"/>
  <c r="Z675" i="7"/>
  <c r="Z673" i="7"/>
  <c r="Z333" i="7"/>
  <c r="Z332" i="7"/>
  <c r="Z331" i="7"/>
  <c r="Z330" i="7"/>
  <c r="Z329" i="7"/>
  <c r="Z328" i="7"/>
  <c r="Z327" i="7"/>
  <c r="Z326" i="7"/>
  <c r="Z325" i="7"/>
  <c r="Z562" i="7"/>
  <c r="Z556" i="7"/>
  <c r="Z457" i="7"/>
  <c r="Z442" i="7"/>
  <c r="Z441" i="7"/>
  <c r="Z440" i="7"/>
  <c r="Z439" i="7"/>
  <c r="Z438" i="7"/>
  <c r="Z437" i="7"/>
  <c r="Z304" i="7"/>
  <c r="Z303" i="7"/>
  <c r="Z302" i="7"/>
  <c r="Z301" i="7"/>
  <c r="Z300" i="7"/>
  <c r="Z299" i="7"/>
  <c r="Z319" i="7"/>
  <c r="Z41" i="7"/>
  <c r="Y320" i="7"/>
  <c r="Y470" i="7"/>
  <c r="Y464" i="7"/>
  <c r="Y463" i="7"/>
  <c r="Y467" i="7"/>
  <c r="Y471" i="7"/>
  <c r="Y491" i="7"/>
  <c r="Y495" i="7"/>
  <c r="Y515" i="7"/>
  <c r="Y519" i="7"/>
  <c r="Y523" i="7"/>
  <c r="Y488" i="7"/>
  <c r="Y492" i="7"/>
  <c r="Y496" i="7"/>
  <c r="Y516" i="7"/>
  <c r="Y520" i="7"/>
  <c r="Y458" i="7"/>
  <c r="Y101" i="7"/>
  <c r="Y671" i="7"/>
  <c r="Y656" i="7" s="1"/>
  <c r="Y109" i="7" s="1"/>
  <c r="Y703" i="7"/>
  <c r="Y688" i="7" s="1"/>
  <c r="Y110" i="7" s="1"/>
  <c r="X112" i="7"/>
  <c r="Y466" i="7"/>
  <c r="Y468" i="7"/>
  <c r="Y465" i="7"/>
  <c r="Y469" i="7"/>
  <c r="Y489" i="7"/>
  <c r="Y493" i="7"/>
  <c r="Y497" i="7"/>
  <c r="Y517" i="7"/>
  <c r="Y521" i="7"/>
  <c r="Y490" i="7"/>
  <c r="Y494" i="7"/>
  <c r="Y514" i="7"/>
  <c r="Y518" i="7"/>
  <c r="Y522" i="7"/>
  <c r="Z636" i="7"/>
  <c r="AF65" i="7" l="1"/>
  <c r="AF451" i="7"/>
  <c r="AF313" i="7"/>
  <c r="AE103" i="7"/>
  <c r="AF616" i="7"/>
  <c r="AF650" i="7"/>
  <c r="W636" i="7"/>
  <c r="AF593" i="7"/>
  <c r="AF561" i="7"/>
  <c r="AF555" i="7"/>
  <c r="AF601" i="7"/>
  <c r="AF597" i="7"/>
  <c r="AF589" i="7"/>
  <c r="AF42" i="7"/>
  <c r="AF46" i="7"/>
  <c r="AF39" i="7"/>
  <c r="AG618" i="7"/>
  <c r="Y462" i="7"/>
  <c r="AF734" i="7"/>
  <c r="AF732" i="7"/>
  <c r="AF730" i="7"/>
  <c r="AF728" i="7"/>
  <c r="AF726" i="7"/>
  <c r="AF733" i="7"/>
  <c r="AF729" i="7"/>
  <c r="AF725" i="7"/>
  <c r="AF700" i="7"/>
  <c r="AF698" i="7"/>
  <c r="AF696" i="7"/>
  <c r="AF694" i="7"/>
  <c r="AF670" i="7"/>
  <c r="AF731" i="7"/>
  <c r="AF727" i="7"/>
  <c r="AF702" i="7"/>
  <c r="AF701" i="7"/>
  <c r="AF699" i="7"/>
  <c r="AF697" i="7"/>
  <c r="AF667" i="7"/>
  <c r="AF666" i="7"/>
  <c r="AF665" i="7"/>
  <c r="AF664" i="7"/>
  <c r="AF663" i="7"/>
  <c r="AF662" i="7"/>
  <c r="AF661" i="7"/>
  <c r="AF668" i="7"/>
  <c r="AF695" i="7"/>
  <c r="AF669" i="7"/>
  <c r="AF693" i="7"/>
  <c r="AF31" i="7"/>
  <c r="AF66" i="7"/>
  <c r="X120" i="7"/>
  <c r="X121" i="7" s="1"/>
  <c r="Z617" i="7"/>
  <c r="Z619" i="7" s="1"/>
  <c r="Z324" i="7"/>
  <c r="AA615" i="7"/>
  <c r="Z215" i="7"/>
  <c r="Z177" i="7"/>
  <c r="Z85" i="7"/>
  <c r="AA746" i="7"/>
  <c r="AA744" i="7"/>
  <c r="AA743" i="7"/>
  <c r="AA742" i="7"/>
  <c r="AA740" i="7"/>
  <c r="AA739" i="7"/>
  <c r="AA384" i="7"/>
  <c r="AA383" i="7"/>
  <c r="AA382" i="7"/>
  <c r="AA381" i="7"/>
  <c r="AA380" i="7"/>
  <c r="AA379" i="7"/>
  <c r="AA378" i="7"/>
  <c r="AA377" i="7"/>
  <c r="AA737" i="7"/>
  <c r="AA375" i="7"/>
  <c r="AA358" i="7"/>
  <c r="AA357" i="7"/>
  <c r="AA356" i="7"/>
  <c r="AA355" i="7"/>
  <c r="AA354" i="7"/>
  <c r="AA353" i="7"/>
  <c r="AA352" i="7"/>
  <c r="AA376" i="7"/>
  <c r="AA714" i="7"/>
  <c r="AA713" i="7"/>
  <c r="AA712" i="7"/>
  <c r="AA711" i="7"/>
  <c r="AA710" i="7"/>
  <c r="AA709" i="7"/>
  <c r="AA708" i="7"/>
  <c r="AA707" i="7"/>
  <c r="AA705" i="7"/>
  <c r="AA333" i="7"/>
  <c r="AA332" i="7"/>
  <c r="AA331" i="7"/>
  <c r="AA330" i="7"/>
  <c r="AA329" i="7"/>
  <c r="AA328" i="7"/>
  <c r="AA351" i="7"/>
  <c r="AA350" i="7"/>
  <c r="AA349" i="7"/>
  <c r="AA682" i="7"/>
  <c r="AA681" i="7"/>
  <c r="AA680" i="7"/>
  <c r="AA679" i="7"/>
  <c r="AA678" i="7"/>
  <c r="AA677" i="7"/>
  <c r="AA676" i="7"/>
  <c r="AA674" i="7"/>
  <c r="AA673" i="7"/>
  <c r="AA326" i="7"/>
  <c r="AA327" i="7"/>
  <c r="AA325" i="7"/>
  <c r="AA562" i="7"/>
  <c r="AA556" i="7"/>
  <c r="AA442" i="7"/>
  <c r="AA441" i="7"/>
  <c r="AA440" i="7"/>
  <c r="AA439" i="7"/>
  <c r="AA438" i="7"/>
  <c r="AA437" i="7"/>
  <c r="AA457" i="7"/>
  <c r="AA319" i="7"/>
  <c r="AA304" i="7"/>
  <c r="AA303" i="7"/>
  <c r="AA302" i="7"/>
  <c r="AA301" i="7"/>
  <c r="AA300" i="7"/>
  <c r="AA299" i="7"/>
  <c r="AA41" i="7"/>
  <c r="Z469" i="7"/>
  <c r="Z467" i="7"/>
  <c r="Z466" i="7"/>
  <c r="Z470" i="7"/>
  <c r="Z490" i="7"/>
  <c r="Z494" i="7"/>
  <c r="Z514" i="7"/>
  <c r="Z518" i="7"/>
  <c r="Z522" i="7"/>
  <c r="Z491" i="7"/>
  <c r="Z495" i="7"/>
  <c r="Z515" i="7"/>
  <c r="Z519" i="7"/>
  <c r="Z523" i="7"/>
  <c r="AA636" i="7"/>
  <c r="Z43" i="7"/>
  <c r="Z101" i="7"/>
  <c r="Z671" i="7"/>
  <c r="Z656" i="7" s="1"/>
  <c r="Z109" i="7" s="1"/>
  <c r="Z703" i="7"/>
  <c r="Z688" i="7" s="1"/>
  <c r="Z110" i="7" s="1"/>
  <c r="Z735" i="7"/>
  <c r="Z720" i="7" s="1"/>
  <c r="Z111" i="7" s="1"/>
  <c r="Z465" i="7"/>
  <c r="Z320" i="7"/>
  <c r="Z463" i="7"/>
  <c r="Z471" i="7"/>
  <c r="Z464" i="7"/>
  <c r="Z468" i="7"/>
  <c r="Z488" i="7"/>
  <c r="Z492" i="7"/>
  <c r="Z496" i="7"/>
  <c r="Z516" i="7"/>
  <c r="Z520" i="7"/>
  <c r="Z458" i="7"/>
  <c r="Z489" i="7"/>
  <c r="Z493" i="7"/>
  <c r="Z497" i="7"/>
  <c r="Z517" i="7"/>
  <c r="Z521" i="7"/>
  <c r="Y112" i="7"/>
  <c r="AG65" i="7" l="1"/>
  <c r="AG451" i="7"/>
  <c r="AG313" i="7"/>
  <c r="AF103" i="7"/>
  <c r="AG616" i="7"/>
  <c r="AG650" i="7"/>
  <c r="AG561" i="7"/>
  <c r="AG555" i="7"/>
  <c r="AG601" i="7"/>
  <c r="AG597" i="7"/>
  <c r="AG593" i="7"/>
  <c r="AG589" i="7"/>
  <c r="AG42" i="7"/>
  <c r="AG46" i="7"/>
  <c r="AG39" i="7"/>
  <c r="AH618" i="7"/>
  <c r="Z120" i="7"/>
  <c r="Z121" i="7" s="1"/>
  <c r="Z462" i="7"/>
  <c r="Y120" i="7"/>
  <c r="Y121" i="7" s="1"/>
  <c r="AG725" i="7"/>
  <c r="AG702" i="7"/>
  <c r="AG734" i="7"/>
  <c r="AG732" i="7"/>
  <c r="AG730" i="7"/>
  <c r="AG728" i="7"/>
  <c r="AG731" i="7"/>
  <c r="AG727" i="7"/>
  <c r="AG701" i="7"/>
  <c r="AG699" i="7"/>
  <c r="AG697" i="7"/>
  <c r="AG733" i="7"/>
  <c r="AG729" i="7"/>
  <c r="AG726" i="7"/>
  <c r="AG700" i="7"/>
  <c r="AG698" i="7"/>
  <c r="AG696" i="7"/>
  <c r="AG694" i="7"/>
  <c r="AG670" i="7"/>
  <c r="AG668" i="7"/>
  <c r="AG695" i="7"/>
  <c r="AG666" i="7"/>
  <c r="AG664" i="7"/>
  <c r="AG662" i="7"/>
  <c r="AG669" i="7"/>
  <c r="AG693" i="7"/>
  <c r="AG667" i="7"/>
  <c r="AG665" i="7"/>
  <c r="AG663" i="7"/>
  <c r="AG661" i="7"/>
  <c r="AG751" i="7"/>
  <c r="AG66" i="7"/>
  <c r="AG31" i="7"/>
  <c r="AA324" i="7"/>
  <c r="AA617" i="7"/>
  <c r="AA619" i="7" s="1"/>
  <c r="AB644" i="7"/>
  <c r="AB615" i="7"/>
  <c r="AA215" i="7"/>
  <c r="AA177" i="7"/>
  <c r="AA85" i="7"/>
  <c r="AA703" i="7"/>
  <c r="AA688" i="7" s="1"/>
  <c r="AA110" i="7" s="1"/>
  <c r="AA671" i="7"/>
  <c r="AA656" i="7" s="1"/>
  <c r="AA109" i="7" s="1"/>
  <c r="AA101" i="7"/>
  <c r="AB746" i="7"/>
  <c r="AB744" i="7"/>
  <c r="AB743" i="7"/>
  <c r="AB741" i="7"/>
  <c r="AB740" i="7"/>
  <c r="AB739" i="7"/>
  <c r="AB737" i="7"/>
  <c r="AB384" i="7"/>
  <c r="AB383" i="7"/>
  <c r="AB382" i="7"/>
  <c r="AB381" i="7"/>
  <c r="AB380" i="7"/>
  <c r="AB379" i="7"/>
  <c r="AB378" i="7"/>
  <c r="AB377" i="7"/>
  <c r="AB376" i="7"/>
  <c r="AB375" i="7"/>
  <c r="AB714" i="7"/>
  <c r="AB713" i="7"/>
  <c r="AB712" i="7"/>
  <c r="AB711" i="7"/>
  <c r="AB710" i="7"/>
  <c r="AB709" i="7"/>
  <c r="AB708" i="7"/>
  <c r="AB707" i="7"/>
  <c r="AB705" i="7"/>
  <c r="AB358" i="7"/>
  <c r="AB357" i="7"/>
  <c r="AB356" i="7"/>
  <c r="AB355" i="7"/>
  <c r="AB354" i="7"/>
  <c r="AB353" i="7"/>
  <c r="AB352" i="7"/>
  <c r="AB351" i="7"/>
  <c r="AB350" i="7"/>
  <c r="AB349" i="7"/>
  <c r="AB682" i="7"/>
  <c r="AB681" i="7"/>
  <c r="AB680" i="7"/>
  <c r="AB679" i="7"/>
  <c r="AB678" i="7"/>
  <c r="AB677" i="7"/>
  <c r="AB676" i="7"/>
  <c r="AB674" i="7"/>
  <c r="AB673" i="7"/>
  <c r="AB333" i="7"/>
  <c r="AB332" i="7"/>
  <c r="AB331" i="7"/>
  <c r="AB330" i="7"/>
  <c r="AB329" i="7"/>
  <c r="AB328" i="7"/>
  <c r="AB327" i="7"/>
  <c r="AB326" i="7"/>
  <c r="AB325" i="7"/>
  <c r="AB324" i="7"/>
  <c r="AB562" i="7"/>
  <c r="AB556" i="7"/>
  <c r="AB457" i="7"/>
  <c r="AB442" i="7"/>
  <c r="AB441" i="7"/>
  <c r="AB440" i="7"/>
  <c r="AB439" i="7"/>
  <c r="AB438" i="7"/>
  <c r="AB437" i="7"/>
  <c r="AB319" i="7"/>
  <c r="AB304" i="7"/>
  <c r="AB303" i="7"/>
  <c r="AB302" i="7"/>
  <c r="AB301" i="7"/>
  <c r="AB300" i="7"/>
  <c r="AB299" i="7"/>
  <c r="AB41" i="7"/>
  <c r="AA468" i="7"/>
  <c r="AA470" i="7"/>
  <c r="AA465" i="7"/>
  <c r="AA469" i="7"/>
  <c r="AA489" i="7"/>
  <c r="AA493" i="7"/>
  <c r="AA497" i="7"/>
  <c r="AA517" i="7"/>
  <c r="AA521" i="7"/>
  <c r="AA490" i="7"/>
  <c r="AA494" i="7"/>
  <c r="AA514" i="7"/>
  <c r="AA518" i="7"/>
  <c r="AA522" i="7"/>
  <c r="AB636" i="7"/>
  <c r="Z112" i="7"/>
  <c r="AA43" i="7"/>
  <c r="AA735" i="7"/>
  <c r="AA720" i="7" s="1"/>
  <c r="AA111" i="7" s="1"/>
  <c r="AA320" i="7"/>
  <c r="AA464" i="7"/>
  <c r="AA466" i="7"/>
  <c r="AA463" i="7"/>
  <c r="AA467" i="7"/>
  <c r="AA471" i="7"/>
  <c r="AA491" i="7"/>
  <c r="AA495" i="7"/>
  <c r="AA515" i="7"/>
  <c r="AA519" i="7"/>
  <c r="AA523" i="7"/>
  <c r="AA488" i="7"/>
  <c r="AA492" i="7"/>
  <c r="AA496" i="7"/>
  <c r="AA516" i="7"/>
  <c r="AA520" i="7"/>
  <c r="AA458" i="7"/>
  <c r="AG103" i="7" l="1"/>
  <c r="AH65" i="7"/>
  <c r="AH451" i="7"/>
  <c r="AH313" i="7"/>
  <c r="AH616" i="7"/>
  <c r="AH650" i="7"/>
  <c r="AH555" i="7"/>
  <c r="AH593" i="7"/>
  <c r="AH561" i="7"/>
  <c r="AH601" i="7"/>
  <c r="AH597" i="7"/>
  <c r="AH589" i="7"/>
  <c r="AH42" i="7"/>
  <c r="AH46" i="7"/>
  <c r="AH39" i="7"/>
  <c r="AI618" i="7"/>
  <c r="AA462" i="7"/>
  <c r="AH733" i="7"/>
  <c r="AH731" i="7"/>
  <c r="AH729" i="7"/>
  <c r="AH727" i="7"/>
  <c r="AH734" i="7"/>
  <c r="AH730" i="7"/>
  <c r="AH702" i="7"/>
  <c r="AH701" i="7"/>
  <c r="AH700" i="7"/>
  <c r="AH699" i="7"/>
  <c r="AH698" i="7"/>
  <c r="AH697" i="7"/>
  <c r="AH696" i="7"/>
  <c r="AH695" i="7"/>
  <c r="AH694" i="7"/>
  <c r="AH693" i="7"/>
  <c r="AH670" i="7"/>
  <c r="AH669" i="7"/>
  <c r="AH668" i="7"/>
  <c r="AH732" i="7"/>
  <c r="AH728" i="7"/>
  <c r="AH726" i="7"/>
  <c r="AH725" i="7"/>
  <c r="AH667" i="7"/>
  <c r="AH665" i="7"/>
  <c r="AH663" i="7"/>
  <c r="AH661" i="7"/>
  <c r="AH666" i="7"/>
  <c r="AH664" i="7"/>
  <c r="AH662" i="7"/>
  <c r="AH751" i="7"/>
  <c r="AH66" i="7"/>
  <c r="AH31" i="7"/>
  <c r="AB617" i="7"/>
  <c r="AB619" i="7" s="1"/>
  <c r="AC644" i="7"/>
  <c r="AC615" i="7"/>
  <c r="AB215" i="7"/>
  <c r="AB177" i="7"/>
  <c r="AB85" i="7"/>
  <c r="AA112" i="7"/>
  <c r="AB671" i="7"/>
  <c r="AB656" i="7" s="1"/>
  <c r="AB109" i="7" s="1"/>
  <c r="AB735" i="7"/>
  <c r="AB720" i="7" s="1"/>
  <c r="AB111" i="7" s="1"/>
  <c r="AB43" i="7"/>
  <c r="AB703" i="7"/>
  <c r="AB688" i="7" s="1"/>
  <c r="AB110" i="7" s="1"/>
  <c r="AB101" i="7"/>
  <c r="AC746" i="7"/>
  <c r="AC744" i="7"/>
  <c r="AC743" i="7"/>
  <c r="AC741" i="7"/>
  <c r="AC740" i="7"/>
  <c r="AC739" i="7"/>
  <c r="AC384" i="7"/>
  <c r="AC383" i="7"/>
  <c r="AC382" i="7"/>
  <c r="AC381" i="7"/>
  <c r="AC380" i="7"/>
  <c r="AC379" i="7"/>
  <c r="AC378" i="7"/>
  <c r="AC377" i="7"/>
  <c r="AC737" i="7"/>
  <c r="AC376" i="7"/>
  <c r="AC358" i="7"/>
  <c r="AC357" i="7"/>
  <c r="AC356" i="7"/>
  <c r="AC355" i="7"/>
  <c r="AC354" i="7"/>
  <c r="AC353" i="7"/>
  <c r="AC352" i="7"/>
  <c r="AC375" i="7"/>
  <c r="AC714" i="7"/>
  <c r="AC713" i="7"/>
  <c r="AC712" i="7"/>
  <c r="AC711" i="7"/>
  <c r="AC710" i="7"/>
  <c r="AC709" i="7"/>
  <c r="AC708" i="7"/>
  <c r="AC707" i="7"/>
  <c r="AC705" i="7"/>
  <c r="AC351" i="7"/>
  <c r="AC333" i="7"/>
  <c r="AC332" i="7"/>
  <c r="AC331" i="7"/>
  <c r="AC330" i="7"/>
  <c r="AC329" i="7"/>
  <c r="AC328" i="7"/>
  <c r="AC350" i="7"/>
  <c r="AC349" i="7"/>
  <c r="AC682" i="7"/>
  <c r="AC681" i="7"/>
  <c r="AC680" i="7"/>
  <c r="AC679" i="7"/>
  <c r="AC678" i="7"/>
  <c r="AC677" i="7"/>
  <c r="AC676" i="7"/>
  <c r="AC674" i="7"/>
  <c r="AC673" i="7"/>
  <c r="AC327" i="7"/>
  <c r="AC326" i="7"/>
  <c r="AC325" i="7"/>
  <c r="AC324" i="7"/>
  <c r="AC562" i="7"/>
  <c r="AC556" i="7"/>
  <c r="AC442" i="7"/>
  <c r="AC441" i="7"/>
  <c r="AC440" i="7"/>
  <c r="AC439" i="7"/>
  <c r="AC438" i="7"/>
  <c r="AC437" i="7"/>
  <c r="AC457" i="7"/>
  <c r="AC319" i="7"/>
  <c r="AC304" i="7"/>
  <c r="AC303" i="7"/>
  <c r="AC302" i="7"/>
  <c r="AC301" i="7"/>
  <c r="AC300" i="7"/>
  <c r="AC299" i="7"/>
  <c r="AC41" i="7"/>
  <c r="AB467" i="7"/>
  <c r="AB320" i="7"/>
  <c r="AB465" i="7"/>
  <c r="AB464" i="7"/>
  <c r="AB468" i="7"/>
  <c r="AB488" i="7"/>
  <c r="AB492" i="7"/>
  <c r="AB496" i="7"/>
  <c r="AB516" i="7"/>
  <c r="AB520" i="7"/>
  <c r="AB458" i="7"/>
  <c r="AB489" i="7"/>
  <c r="AB493" i="7"/>
  <c r="AB497" i="7"/>
  <c r="AB517" i="7"/>
  <c r="AB521" i="7"/>
  <c r="AB463" i="7"/>
  <c r="AB471" i="7"/>
  <c r="AB469" i="7"/>
  <c r="AB462" i="7"/>
  <c r="AB466" i="7"/>
  <c r="AB470" i="7"/>
  <c r="AB490" i="7"/>
  <c r="AB494" i="7"/>
  <c r="AB514" i="7"/>
  <c r="AB518" i="7"/>
  <c r="AB522" i="7"/>
  <c r="AB491" i="7"/>
  <c r="AB495" i="7"/>
  <c r="AB515" i="7"/>
  <c r="AB519" i="7"/>
  <c r="AB523" i="7"/>
  <c r="AC636" i="7"/>
  <c r="AI65" i="7" l="1"/>
  <c r="AI451" i="7"/>
  <c r="AI313" i="7"/>
  <c r="AH103" i="7"/>
  <c r="AI616" i="7"/>
  <c r="AI650" i="7"/>
  <c r="AI561" i="7"/>
  <c r="AI555" i="7"/>
  <c r="AI601" i="7"/>
  <c r="AI597" i="7"/>
  <c r="AI593" i="7"/>
  <c r="AI589" i="7"/>
  <c r="AI42" i="7"/>
  <c r="AI46" i="7"/>
  <c r="AI39" i="7"/>
  <c r="AJ618" i="7"/>
  <c r="AB120" i="7"/>
  <c r="AB121" i="7" s="1"/>
  <c r="AA120" i="7"/>
  <c r="AA121" i="7" s="1"/>
  <c r="AI734" i="7"/>
  <c r="AI733" i="7"/>
  <c r="AI732" i="7"/>
  <c r="AI731" i="7"/>
  <c r="AI730" i="7"/>
  <c r="AI729" i="7"/>
  <c r="AI728" i="7"/>
  <c r="AI727" i="7"/>
  <c r="AI726" i="7"/>
  <c r="AI701" i="7"/>
  <c r="AI697" i="7"/>
  <c r="AI702" i="7"/>
  <c r="AI725" i="7"/>
  <c r="AI700" i="7"/>
  <c r="AI698" i="7"/>
  <c r="AI696" i="7"/>
  <c r="AI699" i="7"/>
  <c r="AI695" i="7"/>
  <c r="AI693" i="7"/>
  <c r="AI669" i="7"/>
  <c r="AI667" i="7"/>
  <c r="AI665" i="7"/>
  <c r="AI663" i="7"/>
  <c r="AI661" i="7"/>
  <c r="AI670" i="7"/>
  <c r="AI666" i="7"/>
  <c r="AI664" i="7"/>
  <c r="AI662" i="7"/>
  <c r="AI694" i="7"/>
  <c r="AI668" i="7"/>
  <c r="AI751" i="7"/>
  <c r="AI31" i="7"/>
  <c r="AI66" i="7"/>
  <c r="AC617" i="7"/>
  <c r="AC619" i="7" s="1"/>
  <c r="AD644" i="7"/>
  <c r="AD615" i="7"/>
  <c r="AC215" i="7"/>
  <c r="AC177" i="7"/>
  <c r="AC85" i="7"/>
  <c r="AB112" i="7"/>
  <c r="AC735" i="7"/>
  <c r="AC720" i="7" s="1"/>
  <c r="AC111" i="7" s="1"/>
  <c r="AC43" i="7"/>
  <c r="AD745" i="7"/>
  <c r="AD744" i="7"/>
  <c r="AD743" i="7"/>
  <c r="AD741" i="7"/>
  <c r="AD740" i="7"/>
  <c r="AD739" i="7"/>
  <c r="AD737" i="7"/>
  <c r="AD384" i="7"/>
  <c r="AD383" i="7"/>
  <c r="AD382" i="7"/>
  <c r="AD381" i="7"/>
  <c r="AD380" i="7"/>
  <c r="AD379" i="7"/>
  <c r="AD378" i="7"/>
  <c r="AD377" i="7"/>
  <c r="AD376" i="7"/>
  <c r="AD375" i="7"/>
  <c r="AD714" i="7"/>
  <c r="AD713" i="7"/>
  <c r="AD712" i="7"/>
  <c r="AD711" i="7"/>
  <c r="AD710" i="7"/>
  <c r="AD709" i="7"/>
  <c r="AD708" i="7"/>
  <c r="AD707" i="7"/>
  <c r="AD705" i="7"/>
  <c r="AD358" i="7"/>
  <c r="AD357" i="7"/>
  <c r="AD356" i="7"/>
  <c r="AD355" i="7"/>
  <c r="AD354" i="7"/>
  <c r="AD353" i="7"/>
  <c r="AD352" i="7"/>
  <c r="AD351" i="7"/>
  <c r="AD350" i="7"/>
  <c r="AD349" i="7"/>
  <c r="AD682" i="7"/>
  <c r="AD681" i="7"/>
  <c r="AD680" i="7"/>
  <c r="AD679" i="7"/>
  <c r="AD678" i="7"/>
  <c r="AD677" i="7"/>
  <c r="AD676" i="7"/>
  <c r="AD674" i="7"/>
  <c r="AD673" i="7"/>
  <c r="AD333" i="7"/>
  <c r="AD332" i="7"/>
  <c r="AD331" i="7"/>
  <c r="AD330" i="7"/>
  <c r="AD329" i="7"/>
  <c r="AD328" i="7"/>
  <c r="AD327" i="7"/>
  <c r="AD326" i="7"/>
  <c r="AD325" i="7"/>
  <c r="AD324" i="7"/>
  <c r="AD562" i="7"/>
  <c r="AD556" i="7"/>
  <c r="AD457" i="7"/>
  <c r="AD442" i="7"/>
  <c r="AD441" i="7"/>
  <c r="AD440" i="7"/>
  <c r="AD439" i="7"/>
  <c r="AD438" i="7"/>
  <c r="AD437" i="7"/>
  <c r="AD319" i="7"/>
  <c r="AD304" i="7"/>
  <c r="AD303" i="7"/>
  <c r="AD302" i="7"/>
  <c r="AD301" i="7"/>
  <c r="AD300" i="7"/>
  <c r="AD299" i="7"/>
  <c r="AD41" i="7"/>
  <c r="AC320" i="7"/>
  <c r="AC466" i="7"/>
  <c r="AC464" i="7"/>
  <c r="AC463" i="7"/>
  <c r="AC467" i="7"/>
  <c r="AC471" i="7"/>
  <c r="AC491" i="7"/>
  <c r="AC495" i="7"/>
  <c r="AC515" i="7"/>
  <c r="AC519" i="7"/>
  <c r="AC523" i="7"/>
  <c r="AC488" i="7"/>
  <c r="AC492" i="7"/>
  <c r="AC496" i="7"/>
  <c r="AC516" i="7"/>
  <c r="AC520" i="7"/>
  <c r="AC458" i="7"/>
  <c r="AC101" i="7"/>
  <c r="AC671" i="7"/>
  <c r="AC656" i="7" s="1"/>
  <c r="AC109" i="7" s="1"/>
  <c r="AC703" i="7"/>
  <c r="AC688" i="7" s="1"/>
  <c r="AC110" i="7" s="1"/>
  <c r="AC462" i="7"/>
  <c r="AC470" i="7"/>
  <c r="AC468" i="7"/>
  <c r="AC465" i="7"/>
  <c r="AC469" i="7"/>
  <c r="AC489" i="7"/>
  <c r="AC493" i="7"/>
  <c r="AC497" i="7"/>
  <c r="AC517" i="7"/>
  <c r="AC521" i="7"/>
  <c r="AC490" i="7"/>
  <c r="AC494" i="7"/>
  <c r="AC514" i="7"/>
  <c r="AC518" i="7"/>
  <c r="AC522" i="7"/>
  <c r="AD636" i="7"/>
  <c r="AI103" i="7" l="1"/>
  <c r="AJ65" i="7"/>
  <c r="AJ451" i="7"/>
  <c r="AJ313" i="7"/>
  <c r="AJ616" i="7"/>
  <c r="AJ650" i="7"/>
  <c r="AJ597" i="7"/>
  <c r="AJ593" i="7"/>
  <c r="AJ589" i="7"/>
  <c r="AJ561" i="7"/>
  <c r="AJ555" i="7"/>
  <c r="AJ601" i="7"/>
  <c r="AJ42" i="7"/>
  <c r="AJ46" i="7"/>
  <c r="AJ39" i="7"/>
  <c r="AK618" i="7"/>
  <c r="AJ733" i="7"/>
  <c r="AJ731" i="7"/>
  <c r="AJ729" i="7"/>
  <c r="AJ727" i="7"/>
  <c r="AJ725" i="7"/>
  <c r="AJ732" i="7"/>
  <c r="AJ702" i="7"/>
  <c r="AJ728" i="7"/>
  <c r="AJ726" i="7"/>
  <c r="AJ700" i="7"/>
  <c r="AJ698" i="7"/>
  <c r="AJ734" i="7"/>
  <c r="AJ730" i="7"/>
  <c r="AJ701" i="7"/>
  <c r="AJ699" i="7"/>
  <c r="AJ697" i="7"/>
  <c r="AJ695" i="7"/>
  <c r="AJ693" i="7"/>
  <c r="AJ669" i="7"/>
  <c r="AJ667" i="7"/>
  <c r="AJ666" i="7"/>
  <c r="AJ665" i="7"/>
  <c r="AJ664" i="7"/>
  <c r="AJ663" i="7"/>
  <c r="AJ662" i="7"/>
  <c r="AJ661" i="7"/>
  <c r="AJ670" i="7"/>
  <c r="AJ694" i="7"/>
  <c r="AJ668" i="7"/>
  <c r="AJ696" i="7"/>
  <c r="AJ751" i="7"/>
  <c r="AJ31" i="7"/>
  <c r="AJ66" i="7"/>
  <c r="AD617" i="7"/>
  <c r="AD619" i="7" s="1"/>
  <c r="AE644" i="7"/>
  <c r="AE615" i="7"/>
  <c r="AD215" i="7"/>
  <c r="AD177" i="7"/>
  <c r="AD85" i="7"/>
  <c r="AE745" i="7"/>
  <c r="AE744" i="7"/>
  <c r="AE743" i="7"/>
  <c r="AE741" i="7"/>
  <c r="AE740" i="7"/>
  <c r="AE739" i="7"/>
  <c r="AE737" i="7"/>
  <c r="AE384" i="7"/>
  <c r="AE383" i="7"/>
  <c r="AE382" i="7"/>
  <c r="AE381" i="7"/>
  <c r="AE380" i="7"/>
  <c r="AE379" i="7"/>
  <c r="AE378" i="7"/>
  <c r="AE377" i="7"/>
  <c r="AE375" i="7"/>
  <c r="AE358" i="7"/>
  <c r="AE357" i="7"/>
  <c r="AE356" i="7"/>
  <c r="AE355" i="7"/>
  <c r="AE354" i="7"/>
  <c r="AE353" i="7"/>
  <c r="AE352" i="7"/>
  <c r="AE376" i="7"/>
  <c r="AE714" i="7"/>
  <c r="AE713" i="7"/>
  <c r="AE712" i="7"/>
  <c r="AE711" i="7"/>
  <c r="AE710" i="7"/>
  <c r="AE709" i="7"/>
  <c r="AE708" i="7"/>
  <c r="AE707" i="7"/>
  <c r="AE705" i="7"/>
  <c r="AE333" i="7"/>
  <c r="AE332" i="7"/>
  <c r="AE331" i="7"/>
  <c r="AE330" i="7"/>
  <c r="AE329" i="7"/>
  <c r="AE328" i="7"/>
  <c r="AE351" i="7"/>
  <c r="AE350" i="7"/>
  <c r="AE349" i="7"/>
  <c r="AE682" i="7"/>
  <c r="AE681" i="7"/>
  <c r="AE680" i="7"/>
  <c r="AE679" i="7"/>
  <c r="AE678" i="7"/>
  <c r="AE677" i="7"/>
  <c r="AE676" i="7"/>
  <c r="AE674" i="7"/>
  <c r="AE673" i="7"/>
  <c r="AE326" i="7"/>
  <c r="AE327" i="7"/>
  <c r="AE325" i="7"/>
  <c r="AE324" i="7"/>
  <c r="AE562" i="7"/>
  <c r="AE556" i="7"/>
  <c r="AE442" i="7"/>
  <c r="AE441" i="7"/>
  <c r="AE440" i="7"/>
  <c r="AE439" i="7"/>
  <c r="AE438" i="7"/>
  <c r="AE437" i="7"/>
  <c r="AE457" i="7"/>
  <c r="AE319" i="7"/>
  <c r="AE304" i="7"/>
  <c r="AE303" i="7"/>
  <c r="AE302" i="7"/>
  <c r="AE301" i="7"/>
  <c r="AE300" i="7"/>
  <c r="AE299" i="7"/>
  <c r="AE41" i="7"/>
  <c r="AD465" i="7"/>
  <c r="AD320" i="7"/>
  <c r="AD463" i="7"/>
  <c r="AD471" i="7"/>
  <c r="AD462" i="7"/>
  <c r="AD466" i="7"/>
  <c r="AD470" i="7"/>
  <c r="AD490" i="7"/>
  <c r="AD494" i="7"/>
  <c r="AD514" i="7"/>
  <c r="AD518" i="7"/>
  <c r="AD522" i="7"/>
  <c r="AD491" i="7"/>
  <c r="AD495" i="7"/>
  <c r="AD515" i="7"/>
  <c r="AD519" i="7"/>
  <c r="AD523" i="7"/>
  <c r="AE636" i="7"/>
  <c r="AD43" i="7"/>
  <c r="AD101" i="7"/>
  <c r="AD671" i="7"/>
  <c r="AD656" i="7" s="1"/>
  <c r="AD109" i="7" s="1"/>
  <c r="AD703" i="7"/>
  <c r="AD688" i="7" s="1"/>
  <c r="AD110" i="7" s="1"/>
  <c r="AD735" i="7"/>
  <c r="AD720" i="7" s="1"/>
  <c r="AD111" i="7" s="1"/>
  <c r="AD469" i="7"/>
  <c r="AD467" i="7"/>
  <c r="AD464" i="7"/>
  <c r="AD468" i="7"/>
  <c r="AD488" i="7"/>
  <c r="AD492" i="7"/>
  <c r="AD496" i="7"/>
  <c r="AD516" i="7"/>
  <c r="AD520" i="7"/>
  <c r="AD458" i="7"/>
  <c r="AD489" i="7"/>
  <c r="AD493" i="7"/>
  <c r="AD497" i="7"/>
  <c r="AD517" i="7"/>
  <c r="AD521" i="7"/>
  <c r="AC112" i="7"/>
  <c r="AK65" i="7" l="1"/>
  <c r="AK451" i="7"/>
  <c r="AK313" i="7"/>
  <c r="AJ103" i="7"/>
  <c r="AK616" i="7"/>
  <c r="AK650" i="7"/>
  <c r="AK561" i="7"/>
  <c r="AK555" i="7"/>
  <c r="AK601" i="7"/>
  <c r="AK597" i="7"/>
  <c r="AK593" i="7"/>
  <c r="AK589" i="7"/>
  <c r="AK42" i="7"/>
  <c r="AK46" i="7"/>
  <c r="AK39" i="7"/>
  <c r="AL618" i="7"/>
  <c r="AC120" i="7"/>
  <c r="AC121" i="7" s="1"/>
  <c r="AK734" i="7"/>
  <c r="AK732" i="7"/>
  <c r="AK730" i="7"/>
  <c r="AK728" i="7"/>
  <c r="AK726" i="7"/>
  <c r="AK725" i="7"/>
  <c r="AK702" i="7"/>
  <c r="AK731" i="7"/>
  <c r="AK727" i="7"/>
  <c r="AK733" i="7"/>
  <c r="AK729" i="7"/>
  <c r="AK701" i="7"/>
  <c r="AK699" i="7"/>
  <c r="AK697" i="7"/>
  <c r="AK700" i="7"/>
  <c r="AK698" i="7"/>
  <c r="AK696" i="7"/>
  <c r="AK694" i="7"/>
  <c r="AK670" i="7"/>
  <c r="AK693" i="7"/>
  <c r="AK668" i="7"/>
  <c r="AK666" i="7"/>
  <c r="AK664" i="7"/>
  <c r="AK662" i="7"/>
  <c r="AK695" i="7"/>
  <c r="AK669" i="7"/>
  <c r="AK667" i="7"/>
  <c r="AK665" i="7"/>
  <c r="AK663" i="7"/>
  <c r="AK661" i="7"/>
  <c r="AK751" i="7"/>
  <c r="AK66" i="7"/>
  <c r="AK31" i="7"/>
  <c r="AE617" i="7"/>
  <c r="AE619" i="7" s="1"/>
  <c r="AF615" i="7"/>
  <c r="AE215" i="7"/>
  <c r="AE177" i="7"/>
  <c r="AE85" i="7"/>
  <c r="AE671" i="7"/>
  <c r="AE656" i="7" s="1"/>
  <c r="AE109" i="7" s="1"/>
  <c r="AE703" i="7"/>
  <c r="AE688" i="7" s="1"/>
  <c r="AE110" i="7" s="1"/>
  <c r="AE101" i="7"/>
  <c r="AE468" i="7"/>
  <c r="AE462" i="7"/>
  <c r="AE470" i="7"/>
  <c r="AE465" i="7"/>
  <c r="AE469" i="7"/>
  <c r="AE489" i="7"/>
  <c r="AE493" i="7"/>
  <c r="AE497" i="7"/>
  <c r="AE517" i="7"/>
  <c r="AE521" i="7"/>
  <c r="AE490" i="7"/>
  <c r="AE494" i="7"/>
  <c r="AE514" i="7"/>
  <c r="AE518" i="7"/>
  <c r="AE522" i="7"/>
  <c r="AF636" i="7"/>
  <c r="AE43" i="7"/>
  <c r="AE735" i="7"/>
  <c r="AE720" i="7" s="1"/>
  <c r="AE111" i="7" s="1"/>
  <c r="AF745" i="7"/>
  <c r="AF744" i="7"/>
  <c r="AF743" i="7"/>
  <c r="AF741" i="7"/>
  <c r="AF740" i="7"/>
  <c r="AF739" i="7"/>
  <c r="AF737" i="7"/>
  <c r="AF384" i="7"/>
  <c r="AF383" i="7"/>
  <c r="AF382" i="7"/>
  <c r="AF381" i="7"/>
  <c r="AF380" i="7"/>
  <c r="AF379" i="7"/>
  <c r="AF378" i="7"/>
  <c r="AF377" i="7"/>
  <c r="AF376" i="7"/>
  <c r="AF375" i="7"/>
  <c r="AF714" i="7"/>
  <c r="AF713" i="7"/>
  <c r="AF712" i="7"/>
  <c r="AF711" i="7"/>
  <c r="AF710" i="7"/>
  <c r="AF709" i="7"/>
  <c r="AF708" i="7"/>
  <c r="AF707" i="7"/>
  <c r="AF705" i="7"/>
  <c r="AF358" i="7"/>
  <c r="AF357" i="7"/>
  <c r="AF356" i="7"/>
  <c r="AF355" i="7"/>
  <c r="AF354" i="7"/>
  <c r="AF353" i="7"/>
  <c r="AF352" i="7"/>
  <c r="AF351" i="7"/>
  <c r="AF350" i="7"/>
  <c r="AF349" i="7"/>
  <c r="AF682" i="7"/>
  <c r="AF681" i="7"/>
  <c r="AF680" i="7"/>
  <c r="AF679" i="7"/>
  <c r="AF678" i="7"/>
  <c r="AF677" i="7"/>
  <c r="AF676" i="7"/>
  <c r="AF674" i="7"/>
  <c r="AF673" i="7"/>
  <c r="AF333" i="7"/>
  <c r="AF332" i="7"/>
  <c r="AF331" i="7"/>
  <c r="AF330" i="7"/>
  <c r="AF329" i="7"/>
  <c r="AF328" i="7"/>
  <c r="AF327" i="7"/>
  <c r="AF326" i="7"/>
  <c r="AF325" i="7"/>
  <c r="AF324" i="7"/>
  <c r="AF562" i="7"/>
  <c r="AF556" i="7"/>
  <c r="AF457" i="7"/>
  <c r="AF442" i="7"/>
  <c r="AF441" i="7"/>
  <c r="AF440" i="7"/>
  <c r="AF439" i="7"/>
  <c r="AF438" i="7"/>
  <c r="AF437" i="7"/>
  <c r="AF319" i="7"/>
  <c r="AF304" i="7"/>
  <c r="AF303" i="7"/>
  <c r="AF302" i="7"/>
  <c r="AF301" i="7"/>
  <c r="AF300" i="7"/>
  <c r="AF299" i="7"/>
  <c r="AF41" i="7"/>
  <c r="AE320" i="7"/>
  <c r="AE464" i="7"/>
  <c r="AE466" i="7"/>
  <c r="AE463" i="7"/>
  <c r="AE467" i="7"/>
  <c r="AE471" i="7"/>
  <c r="AE491" i="7"/>
  <c r="AE495" i="7"/>
  <c r="AE515" i="7"/>
  <c r="AE519" i="7"/>
  <c r="AE523" i="7"/>
  <c r="AE488" i="7"/>
  <c r="AE492" i="7"/>
  <c r="AE496" i="7"/>
  <c r="AE516" i="7"/>
  <c r="AE520" i="7"/>
  <c r="AE458" i="7"/>
  <c r="AD112" i="7"/>
  <c r="AK103" i="7" l="1"/>
  <c r="AL65" i="7"/>
  <c r="AL451" i="7"/>
  <c r="AL313" i="7"/>
  <c r="AL616" i="7"/>
  <c r="AL650" i="7"/>
  <c r="AL601" i="7"/>
  <c r="AL597" i="7"/>
  <c r="AL593" i="7"/>
  <c r="AL589" i="7"/>
  <c r="AL561" i="7"/>
  <c r="AL555" i="7"/>
  <c r="AL42" i="7"/>
  <c r="AL46" i="7"/>
  <c r="AL39" i="7"/>
  <c r="AM618" i="7"/>
  <c r="AE120" i="7"/>
  <c r="AE121" i="7" s="1"/>
  <c r="AD120" i="7"/>
  <c r="AD121" i="7" s="1"/>
  <c r="AL734" i="7"/>
  <c r="AL732" i="7"/>
  <c r="AL730" i="7"/>
  <c r="AL728" i="7"/>
  <c r="AL726" i="7"/>
  <c r="AL701" i="7"/>
  <c r="AL700" i="7"/>
  <c r="AL699" i="7"/>
  <c r="AL698" i="7"/>
  <c r="AL697" i="7"/>
  <c r="AL696" i="7"/>
  <c r="AL695" i="7"/>
  <c r="AL694" i="7"/>
  <c r="AL693" i="7"/>
  <c r="AL670" i="7"/>
  <c r="AL669" i="7"/>
  <c r="AL668" i="7"/>
  <c r="AL733" i="7"/>
  <c r="AL727" i="7"/>
  <c r="AL729" i="7"/>
  <c r="AL725" i="7"/>
  <c r="AL731" i="7"/>
  <c r="AL702" i="7"/>
  <c r="AL666" i="7"/>
  <c r="AL664" i="7"/>
  <c r="AL662" i="7"/>
  <c r="AL667" i="7"/>
  <c r="AL665" i="7"/>
  <c r="AL663" i="7"/>
  <c r="AL661" i="7"/>
  <c r="AL751" i="7"/>
  <c r="AL66" i="7"/>
  <c r="AL31" i="7"/>
  <c r="AF617" i="7"/>
  <c r="AF619" i="7" s="1"/>
  <c r="AG644" i="7"/>
  <c r="C442" i="7"/>
  <c r="C304" i="7"/>
  <c r="AG615" i="7"/>
  <c r="AF215" i="7"/>
  <c r="AF177" i="7"/>
  <c r="AF85" i="7"/>
  <c r="AE112" i="7"/>
  <c r="AF703" i="7"/>
  <c r="AF688" i="7" s="1"/>
  <c r="AF110" i="7" s="1"/>
  <c r="AF43" i="7"/>
  <c r="AF671" i="7"/>
  <c r="AF656" i="7" s="1"/>
  <c r="AF109" i="7" s="1"/>
  <c r="AF735" i="7"/>
  <c r="AF720" i="7" s="1"/>
  <c r="AF111" i="7" s="1"/>
  <c r="AF101" i="7"/>
  <c r="AG746" i="7"/>
  <c r="AG745" i="7"/>
  <c r="AG744" i="7"/>
  <c r="AG742" i="7"/>
  <c r="AG741" i="7"/>
  <c r="AG740" i="7"/>
  <c r="AG739" i="7"/>
  <c r="AG384" i="7"/>
  <c r="AG382" i="7"/>
  <c r="AG381" i="7"/>
  <c r="AG380" i="7"/>
  <c r="AG379" i="7"/>
  <c r="AG378" i="7"/>
  <c r="AG377" i="7"/>
  <c r="AG737" i="7"/>
  <c r="AG376" i="7"/>
  <c r="AG358" i="7"/>
  <c r="AG357" i="7"/>
  <c r="AG356" i="7"/>
  <c r="AG355" i="7"/>
  <c r="AG354" i="7"/>
  <c r="AG353" i="7"/>
  <c r="AG352" i="7"/>
  <c r="AG375" i="7"/>
  <c r="AG714" i="7"/>
  <c r="AG713" i="7"/>
  <c r="AG712" i="7"/>
  <c r="AG711" i="7"/>
  <c r="AG710" i="7"/>
  <c r="AG709" i="7"/>
  <c r="AG708" i="7"/>
  <c r="AG706" i="7"/>
  <c r="AG705" i="7"/>
  <c r="AG351" i="7"/>
  <c r="AG333" i="7"/>
  <c r="AG332" i="7"/>
  <c r="AG331" i="7"/>
  <c r="AG330" i="7"/>
  <c r="AG329" i="7"/>
  <c r="AG328" i="7"/>
  <c r="AG350" i="7"/>
  <c r="AG349" i="7"/>
  <c r="AG682" i="7"/>
  <c r="AG681" i="7"/>
  <c r="AG680" i="7"/>
  <c r="AG679" i="7"/>
  <c r="AG678" i="7"/>
  <c r="AG677" i="7"/>
  <c r="AG676" i="7"/>
  <c r="AG674" i="7"/>
  <c r="AG673" i="7"/>
  <c r="AG327" i="7"/>
  <c r="AG326" i="7"/>
  <c r="AG325" i="7"/>
  <c r="AG324" i="7"/>
  <c r="AG562" i="7"/>
  <c r="AG556" i="7"/>
  <c r="AG442" i="7"/>
  <c r="AG441" i="7"/>
  <c r="AG440" i="7"/>
  <c r="AG439" i="7"/>
  <c r="AG438" i="7"/>
  <c r="AG437" i="7"/>
  <c r="AG383" i="7"/>
  <c r="AG457" i="7"/>
  <c r="AG319" i="7"/>
  <c r="AG304" i="7"/>
  <c r="AG303" i="7"/>
  <c r="AG302" i="7"/>
  <c r="AG301" i="7"/>
  <c r="AG300" i="7"/>
  <c r="AG299" i="7"/>
  <c r="AG41" i="7"/>
  <c r="AF467" i="7"/>
  <c r="AF320" i="7"/>
  <c r="AF465" i="7"/>
  <c r="AF464" i="7"/>
  <c r="AF468" i="7"/>
  <c r="AF488" i="7"/>
  <c r="AF492" i="7"/>
  <c r="AF496" i="7"/>
  <c r="AF516" i="7"/>
  <c r="AF520" i="7"/>
  <c r="AF458" i="7"/>
  <c r="AF489" i="7"/>
  <c r="AF493" i="7"/>
  <c r="AF497" i="7"/>
  <c r="AF517" i="7"/>
  <c r="AF521" i="7"/>
  <c r="AF463" i="7"/>
  <c r="AF471" i="7"/>
  <c r="AF469" i="7"/>
  <c r="AF462" i="7"/>
  <c r="AF466" i="7"/>
  <c r="AF470" i="7"/>
  <c r="AF490" i="7"/>
  <c r="AF494" i="7"/>
  <c r="AF514" i="7"/>
  <c r="AF518" i="7"/>
  <c r="AF522" i="7"/>
  <c r="AF491" i="7"/>
  <c r="AF495" i="7"/>
  <c r="AF515" i="7"/>
  <c r="AF519" i="7"/>
  <c r="AF523" i="7"/>
  <c r="AG636" i="7"/>
  <c r="AM65" i="7" l="1"/>
  <c r="AM451" i="7"/>
  <c r="AM313" i="7"/>
  <c r="AL103" i="7"/>
  <c r="AM616" i="7"/>
  <c r="AM650" i="7"/>
  <c r="AM555" i="7"/>
  <c r="AM561" i="7"/>
  <c r="AM593" i="7"/>
  <c r="AM601" i="7"/>
  <c r="AM597" i="7"/>
  <c r="AM589" i="7"/>
  <c r="AM42" i="7"/>
  <c r="AM46" i="7"/>
  <c r="AM39" i="7"/>
  <c r="AN618" i="7"/>
  <c r="AF120" i="7"/>
  <c r="AF121" i="7" s="1"/>
  <c r="AM734" i="7"/>
  <c r="AM733" i="7"/>
  <c r="AM732" i="7"/>
  <c r="AM731" i="7"/>
  <c r="AM730" i="7"/>
  <c r="AM729" i="7"/>
  <c r="AM728" i="7"/>
  <c r="AM727" i="7"/>
  <c r="AM726" i="7"/>
  <c r="AM702" i="7"/>
  <c r="AM725" i="7"/>
  <c r="AM701" i="7"/>
  <c r="AM699" i="7"/>
  <c r="AM697" i="7"/>
  <c r="AM700" i="7"/>
  <c r="AM698" i="7"/>
  <c r="AM696" i="7"/>
  <c r="AM694" i="7"/>
  <c r="AM670" i="7"/>
  <c r="AM668" i="7"/>
  <c r="AM664" i="7"/>
  <c r="AM693" i="7"/>
  <c r="AM667" i="7"/>
  <c r="AM665" i="7"/>
  <c r="AM663" i="7"/>
  <c r="AM661" i="7"/>
  <c r="AM695" i="7"/>
  <c r="AM669" i="7"/>
  <c r="AM666" i="7"/>
  <c r="AM662" i="7"/>
  <c r="AM751" i="7"/>
  <c r="AM31" i="7"/>
  <c r="AM66" i="7"/>
  <c r="AG617" i="7"/>
  <c r="AG619" i="7" s="1"/>
  <c r="AH644" i="7"/>
  <c r="AH615" i="7"/>
  <c r="AG215" i="7"/>
  <c r="AG177" i="7"/>
  <c r="AG85" i="7"/>
  <c r="AG735" i="7"/>
  <c r="AG720" i="7" s="1"/>
  <c r="AG111" i="7" s="1"/>
  <c r="AF112" i="7"/>
  <c r="AH746" i="7"/>
  <c r="AH745" i="7"/>
  <c r="AH744" i="7"/>
  <c r="AH742" i="7"/>
  <c r="AH741" i="7"/>
  <c r="AH740" i="7"/>
  <c r="AH739" i="7"/>
  <c r="AH737" i="7"/>
  <c r="AH384" i="7"/>
  <c r="AH383" i="7"/>
  <c r="AH382" i="7"/>
  <c r="AH381" i="7"/>
  <c r="AH380" i="7"/>
  <c r="AH378" i="7"/>
  <c r="AH377" i="7"/>
  <c r="AH376" i="7"/>
  <c r="AH375" i="7"/>
  <c r="AH714" i="7"/>
  <c r="AH713" i="7"/>
  <c r="AH712" i="7"/>
  <c r="AH711" i="7"/>
  <c r="AH710" i="7"/>
  <c r="AH709" i="7"/>
  <c r="AH708" i="7"/>
  <c r="AH706" i="7"/>
  <c r="AH705" i="7"/>
  <c r="AH358" i="7"/>
  <c r="AH357" i="7"/>
  <c r="AH356" i="7"/>
  <c r="AH355" i="7"/>
  <c r="AH354" i="7"/>
  <c r="AH353" i="7"/>
  <c r="AH352" i="7"/>
  <c r="AH351" i="7"/>
  <c r="AH350" i="7"/>
  <c r="AH349" i="7"/>
  <c r="AH682" i="7"/>
  <c r="AH681" i="7"/>
  <c r="AH680" i="7"/>
  <c r="AH679" i="7"/>
  <c r="AH678" i="7"/>
  <c r="AH677" i="7"/>
  <c r="AH676" i="7"/>
  <c r="AH674" i="7"/>
  <c r="AH673" i="7"/>
  <c r="AH333" i="7"/>
  <c r="AH332" i="7"/>
  <c r="AH331" i="7"/>
  <c r="AH330" i="7"/>
  <c r="AH329" i="7"/>
  <c r="AH328" i="7"/>
  <c r="AH327" i="7"/>
  <c r="AH326" i="7"/>
  <c r="AH325" i="7"/>
  <c r="AH324" i="7"/>
  <c r="AH562" i="7"/>
  <c r="AH556" i="7"/>
  <c r="AH457" i="7"/>
  <c r="AH442" i="7"/>
  <c r="AH441" i="7"/>
  <c r="AH440" i="7"/>
  <c r="AH439" i="7"/>
  <c r="AH438" i="7"/>
  <c r="AH437" i="7"/>
  <c r="AH379" i="7"/>
  <c r="AH319" i="7"/>
  <c r="AH304" i="7"/>
  <c r="AH303" i="7"/>
  <c r="AH302" i="7"/>
  <c r="AH301" i="7"/>
  <c r="AH300" i="7"/>
  <c r="AH299" i="7"/>
  <c r="AH41" i="7"/>
  <c r="AG320" i="7"/>
  <c r="AG466" i="7"/>
  <c r="AG464" i="7"/>
  <c r="AG463" i="7"/>
  <c r="AG467" i="7"/>
  <c r="AG471" i="7"/>
  <c r="AG491" i="7"/>
  <c r="AG495" i="7"/>
  <c r="AG515" i="7"/>
  <c r="AG519" i="7"/>
  <c r="AG523" i="7"/>
  <c r="AG488" i="7"/>
  <c r="AG492" i="7"/>
  <c r="AG496" i="7"/>
  <c r="AG516" i="7"/>
  <c r="AG520" i="7"/>
  <c r="AG458" i="7"/>
  <c r="AG43" i="7"/>
  <c r="AG101" i="7"/>
  <c r="AG671" i="7"/>
  <c r="AG656" i="7" s="1"/>
  <c r="AG109" i="7" s="1"/>
  <c r="AG703" i="7"/>
  <c r="AG688" i="7" s="1"/>
  <c r="AG110" i="7" s="1"/>
  <c r="AG462" i="7"/>
  <c r="AG470" i="7"/>
  <c r="AG468" i="7"/>
  <c r="AG465" i="7"/>
  <c r="AG469" i="7"/>
  <c r="AG489" i="7"/>
  <c r="AG493" i="7"/>
  <c r="AG497" i="7"/>
  <c r="AG517" i="7"/>
  <c r="AG521" i="7"/>
  <c r="AG490" i="7"/>
  <c r="AG494" i="7"/>
  <c r="AG514" i="7"/>
  <c r="AG518" i="7"/>
  <c r="AG522" i="7"/>
  <c r="AH636" i="7"/>
  <c r="AN65" i="7" l="1"/>
  <c r="AN451" i="7"/>
  <c r="AN313" i="7"/>
  <c r="AM103" i="7"/>
  <c r="AN616" i="7"/>
  <c r="AN650" i="7"/>
  <c r="AN561" i="7"/>
  <c r="AN555" i="7"/>
  <c r="AN601" i="7"/>
  <c r="AN597" i="7"/>
  <c r="AN593" i="7"/>
  <c r="AN589" i="7"/>
  <c r="AN42" i="7"/>
  <c r="AN46" i="7"/>
  <c r="AN39" i="7"/>
  <c r="AO618" i="7"/>
  <c r="AN733" i="7"/>
  <c r="AN731" i="7"/>
  <c r="AN729" i="7"/>
  <c r="AN727" i="7"/>
  <c r="AN732" i="7"/>
  <c r="AN728" i="7"/>
  <c r="AN726" i="7"/>
  <c r="AN699" i="7"/>
  <c r="AN695" i="7"/>
  <c r="AN693" i="7"/>
  <c r="AN734" i="7"/>
  <c r="AN730" i="7"/>
  <c r="AN702" i="7"/>
  <c r="AN700" i="7"/>
  <c r="AN698" i="7"/>
  <c r="AN696" i="7"/>
  <c r="AN725" i="7"/>
  <c r="AN667" i="7"/>
  <c r="AN666" i="7"/>
  <c r="AN665" i="7"/>
  <c r="AN664" i="7"/>
  <c r="AN663" i="7"/>
  <c r="AN662" i="7"/>
  <c r="AN661" i="7"/>
  <c r="AN701" i="7"/>
  <c r="AN697" i="7"/>
  <c r="AN669" i="7"/>
  <c r="AN668" i="7"/>
  <c r="AN694" i="7"/>
  <c r="AN670" i="7"/>
  <c r="AN751" i="7"/>
  <c r="AN31" i="7"/>
  <c r="AN66" i="7"/>
  <c r="AH617" i="7"/>
  <c r="AH619" i="7" s="1"/>
  <c r="AI644" i="7"/>
  <c r="AI615" i="7"/>
  <c r="AH215" i="7"/>
  <c r="AH177" i="7"/>
  <c r="AH85" i="7"/>
  <c r="AH43" i="7"/>
  <c r="AH671" i="7"/>
  <c r="AH656" i="7" s="1"/>
  <c r="AH109" i="7" s="1"/>
  <c r="AH101" i="7"/>
  <c r="AI746" i="7"/>
  <c r="AI745" i="7"/>
  <c r="AI744" i="7"/>
  <c r="AI742" i="7"/>
  <c r="AI741" i="7"/>
  <c r="AI740" i="7"/>
  <c r="AI739" i="7"/>
  <c r="AI737" i="7"/>
  <c r="AI384" i="7"/>
  <c r="AI383" i="7"/>
  <c r="AI382" i="7"/>
  <c r="AI381" i="7"/>
  <c r="AI380" i="7"/>
  <c r="AI379" i="7"/>
  <c r="AI378" i="7"/>
  <c r="AI377" i="7"/>
  <c r="AI375" i="7"/>
  <c r="AI358" i="7"/>
  <c r="AI357" i="7"/>
  <c r="AI356" i="7"/>
  <c r="AI355" i="7"/>
  <c r="AI354" i="7"/>
  <c r="AI353" i="7"/>
  <c r="AI352" i="7"/>
  <c r="AI376" i="7"/>
  <c r="AI714" i="7"/>
  <c r="AI713" i="7"/>
  <c r="AI712" i="7"/>
  <c r="AI711" i="7"/>
  <c r="AI710" i="7"/>
  <c r="AI709" i="7"/>
  <c r="AI708" i="7"/>
  <c r="AI706" i="7"/>
  <c r="AI705" i="7"/>
  <c r="AI333" i="7"/>
  <c r="AI332" i="7"/>
  <c r="AI331" i="7"/>
  <c r="AI330" i="7"/>
  <c r="AI329" i="7"/>
  <c r="AI328" i="7"/>
  <c r="AI351" i="7"/>
  <c r="AI350" i="7"/>
  <c r="AI349" i="7"/>
  <c r="AI682" i="7"/>
  <c r="AI681" i="7"/>
  <c r="AI680" i="7"/>
  <c r="AI679" i="7"/>
  <c r="AI678" i="7"/>
  <c r="AI677" i="7"/>
  <c r="AI676" i="7"/>
  <c r="AI674" i="7"/>
  <c r="AI673" i="7"/>
  <c r="AI326" i="7"/>
  <c r="AI327" i="7"/>
  <c r="AI325" i="7"/>
  <c r="AI324" i="7"/>
  <c r="AI562" i="7"/>
  <c r="AI556" i="7"/>
  <c r="AI442" i="7"/>
  <c r="AI441" i="7"/>
  <c r="AI440" i="7"/>
  <c r="AI439" i="7"/>
  <c r="AI438" i="7"/>
  <c r="AI437" i="7"/>
  <c r="AI457" i="7"/>
  <c r="AI319" i="7"/>
  <c r="AI304" i="7"/>
  <c r="AI303" i="7"/>
  <c r="AI302" i="7"/>
  <c r="AI301" i="7"/>
  <c r="AI300" i="7"/>
  <c r="AI299" i="7"/>
  <c r="AI41" i="7"/>
  <c r="AH469" i="7"/>
  <c r="AH467" i="7"/>
  <c r="AH464" i="7"/>
  <c r="AH468" i="7"/>
  <c r="AH488" i="7"/>
  <c r="AH492" i="7"/>
  <c r="AH496" i="7"/>
  <c r="AH516" i="7"/>
  <c r="AH520" i="7"/>
  <c r="AH458" i="7"/>
  <c r="AH489" i="7"/>
  <c r="AH493" i="7"/>
  <c r="AH497" i="7"/>
  <c r="AH517" i="7"/>
  <c r="AH521" i="7"/>
  <c r="AG112" i="7"/>
  <c r="AH465" i="7"/>
  <c r="AH320" i="7"/>
  <c r="AH463" i="7"/>
  <c r="AH471" i="7"/>
  <c r="AH462" i="7"/>
  <c r="AH466" i="7"/>
  <c r="AH470" i="7"/>
  <c r="AH490" i="7"/>
  <c r="AH494" i="7"/>
  <c r="AH514" i="7"/>
  <c r="AH518" i="7"/>
  <c r="AH522" i="7"/>
  <c r="AH491" i="7"/>
  <c r="AH495" i="7"/>
  <c r="AH515" i="7"/>
  <c r="AH519" i="7"/>
  <c r="AH523" i="7"/>
  <c r="AI636" i="7"/>
  <c r="AH703" i="7"/>
  <c r="AH688" i="7" s="1"/>
  <c r="AH110" i="7" s="1"/>
  <c r="AH735" i="7"/>
  <c r="AH720" i="7" s="1"/>
  <c r="AH111" i="7" s="1"/>
  <c r="AO65" i="7" l="1"/>
  <c r="AO451" i="7"/>
  <c r="AO313" i="7"/>
  <c r="AN103" i="7"/>
  <c r="AO616" i="7"/>
  <c r="AO650" i="7"/>
  <c r="AO561" i="7"/>
  <c r="AO555" i="7"/>
  <c r="AO601" i="7"/>
  <c r="AO597" i="7"/>
  <c r="AO593" i="7"/>
  <c r="AO589" i="7"/>
  <c r="AO42" i="7"/>
  <c r="AO46" i="7"/>
  <c r="AO39" i="7"/>
  <c r="AP618" i="7"/>
  <c r="AG120" i="7"/>
  <c r="AG121" i="7" s="1"/>
  <c r="AO725" i="7"/>
  <c r="AO702" i="7"/>
  <c r="AO733" i="7"/>
  <c r="AO731" i="7"/>
  <c r="AO729" i="7"/>
  <c r="AO727" i="7"/>
  <c r="AO734" i="7"/>
  <c r="AO728" i="7"/>
  <c r="AO730" i="7"/>
  <c r="AO700" i="7"/>
  <c r="AO698" i="7"/>
  <c r="AO732" i="7"/>
  <c r="AO726" i="7"/>
  <c r="AO701" i="7"/>
  <c r="AO699" i="7"/>
  <c r="AO697" i="7"/>
  <c r="AO695" i="7"/>
  <c r="AO693" i="7"/>
  <c r="AO669" i="7"/>
  <c r="AO694" i="7"/>
  <c r="AO667" i="7"/>
  <c r="AO665" i="7"/>
  <c r="AO663" i="7"/>
  <c r="AO661" i="7"/>
  <c r="AO696" i="7"/>
  <c r="AO670" i="7"/>
  <c r="AO666" i="7"/>
  <c r="AO664" i="7"/>
  <c r="AO662" i="7"/>
  <c r="AO668" i="7"/>
  <c r="AO751" i="7"/>
  <c r="AO66" i="7"/>
  <c r="AO31" i="7"/>
  <c r="AI617" i="7"/>
  <c r="AI619" i="7" s="1"/>
  <c r="AJ644" i="7"/>
  <c r="AJ615" i="7"/>
  <c r="AI215" i="7"/>
  <c r="AI177" i="7"/>
  <c r="AI85" i="7"/>
  <c r="AH112" i="7"/>
  <c r="AJ746" i="7"/>
  <c r="AJ745" i="7"/>
  <c r="AJ744" i="7"/>
  <c r="AJ742" i="7"/>
  <c r="AJ741" i="7"/>
  <c r="AJ740" i="7"/>
  <c r="AJ739" i="7"/>
  <c r="AJ737" i="7"/>
  <c r="AJ384" i="7"/>
  <c r="AJ383" i="7"/>
  <c r="AJ382" i="7"/>
  <c r="AJ381" i="7"/>
  <c r="AJ380" i="7"/>
  <c r="AJ379" i="7"/>
  <c r="AJ378" i="7"/>
  <c r="AJ377" i="7"/>
  <c r="AJ376" i="7"/>
  <c r="AJ714" i="7"/>
  <c r="AJ713" i="7"/>
  <c r="AJ712" i="7"/>
  <c r="AJ711" i="7"/>
  <c r="AJ710" i="7"/>
  <c r="AJ709" i="7"/>
  <c r="AJ708" i="7"/>
  <c r="AJ706" i="7"/>
  <c r="AJ705" i="7"/>
  <c r="AJ358" i="7"/>
  <c r="AJ357" i="7"/>
  <c r="AJ356" i="7"/>
  <c r="AJ355" i="7"/>
  <c r="AJ354" i="7"/>
  <c r="AJ353" i="7"/>
  <c r="AJ352" i="7"/>
  <c r="AJ351" i="7"/>
  <c r="AJ350" i="7"/>
  <c r="AJ349" i="7"/>
  <c r="AJ682" i="7"/>
  <c r="AJ681" i="7"/>
  <c r="AJ680" i="7"/>
  <c r="AJ679" i="7"/>
  <c r="AJ678" i="7"/>
  <c r="AJ677" i="7"/>
  <c r="AJ676" i="7"/>
  <c r="AJ674" i="7"/>
  <c r="AJ673" i="7"/>
  <c r="AJ333" i="7"/>
  <c r="AJ332" i="7"/>
  <c r="AJ331" i="7"/>
  <c r="AJ330" i="7"/>
  <c r="AJ329" i="7"/>
  <c r="AJ328" i="7"/>
  <c r="AJ327" i="7"/>
  <c r="AJ326" i="7"/>
  <c r="AJ325" i="7"/>
  <c r="AJ324" i="7"/>
  <c r="AJ562" i="7"/>
  <c r="AJ556" i="7"/>
  <c r="AJ457" i="7"/>
  <c r="AJ442" i="7"/>
  <c r="AJ441" i="7"/>
  <c r="AJ440" i="7"/>
  <c r="AJ439" i="7"/>
  <c r="AJ438" i="7"/>
  <c r="AJ437" i="7"/>
  <c r="AJ375" i="7"/>
  <c r="AJ319" i="7"/>
  <c r="AJ304" i="7"/>
  <c r="AJ303" i="7"/>
  <c r="AJ302" i="7"/>
  <c r="AJ301" i="7"/>
  <c r="AJ300" i="7"/>
  <c r="AJ299" i="7"/>
  <c r="AJ41" i="7"/>
  <c r="AI320" i="7"/>
  <c r="AI464" i="7"/>
  <c r="AI466" i="7"/>
  <c r="AI463" i="7"/>
  <c r="AI467" i="7"/>
  <c r="AI471" i="7"/>
  <c r="AI491" i="7"/>
  <c r="AI495" i="7"/>
  <c r="AI515" i="7"/>
  <c r="AI519" i="7"/>
  <c r="AI523" i="7"/>
  <c r="AI488" i="7"/>
  <c r="AI492" i="7"/>
  <c r="AI496" i="7"/>
  <c r="AI516" i="7"/>
  <c r="AI520" i="7"/>
  <c r="AI458" i="7"/>
  <c r="AI43" i="7"/>
  <c r="AI101" i="7"/>
  <c r="AI671" i="7"/>
  <c r="AI656" i="7" s="1"/>
  <c r="AI109" i="7" s="1"/>
  <c r="AI703" i="7"/>
  <c r="AI688" i="7" s="1"/>
  <c r="AI110" i="7" s="1"/>
  <c r="AI468" i="7"/>
  <c r="AI462" i="7"/>
  <c r="AI470" i="7"/>
  <c r="AI465" i="7"/>
  <c r="AI469" i="7"/>
  <c r="AI489" i="7"/>
  <c r="AI493" i="7"/>
  <c r="AI497" i="7"/>
  <c r="AI517" i="7"/>
  <c r="AI521" i="7"/>
  <c r="AI490" i="7"/>
  <c r="AI494" i="7"/>
  <c r="AI514" i="7"/>
  <c r="AI518" i="7"/>
  <c r="AI522" i="7"/>
  <c r="AJ636" i="7"/>
  <c r="AI735" i="7"/>
  <c r="AI720" i="7" s="1"/>
  <c r="AI111" i="7" s="1"/>
  <c r="AO103" i="7" l="1"/>
  <c r="AP65" i="7"/>
  <c r="AP451" i="7"/>
  <c r="AP313" i="7"/>
  <c r="AP616" i="7"/>
  <c r="AP650" i="7"/>
  <c r="AP561" i="7"/>
  <c r="AP597" i="7"/>
  <c r="AP593" i="7"/>
  <c r="AP589" i="7"/>
  <c r="AP555" i="7"/>
  <c r="AP601" i="7"/>
  <c r="AP42" i="7"/>
  <c r="AP46" i="7"/>
  <c r="AP39" i="7"/>
  <c r="AH120" i="7"/>
  <c r="AH121" i="7" s="1"/>
  <c r="AP734" i="7"/>
  <c r="AP732" i="7"/>
  <c r="AP730" i="7"/>
  <c r="AP728" i="7"/>
  <c r="AP726" i="7"/>
  <c r="AP733" i="7"/>
  <c r="AP729" i="7"/>
  <c r="AP725" i="7"/>
  <c r="AP701" i="7"/>
  <c r="AP700" i="7"/>
  <c r="AP699" i="7"/>
  <c r="AP698" i="7"/>
  <c r="AP697" i="7"/>
  <c r="AP696" i="7"/>
  <c r="AP695" i="7"/>
  <c r="AP694" i="7"/>
  <c r="AP693" i="7"/>
  <c r="AP670" i="7"/>
  <c r="AP669" i="7"/>
  <c r="AP668" i="7"/>
  <c r="AP702" i="7"/>
  <c r="AP731" i="7"/>
  <c r="AP727" i="7"/>
  <c r="AP666" i="7"/>
  <c r="AP664" i="7"/>
  <c r="AP662" i="7"/>
  <c r="AP667" i="7"/>
  <c r="AP665" i="7"/>
  <c r="AP663" i="7"/>
  <c r="AP661" i="7"/>
  <c r="AP751" i="7"/>
  <c r="AP66" i="7"/>
  <c r="AP31" i="7"/>
  <c r="AJ617" i="7"/>
  <c r="AJ619" i="7" s="1"/>
  <c r="AK644" i="7"/>
  <c r="AK615" i="7"/>
  <c r="AJ215" i="7"/>
  <c r="AJ177" i="7"/>
  <c r="AJ85" i="7"/>
  <c r="AK746" i="7"/>
  <c r="AK745" i="7"/>
  <c r="AK744" i="7"/>
  <c r="AK742" i="7"/>
  <c r="AK741" i="7"/>
  <c r="AK740" i="7"/>
  <c r="AK739" i="7"/>
  <c r="AK384" i="7"/>
  <c r="AK382" i="7"/>
  <c r="AK381" i="7"/>
  <c r="AK380" i="7"/>
  <c r="AK379" i="7"/>
  <c r="AK378" i="7"/>
  <c r="AK377" i="7"/>
  <c r="AK737" i="7"/>
  <c r="AK376" i="7"/>
  <c r="AK358" i="7"/>
  <c r="AK357" i="7"/>
  <c r="AK356" i="7"/>
  <c r="AK355" i="7"/>
  <c r="AK354" i="7"/>
  <c r="AK353" i="7"/>
  <c r="AK352" i="7"/>
  <c r="AK375" i="7"/>
  <c r="AK714" i="7"/>
  <c r="AK713" i="7"/>
  <c r="AK712" i="7"/>
  <c r="AK711" i="7"/>
  <c r="AK710" i="7"/>
  <c r="AK709" i="7"/>
  <c r="AK708" i="7"/>
  <c r="AK706" i="7"/>
  <c r="AK705" i="7"/>
  <c r="AK351" i="7"/>
  <c r="AK333" i="7"/>
  <c r="AK332" i="7"/>
  <c r="AK331" i="7"/>
  <c r="AK330" i="7"/>
  <c r="AK329" i="7"/>
  <c r="AK328" i="7"/>
  <c r="AK350" i="7"/>
  <c r="AK349" i="7"/>
  <c r="AK682" i="7"/>
  <c r="AK681" i="7"/>
  <c r="AK680" i="7"/>
  <c r="AK679" i="7"/>
  <c r="AK678" i="7"/>
  <c r="AK677" i="7"/>
  <c r="AK676" i="7"/>
  <c r="AK674" i="7"/>
  <c r="AK673" i="7"/>
  <c r="AK327" i="7"/>
  <c r="AK326" i="7"/>
  <c r="AK325" i="7"/>
  <c r="AK324" i="7"/>
  <c r="AK562" i="7"/>
  <c r="AK556" i="7"/>
  <c r="AK442" i="7"/>
  <c r="AK441" i="7"/>
  <c r="AK440" i="7"/>
  <c r="AK439" i="7"/>
  <c r="AK438" i="7"/>
  <c r="AK437" i="7"/>
  <c r="AK383" i="7"/>
  <c r="AK457" i="7"/>
  <c r="AK319" i="7"/>
  <c r="AK304" i="7"/>
  <c r="AK303" i="7"/>
  <c r="AK302" i="7"/>
  <c r="AK301" i="7"/>
  <c r="AK300" i="7"/>
  <c r="AK299" i="7"/>
  <c r="AK41" i="7"/>
  <c r="AJ463" i="7"/>
  <c r="AJ471" i="7"/>
  <c r="AJ469" i="7"/>
  <c r="AJ462" i="7"/>
  <c r="AJ466" i="7"/>
  <c r="AJ470" i="7"/>
  <c r="AJ490" i="7"/>
  <c r="AJ494" i="7"/>
  <c r="AJ514" i="7"/>
  <c r="AJ518" i="7"/>
  <c r="AJ522" i="7"/>
  <c r="AJ491" i="7"/>
  <c r="AJ495" i="7"/>
  <c r="AJ515" i="7"/>
  <c r="AJ519" i="7"/>
  <c r="AJ523" i="7"/>
  <c r="AK636" i="7"/>
  <c r="AJ43" i="7"/>
  <c r="AJ101" i="7"/>
  <c r="AJ671" i="7"/>
  <c r="AJ656" i="7" s="1"/>
  <c r="AJ109" i="7" s="1"/>
  <c r="AJ703" i="7"/>
  <c r="AJ688" i="7" s="1"/>
  <c r="AJ110" i="7" s="1"/>
  <c r="AJ735" i="7"/>
  <c r="AJ720" i="7" s="1"/>
  <c r="AJ111" i="7" s="1"/>
  <c r="AJ467" i="7"/>
  <c r="AJ320" i="7"/>
  <c r="AJ465" i="7"/>
  <c r="AJ464" i="7"/>
  <c r="AJ468" i="7"/>
  <c r="AJ488" i="7"/>
  <c r="AJ492" i="7"/>
  <c r="AJ496" i="7"/>
  <c r="AJ516" i="7"/>
  <c r="AJ520" i="7"/>
  <c r="AJ458" i="7"/>
  <c r="AJ489" i="7"/>
  <c r="AJ493" i="7"/>
  <c r="AJ497" i="7"/>
  <c r="AJ517" i="7"/>
  <c r="AJ521" i="7"/>
  <c r="AI112" i="7"/>
  <c r="AP103" i="7" l="1"/>
  <c r="AI120" i="7"/>
  <c r="AI121" i="7" s="1"/>
  <c r="AK617" i="7"/>
  <c r="AK619" i="7" s="1"/>
  <c r="AL644" i="7"/>
  <c r="AL615" i="7"/>
  <c r="AK215" i="7"/>
  <c r="AK177" i="7"/>
  <c r="AK85" i="7"/>
  <c r="AK735" i="7"/>
  <c r="AK720" i="7" s="1"/>
  <c r="AK111" i="7" s="1"/>
  <c r="AK43" i="7"/>
  <c r="AK462" i="7"/>
  <c r="AK470" i="7"/>
  <c r="AK468" i="7"/>
  <c r="AK465" i="7"/>
  <c r="AK469" i="7"/>
  <c r="AK489" i="7"/>
  <c r="AK493" i="7"/>
  <c r="AK497" i="7"/>
  <c r="AK517" i="7"/>
  <c r="AK521" i="7"/>
  <c r="AK490" i="7"/>
  <c r="AK494" i="7"/>
  <c r="AK514" i="7"/>
  <c r="AK518" i="7"/>
  <c r="AK522" i="7"/>
  <c r="AL636" i="7"/>
  <c r="AL746" i="7"/>
  <c r="AL745" i="7"/>
  <c r="AL743" i="7"/>
  <c r="AL742" i="7"/>
  <c r="AL741" i="7"/>
  <c r="AL740" i="7"/>
  <c r="AL739" i="7"/>
  <c r="AL737" i="7"/>
  <c r="AL384" i="7"/>
  <c r="AL382" i="7"/>
  <c r="AL381" i="7"/>
  <c r="AL380" i="7"/>
  <c r="AL379" i="7"/>
  <c r="AL378" i="7"/>
  <c r="AL377" i="7"/>
  <c r="AL376" i="7"/>
  <c r="AL375" i="7"/>
  <c r="AL714" i="7"/>
  <c r="AL713" i="7"/>
  <c r="AL712" i="7"/>
  <c r="AL711" i="7"/>
  <c r="AL710" i="7"/>
  <c r="AL709" i="7"/>
  <c r="AL708" i="7"/>
  <c r="AL706" i="7"/>
  <c r="AL705" i="7"/>
  <c r="AL358" i="7"/>
  <c r="AL357" i="7"/>
  <c r="AL356" i="7"/>
  <c r="AL355" i="7"/>
  <c r="AL354" i="7"/>
  <c r="AL353" i="7"/>
  <c r="AL352" i="7"/>
  <c r="AL351" i="7"/>
  <c r="AL350" i="7"/>
  <c r="AL349" i="7"/>
  <c r="AL682" i="7"/>
  <c r="AL681" i="7"/>
  <c r="AL680" i="7"/>
  <c r="AL679" i="7"/>
  <c r="AL678" i="7"/>
  <c r="AL677" i="7"/>
  <c r="AL676" i="7"/>
  <c r="AL674" i="7"/>
  <c r="AL673" i="7"/>
  <c r="AL333" i="7"/>
  <c r="AL332" i="7"/>
  <c r="AL331" i="7"/>
  <c r="AL330" i="7"/>
  <c r="AL329" i="7"/>
  <c r="AL328" i="7"/>
  <c r="AL327" i="7"/>
  <c r="AL326" i="7"/>
  <c r="AL325" i="7"/>
  <c r="AL324" i="7"/>
  <c r="AL562" i="7"/>
  <c r="AL556" i="7"/>
  <c r="AL457" i="7"/>
  <c r="AL442" i="7"/>
  <c r="AL441" i="7"/>
  <c r="AL440" i="7"/>
  <c r="AL439" i="7"/>
  <c r="AL438" i="7"/>
  <c r="AL437" i="7"/>
  <c r="AL383" i="7"/>
  <c r="AL319" i="7"/>
  <c r="AL304" i="7"/>
  <c r="AL303" i="7"/>
  <c r="AL302" i="7"/>
  <c r="AL301" i="7"/>
  <c r="AL300" i="7"/>
  <c r="AL299" i="7"/>
  <c r="AL41" i="7"/>
  <c r="AK320" i="7"/>
  <c r="AK466" i="7"/>
  <c r="AK464" i="7"/>
  <c r="AK463" i="7"/>
  <c r="AK467" i="7"/>
  <c r="AK471" i="7"/>
  <c r="AK491" i="7"/>
  <c r="AK495" i="7"/>
  <c r="AK515" i="7"/>
  <c r="AK519" i="7"/>
  <c r="AK523" i="7"/>
  <c r="AK488" i="7"/>
  <c r="AK492" i="7"/>
  <c r="AK496" i="7"/>
  <c r="AK516" i="7"/>
  <c r="AK520" i="7"/>
  <c r="AK458" i="7"/>
  <c r="AJ112" i="7"/>
  <c r="AK101" i="7"/>
  <c r="AK671" i="7"/>
  <c r="AK656" i="7" s="1"/>
  <c r="AK109" i="7" s="1"/>
  <c r="AK703" i="7"/>
  <c r="AK688" i="7" s="1"/>
  <c r="AK110" i="7" s="1"/>
  <c r="AJ120" i="7" l="1"/>
  <c r="AJ121" i="7" s="1"/>
  <c r="AL617" i="7"/>
  <c r="AL619" i="7" s="1"/>
  <c r="AM644" i="7"/>
  <c r="AM615" i="7"/>
  <c r="AL215" i="7"/>
  <c r="AL177" i="7"/>
  <c r="AL85" i="7"/>
  <c r="AL671" i="7"/>
  <c r="AL656" i="7" s="1"/>
  <c r="AL109" i="7" s="1"/>
  <c r="AL735" i="7"/>
  <c r="AL720" i="7" s="1"/>
  <c r="AL111" i="7" s="1"/>
  <c r="AL43" i="7"/>
  <c r="AL703" i="7"/>
  <c r="AL688" i="7" s="1"/>
  <c r="AL110" i="7" s="1"/>
  <c r="AL101" i="7"/>
  <c r="AM746" i="7"/>
  <c r="AM745" i="7"/>
  <c r="AM743" i="7"/>
  <c r="AM742" i="7"/>
  <c r="AM741" i="7"/>
  <c r="AM740" i="7"/>
  <c r="AM739" i="7"/>
  <c r="AM737" i="7"/>
  <c r="AM384" i="7"/>
  <c r="AM383" i="7"/>
  <c r="AM382" i="7"/>
  <c r="AM381" i="7"/>
  <c r="AM380" i="7"/>
  <c r="AM379" i="7"/>
  <c r="AM378" i="7"/>
  <c r="AM377" i="7"/>
  <c r="AM375" i="7"/>
  <c r="AM358" i="7"/>
  <c r="AM357" i="7"/>
  <c r="AM356" i="7"/>
  <c r="AM355" i="7"/>
  <c r="AM354" i="7"/>
  <c r="AM353" i="7"/>
  <c r="AM352" i="7"/>
  <c r="AM376" i="7"/>
  <c r="AM714" i="7"/>
  <c r="AM713" i="7"/>
  <c r="AM712" i="7"/>
  <c r="AM711" i="7"/>
  <c r="AM710" i="7"/>
  <c r="AM709" i="7"/>
  <c r="AM708" i="7"/>
  <c r="AM706" i="7"/>
  <c r="AM705" i="7"/>
  <c r="AM333" i="7"/>
  <c r="AM332" i="7"/>
  <c r="AM331" i="7"/>
  <c r="AM330" i="7"/>
  <c r="AM329" i="7"/>
  <c r="AM328" i="7"/>
  <c r="AM351" i="7"/>
  <c r="AM350" i="7"/>
  <c r="AM349" i="7"/>
  <c r="AM682" i="7"/>
  <c r="AM681" i="7"/>
  <c r="AM680" i="7"/>
  <c r="AM679" i="7"/>
  <c r="AM678" i="7"/>
  <c r="AM677" i="7"/>
  <c r="AM675" i="7"/>
  <c r="AM674" i="7"/>
  <c r="AM673" i="7"/>
  <c r="AM326" i="7"/>
  <c r="AM327" i="7"/>
  <c r="AM325" i="7"/>
  <c r="AM324" i="7"/>
  <c r="AM562" i="7"/>
  <c r="AM556" i="7"/>
  <c r="AM442" i="7"/>
  <c r="AM441" i="7"/>
  <c r="AM440" i="7"/>
  <c r="AM439" i="7"/>
  <c r="AM438" i="7"/>
  <c r="AM437" i="7"/>
  <c r="AM457" i="7"/>
  <c r="AM319" i="7"/>
  <c r="AM304" i="7"/>
  <c r="AM303" i="7"/>
  <c r="AM302" i="7"/>
  <c r="AM301" i="7"/>
  <c r="AM300" i="7"/>
  <c r="AM299" i="7"/>
  <c r="AM41" i="7"/>
  <c r="AL469" i="7"/>
  <c r="AL467" i="7"/>
  <c r="AL464" i="7"/>
  <c r="AL468" i="7"/>
  <c r="AL488" i="7"/>
  <c r="AL492" i="7"/>
  <c r="AL496" i="7"/>
  <c r="AL516" i="7"/>
  <c r="AL520" i="7"/>
  <c r="AL458" i="7"/>
  <c r="AL489" i="7"/>
  <c r="AL493" i="7"/>
  <c r="AL497" i="7"/>
  <c r="AL517" i="7"/>
  <c r="AL521" i="7"/>
  <c r="AK112" i="7"/>
  <c r="AL465" i="7"/>
  <c r="AL320" i="7"/>
  <c r="AL463" i="7"/>
  <c r="AL471" i="7"/>
  <c r="AL462" i="7"/>
  <c r="AL466" i="7"/>
  <c r="AL470" i="7"/>
  <c r="AL490" i="7"/>
  <c r="AL494" i="7"/>
  <c r="AL514" i="7"/>
  <c r="AL518" i="7"/>
  <c r="AL522" i="7"/>
  <c r="AL491" i="7"/>
  <c r="AL495" i="7"/>
  <c r="AL515" i="7"/>
  <c r="AL519" i="7"/>
  <c r="AL523" i="7"/>
  <c r="AM636" i="7"/>
  <c r="AK120" i="7" l="1"/>
  <c r="AK121" i="7" s="1"/>
  <c r="AM617" i="7"/>
  <c r="AM619" i="7" s="1"/>
  <c r="AN644" i="7"/>
  <c r="AN615" i="7"/>
  <c r="AM215" i="7"/>
  <c r="AM177" i="7"/>
  <c r="AM85" i="7"/>
  <c r="AL112" i="7"/>
  <c r="AM43" i="7"/>
  <c r="AM671" i="7"/>
  <c r="AM656" i="7" s="1"/>
  <c r="AM109" i="7" s="1"/>
  <c r="AM703" i="7"/>
  <c r="AM688" i="7" s="1"/>
  <c r="AM110" i="7" s="1"/>
  <c r="AM101" i="7"/>
  <c r="AM468" i="7"/>
  <c r="AM462" i="7"/>
  <c r="AM470" i="7"/>
  <c r="AM465" i="7"/>
  <c r="AM469" i="7"/>
  <c r="AM489" i="7"/>
  <c r="AM493" i="7"/>
  <c r="AM497" i="7"/>
  <c r="AM517" i="7"/>
  <c r="AM521" i="7"/>
  <c r="AM490" i="7"/>
  <c r="AM494" i="7"/>
  <c r="AM514" i="7"/>
  <c r="AM518" i="7"/>
  <c r="AM522" i="7"/>
  <c r="AN636" i="7"/>
  <c r="AM735" i="7"/>
  <c r="AM720" i="7" s="1"/>
  <c r="AM111" i="7" s="1"/>
  <c r="AN746" i="7"/>
  <c r="AN745" i="7"/>
  <c r="AN743" i="7"/>
  <c r="AN742" i="7"/>
  <c r="AN741" i="7"/>
  <c r="AN740" i="7"/>
  <c r="AN739" i="7"/>
  <c r="AN737" i="7"/>
  <c r="AN384" i="7"/>
  <c r="AN383" i="7"/>
  <c r="AN382" i="7"/>
  <c r="AN381" i="7"/>
  <c r="AN380" i="7"/>
  <c r="AN379" i="7"/>
  <c r="AN378" i="7"/>
  <c r="AN377" i="7"/>
  <c r="AN376" i="7"/>
  <c r="AN375" i="7"/>
  <c r="AN714" i="7"/>
  <c r="AN713" i="7"/>
  <c r="AN712" i="7"/>
  <c r="AN711" i="7"/>
  <c r="AN710" i="7"/>
  <c r="AN709" i="7"/>
  <c r="AN708" i="7"/>
  <c r="AN706" i="7"/>
  <c r="AN705" i="7"/>
  <c r="AN357" i="7"/>
  <c r="AN356" i="7"/>
  <c r="AN355" i="7"/>
  <c r="AN354" i="7"/>
  <c r="AN353" i="7"/>
  <c r="AN352" i="7"/>
  <c r="AN351" i="7"/>
  <c r="AN350" i="7"/>
  <c r="AN349" i="7"/>
  <c r="AN682" i="7"/>
  <c r="AN681" i="7"/>
  <c r="AN680" i="7"/>
  <c r="AN679" i="7"/>
  <c r="AN678" i="7"/>
  <c r="AN677" i="7"/>
  <c r="AN675" i="7"/>
  <c r="AN674" i="7"/>
  <c r="AN673" i="7"/>
  <c r="AN333" i="7"/>
  <c r="AN332" i="7"/>
  <c r="AN331" i="7"/>
  <c r="AN330" i="7"/>
  <c r="AN329" i="7"/>
  <c r="AN328" i="7"/>
  <c r="AN327" i="7"/>
  <c r="AN326" i="7"/>
  <c r="AN325" i="7"/>
  <c r="AN324" i="7"/>
  <c r="AN562" i="7"/>
  <c r="AN556" i="7"/>
  <c r="AN457" i="7"/>
  <c r="AN358" i="7"/>
  <c r="AN442" i="7"/>
  <c r="AN441" i="7"/>
  <c r="AN440" i="7"/>
  <c r="AN439" i="7"/>
  <c r="AN438" i="7"/>
  <c r="AN437" i="7"/>
  <c r="AN319" i="7"/>
  <c r="AN304" i="7"/>
  <c r="AN303" i="7"/>
  <c r="AN302" i="7"/>
  <c r="AN301" i="7"/>
  <c r="AN300" i="7"/>
  <c r="AN299" i="7"/>
  <c r="AN41" i="7"/>
  <c r="AM320" i="7"/>
  <c r="AM464" i="7"/>
  <c r="AM466" i="7"/>
  <c r="AM463" i="7"/>
  <c r="AM467" i="7"/>
  <c r="AM471" i="7"/>
  <c r="AM491" i="7"/>
  <c r="AM495" i="7"/>
  <c r="AM515" i="7"/>
  <c r="AM519" i="7"/>
  <c r="AM523" i="7"/>
  <c r="AM488" i="7"/>
  <c r="AM492" i="7"/>
  <c r="AM496" i="7"/>
  <c r="AM516" i="7"/>
  <c r="AM520" i="7"/>
  <c r="AM458" i="7"/>
  <c r="AL120" i="7" l="1"/>
  <c r="AL121" i="7" s="1"/>
  <c r="AN617" i="7"/>
  <c r="AN619" i="7" s="1"/>
  <c r="AO644" i="7"/>
  <c r="AO615" i="7"/>
  <c r="AN215" i="7"/>
  <c r="AN177" i="7"/>
  <c r="AN85" i="7"/>
  <c r="AM112" i="7"/>
  <c r="AN467" i="7"/>
  <c r="AN320" i="7"/>
  <c r="AN465" i="7"/>
  <c r="AN464" i="7"/>
  <c r="AN468" i="7"/>
  <c r="AN488" i="7"/>
  <c r="AN492" i="7"/>
  <c r="AN496" i="7"/>
  <c r="AN516" i="7"/>
  <c r="AN520" i="7"/>
  <c r="AN458" i="7"/>
  <c r="AN489" i="7"/>
  <c r="AN493" i="7"/>
  <c r="AN497" i="7"/>
  <c r="AN517" i="7"/>
  <c r="AN521" i="7"/>
  <c r="AO746" i="7"/>
  <c r="AO745" i="7"/>
  <c r="AO743" i="7"/>
  <c r="AO742" i="7"/>
  <c r="AO741" i="7"/>
  <c r="AO740" i="7"/>
  <c r="AO739" i="7"/>
  <c r="AO384" i="7"/>
  <c r="AO382" i="7"/>
  <c r="AO381" i="7"/>
  <c r="AO380" i="7"/>
  <c r="AO379" i="7"/>
  <c r="AO378" i="7"/>
  <c r="AO377" i="7"/>
  <c r="AO737" i="7"/>
  <c r="AO376" i="7"/>
  <c r="AO358" i="7"/>
  <c r="AO357" i="7"/>
  <c r="AO356" i="7"/>
  <c r="AO355" i="7"/>
  <c r="AO354" i="7"/>
  <c r="AO353" i="7"/>
  <c r="AO352" i="7"/>
  <c r="AO375" i="7"/>
  <c r="AO714" i="7"/>
  <c r="AO713" i="7"/>
  <c r="AO712" i="7"/>
  <c r="AO711" i="7"/>
  <c r="AO710" i="7"/>
  <c r="AO709" i="7"/>
  <c r="AO708" i="7"/>
  <c r="AO706" i="7"/>
  <c r="AO705" i="7"/>
  <c r="AO351" i="7"/>
  <c r="AO333" i="7"/>
  <c r="AO332" i="7"/>
  <c r="AO331" i="7"/>
  <c r="AO330" i="7"/>
  <c r="AO329" i="7"/>
  <c r="AO328" i="7"/>
  <c r="AO350" i="7"/>
  <c r="AO349" i="7"/>
  <c r="AO682" i="7"/>
  <c r="AO681" i="7"/>
  <c r="AO680" i="7"/>
  <c r="AO679" i="7"/>
  <c r="AO678" i="7"/>
  <c r="AO677" i="7"/>
  <c r="AO675" i="7"/>
  <c r="AO674" i="7"/>
  <c r="AO673" i="7"/>
  <c r="AO327" i="7"/>
  <c r="AO326" i="7"/>
  <c r="AO325" i="7"/>
  <c r="AO324" i="7"/>
  <c r="AO562" i="7"/>
  <c r="AO556" i="7"/>
  <c r="AO442" i="7"/>
  <c r="AO441" i="7"/>
  <c r="AO440" i="7"/>
  <c r="AO439" i="7"/>
  <c r="AO438" i="7"/>
  <c r="AO437" i="7"/>
  <c r="AO383" i="7"/>
  <c r="AO457" i="7"/>
  <c r="AO319" i="7"/>
  <c r="AO304" i="7"/>
  <c r="AO303" i="7"/>
  <c r="AO302" i="7"/>
  <c r="AO301" i="7"/>
  <c r="AO300" i="7"/>
  <c r="AO299" i="7"/>
  <c r="AO41" i="7"/>
  <c r="AN463" i="7"/>
  <c r="AN471" i="7"/>
  <c r="AN469" i="7"/>
  <c r="AN462" i="7"/>
  <c r="AN466" i="7"/>
  <c r="AN470" i="7"/>
  <c r="AN490" i="7"/>
  <c r="AN494" i="7"/>
  <c r="AN514" i="7"/>
  <c r="AN518" i="7"/>
  <c r="AN522" i="7"/>
  <c r="AN491" i="7"/>
  <c r="AN495" i="7"/>
  <c r="AN515" i="7"/>
  <c r="AN519" i="7"/>
  <c r="AN523" i="7"/>
  <c r="AO636" i="7"/>
  <c r="AN43" i="7"/>
  <c r="AN101" i="7"/>
  <c r="AN671" i="7"/>
  <c r="AN656" i="7" s="1"/>
  <c r="AN109" i="7" s="1"/>
  <c r="AN703" i="7"/>
  <c r="AN688" i="7" s="1"/>
  <c r="AN110" i="7" s="1"/>
  <c r="AN735" i="7"/>
  <c r="AN720" i="7" s="1"/>
  <c r="AN111" i="7" s="1"/>
  <c r="AM120" i="7" l="1"/>
  <c r="AM121" i="7" s="1"/>
  <c r="AO617" i="7"/>
  <c r="AO619" i="7" s="1"/>
  <c r="AP615" i="7"/>
  <c r="AO215" i="7"/>
  <c r="AO177" i="7"/>
  <c r="AO85" i="7"/>
  <c r="AO43" i="7"/>
  <c r="AO671" i="7"/>
  <c r="AO656" i="7" s="1"/>
  <c r="AO109" i="7" s="1"/>
  <c r="AO703" i="7"/>
  <c r="AO688" i="7" s="1"/>
  <c r="AO110" i="7" s="1"/>
  <c r="AO101" i="7"/>
  <c r="AO462" i="7"/>
  <c r="AO470" i="7"/>
  <c r="AO468" i="7"/>
  <c r="AO465" i="7"/>
  <c r="AO469" i="7"/>
  <c r="AO489" i="7"/>
  <c r="AO493" i="7"/>
  <c r="AO497" i="7"/>
  <c r="AO517" i="7"/>
  <c r="AO521" i="7"/>
  <c r="AO490" i="7"/>
  <c r="AO494" i="7"/>
  <c r="AO514" i="7"/>
  <c r="AO518" i="7"/>
  <c r="AO522" i="7"/>
  <c r="AP636" i="7"/>
  <c r="AO735" i="7"/>
  <c r="AO720" i="7" s="1"/>
  <c r="AO111" i="7" s="1"/>
  <c r="AP746" i="7"/>
  <c r="AP745" i="7"/>
  <c r="AP743" i="7"/>
  <c r="AP742" i="7"/>
  <c r="AP741" i="7"/>
  <c r="AP740" i="7"/>
  <c r="AP739" i="7"/>
  <c r="AP737" i="7"/>
  <c r="B734" i="7"/>
  <c r="B733" i="7"/>
  <c r="B732" i="7"/>
  <c r="B731" i="7"/>
  <c r="B730" i="7"/>
  <c r="B729" i="7"/>
  <c r="B728" i="7"/>
  <c r="B727" i="7"/>
  <c r="B726" i="7"/>
  <c r="AP375" i="7"/>
  <c r="AP714" i="7"/>
  <c r="B714" i="7" s="1"/>
  <c r="AP713" i="7"/>
  <c r="B713" i="7" s="1"/>
  <c r="AP712" i="7"/>
  <c r="B712" i="7" s="1"/>
  <c r="AP711" i="7"/>
  <c r="B711" i="7" s="1"/>
  <c r="AP710" i="7"/>
  <c r="B710" i="7" s="1"/>
  <c r="AP709" i="7"/>
  <c r="B709" i="7" s="1"/>
  <c r="AP708" i="7"/>
  <c r="B708" i="7" s="1"/>
  <c r="AP706" i="7"/>
  <c r="AP705" i="7"/>
  <c r="B702" i="7"/>
  <c r="B701" i="7"/>
  <c r="B700" i="7"/>
  <c r="B699" i="7"/>
  <c r="B698" i="7"/>
  <c r="B697" i="7"/>
  <c r="B696" i="7"/>
  <c r="B695" i="7"/>
  <c r="B694" i="7"/>
  <c r="AP349" i="7"/>
  <c r="AP682" i="7"/>
  <c r="B682" i="7" s="1"/>
  <c r="AP681" i="7"/>
  <c r="B681" i="7" s="1"/>
  <c r="AP680" i="7"/>
  <c r="B680" i="7" s="1"/>
  <c r="AP679" i="7"/>
  <c r="B679" i="7" s="1"/>
  <c r="AP678" i="7"/>
  <c r="B678" i="7" s="1"/>
  <c r="AP677" i="7"/>
  <c r="B677" i="7" s="1"/>
  <c r="AP675" i="7"/>
  <c r="AP674" i="7"/>
  <c r="AP673" i="7"/>
  <c r="B670" i="7"/>
  <c r="B669" i="7"/>
  <c r="B668" i="7"/>
  <c r="B667" i="7"/>
  <c r="B666" i="7"/>
  <c r="B665" i="7"/>
  <c r="B664" i="7"/>
  <c r="B663" i="7"/>
  <c r="B662" i="7"/>
  <c r="AP324" i="7"/>
  <c r="AP562" i="7"/>
  <c r="AP556" i="7"/>
  <c r="AP457" i="7"/>
  <c r="AP358" i="7"/>
  <c r="AP442" i="7"/>
  <c r="AP441" i="7"/>
  <c r="AP440" i="7"/>
  <c r="AP439" i="7"/>
  <c r="AP438" i="7"/>
  <c r="AP437" i="7"/>
  <c r="B437" i="7" s="1" a="1"/>
  <c r="B437" i="7" s="1"/>
  <c r="AP319" i="7"/>
  <c r="AP304" i="7"/>
  <c r="B304" i="7" s="1" a="1"/>
  <c r="B304" i="7" s="1"/>
  <c r="AP303" i="7"/>
  <c r="B303" i="7" s="1" a="1"/>
  <c r="B303" i="7" s="1"/>
  <c r="AP302" i="7"/>
  <c r="B302" i="7" s="1" a="1"/>
  <c r="B302" i="7" s="1"/>
  <c r="AP301" i="7"/>
  <c r="B301" i="7" s="1" a="1"/>
  <c r="B301" i="7" s="1"/>
  <c r="AP300" i="7"/>
  <c r="B300" i="7" s="1" a="1"/>
  <c r="B300" i="7" s="1"/>
  <c r="AP299" i="7"/>
  <c r="B299" i="7" s="1" a="1"/>
  <c r="B299" i="7" s="1"/>
  <c r="AP41" i="7"/>
  <c r="AO320" i="7"/>
  <c r="AO466" i="7"/>
  <c r="AO464" i="7"/>
  <c r="AO463" i="7"/>
  <c r="AO467" i="7"/>
  <c r="AO471" i="7"/>
  <c r="AO491" i="7"/>
  <c r="AO495" i="7"/>
  <c r="AO515" i="7"/>
  <c r="AO519" i="7"/>
  <c r="AO523" i="7"/>
  <c r="AO488" i="7"/>
  <c r="AO492" i="7"/>
  <c r="AO496" i="7"/>
  <c r="AO516" i="7"/>
  <c r="AO520" i="7"/>
  <c r="AO458" i="7"/>
  <c r="AN112" i="7"/>
  <c r="AO478" i="7" l="1"/>
  <c r="AO535" i="7"/>
  <c r="AN477" i="7"/>
  <c r="AO528" i="7"/>
  <c r="AO532" i="7"/>
  <c r="AO507" i="7"/>
  <c r="AO504" i="7"/>
  <c r="AO508" i="7"/>
  <c r="AO531" i="7"/>
  <c r="AO336" i="7"/>
  <c r="AN483" i="7"/>
  <c r="AO363" i="7"/>
  <c r="AN529" i="7"/>
  <c r="AN476" i="7"/>
  <c r="AO391" i="7"/>
  <c r="AN481" i="7"/>
  <c r="AN504" i="7"/>
  <c r="AN508" i="7"/>
  <c r="AN531" i="7"/>
  <c r="AP370" i="7"/>
  <c r="AN478" i="7"/>
  <c r="AN501" i="7"/>
  <c r="AN509" i="7"/>
  <c r="AO389" i="7"/>
  <c r="AO393" i="7"/>
  <c r="AO527" i="7"/>
  <c r="AO475" i="7"/>
  <c r="AO483" i="7"/>
  <c r="AO476" i="7"/>
  <c r="AO503" i="7"/>
  <c r="AO529" i="7"/>
  <c r="AN502" i="7"/>
  <c r="AO479" i="7"/>
  <c r="AO362" i="7"/>
  <c r="E340" i="7"/>
  <c r="D340" i="7"/>
  <c r="H340" i="7"/>
  <c r="G340" i="7"/>
  <c r="F340" i="7"/>
  <c r="C340" i="7"/>
  <c r="I340" i="7"/>
  <c r="J340" i="7"/>
  <c r="C479" i="7"/>
  <c r="E479" i="7"/>
  <c r="D479" i="7"/>
  <c r="G479" i="7"/>
  <c r="H479" i="7"/>
  <c r="F479" i="7"/>
  <c r="I479" i="7"/>
  <c r="K340" i="7"/>
  <c r="J479" i="7"/>
  <c r="K479" i="7"/>
  <c r="L340" i="7"/>
  <c r="L479" i="7"/>
  <c r="M340" i="7"/>
  <c r="M479" i="7"/>
  <c r="N340" i="7"/>
  <c r="O340" i="7"/>
  <c r="N479" i="7"/>
  <c r="P340" i="7"/>
  <c r="O479" i="7"/>
  <c r="Q340" i="7"/>
  <c r="P479" i="7"/>
  <c r="R340" i="7"/>
  <c r="Q479" i="7"/>
  <c r="S340" i="7"/>
  <c r="R479" i="7"/>
  <c r="T340" i="7"/>
  <c r="S479" i="7"/>
  <c r="T479" i="7"/>
  <c r="U340" i="7"/>
  <c r="U479" i="7"/>
  <c r="V340" i="7"/>
  <c r="V479" i="7"/>
  <c r="W340" i="7"/>
  <c r="X340" i="7"/>
  <c r="W479" i="7"/>
  <c r="Y340" i="7"/>
  <c r="X479" i="7"/>
  <c r="Y479" i="7"/>
  <c r="Z340" i="7"/>
  <c r="Z479" i="7"/>
  <c r="AA340" i="7"/>
  <c r="AB340" i="7"/>
  <c r="AA479" i="7"/>
  <c r="AC340" i="7"/>
  <c r="AB479" i="7"/>
  <c r="AC479" i="7"/>
  <c r="AD340" i="7"/>
  <c r="AD479" i="7"/>
  <c r="AE340" i="7"/>
  <c r="AF340" i="7"/>
  <c r="AE479" i="7"/>
  <c r="AF479" i="7"/>
  <c r="AG340" i="7"/>
  <c r="AG479" i="7"/>
  <c r="AH340" i="7"/>
  <c r="AH479" i="7"/>
  <c r="AI340" i="7"/>
  <c r="AI479" i="7"/>
  <c r="AJ340" i="7"/>
  <c r="AJ479" i="7"/>
  <c r="AK340" i="7"/>
  <c r="AK479" i="7"/>
  <c r="AL340" i="7"/>
  <c r="AL479" i="7"/>
  <c r="AM340" i="7"/>
  <c r="AN340" i="7"/>
  <c r="AM479" i="7"/>
  <c r="C363" i="7"/>
  <c r="F363" i="7"/>
  <c r="D363" i="7"/>
  <c r="C502" i="7"/>
  <c r="E363" i="7"/>
  <c r="D502" i="7"/>
  <c r="G363" i="7"/>
  <c r="E502" i="7"/>
  <c r="F502" i="7"/>
  <c r="G502" i="7"/>
  <c r="H363" i="7"/>
  <c r="I363" i="7"/>
  <c r="H502" i="7"/>
  <c r="I502" i="7"/>
  <c r="J363" i="7"/>
  <c r="J502" i="7"/>
  <c r="K363" i="7"/>
  <c r="L363" i="7"/>
  <c r="K502" i="7"/>
  <c r="M363" i="7"/>
  <c r="L502" i="7"/>
  <c r="M502" i="7"/>
  <c r="N363" i="7"/>
  <c r="N502" i="7"/>
  <c r="O363" i="7"/>
  <c r="P363" i="7"/>
  <c r="O502" i="7"/>
  <c r="P502" i="7"/>
  <c r="Q363" i="7"/>
  <c r="R363" i="7"/>
  <c r="Q502" i="7"/>
  <c r="R502" i="7"/>
  <c r="S363" i="7"/>
  <c r="T363" i="7"/>
  <c r="S502" i="7"/>
  <c r="U363" i="7"/>
  <c r="T502" i="7"/>
  <c r="V363" i="7"/>
  <c r="U502" i="7"/>
  <c r="V502" i="7"/>
  <c r="W363" i="7"/>
  <c r="W502" i="7"/>
  <c r="X363" i="7"/>
  <c r="Y363" i="7"/>
  <c r="X502" i="7"/>
  <c r="Y502" i="7"/>
  <c r="Z363" i="7"/>
  <c r="Z502" i="7"/>
  <c r="AA363" i="7"/>
  <c r="AA502" i="7"/>
  <c r="AB363" i="7"/>
  <c r="AB502" i="7"/>
  <c r="AC363" i="7"/>
  <c r="AC502" i="7"/>
  <c r="AD363" i="7"/>
  <c r="AD502" i="7"/>
  <c r="AE363" i="7"/>
  <c r="AF363" i="7"/>
  <c r="AE502" i="7"/>
  <c r="AG363" i="7"/>
  <c r="AF502" i="7"/>
  <c r="AG502" i="7"/>
  <c r="AH363" i="7"/>
  <c r="AI363" i="7"/>
  <c r="AH502" i="7"/>
  <c r="AI502" i="7"/>
  <c r="AJ363" i="7"/>
  <c r="AK363" i="7"/>
  <c r="AJ502" i="7"/>
  <c r="AK502" i="7"/>
  <c r="AL363" i="7"/>
  <c r="AL502" i="7"/>
  <c r="AM363" i="7"/>
  <c r="AN363" i="7"/>
  <c r="AM502" i="7"/>
  <c r="H394" i="7"/>
  <c r="D394" i="7"/>
  <c r="E394" i="7"/>
  <c r="G394" i="7"/>
  <c r="F394" i="7"/>
  <c r="C394" i="7"/>
  <c r="I394" i="7"/>
  <c r="J394" i="7"/>
  <c r="K394" i="7"/>
  <c r="J533" i="7"/>
  <c r="L394" i="7"/>
  <c r="I533" i="7"/>
  <c r="H533" i="7"/>
  <c r="C533" i="7"/>
  <c r="E533" i="7"/>
  <c r="G533" i="7"/>
  <c r="K533" i="7"/>
  <c r="F533" i="7"/>
  <c r="D533" i="7"/>
  <c r="L533" i="7"/>
  <c r="M394" i="7"/>
  <c r="M533" i="7"/>
  <c r="N394" i="7"/>
  <c r="N533" i="7"/>
  <c r="O394" i="7"/>
  <c r="P394" i="7"/>
  <c r="O533" i="7"/>
  <c r="P533" i="7"/>
  <c r="Q394" i="7"/>
  <c r="R394" i="7"/>
  <c r="Q533" i="7"/>
  <c r="R533" i="7"/>
  <c r="S394" i="7"/>
  <c r="T394" i="7"/>
  <c r="S533" i="7"/>
  <c r="U394" i="7"/>
  <c r="T533" i="7"/>
  <c r="V394" i="7"/>
  <c r="U533" i="7"/>
  <c r="V533" i="7"/>
  <c r="W394" i="7"/>
  <c r="W533" i="7"/>
  <c r="X394" i="7"/>
  <c r="X533" i="7"/>
  <c r="Y394" i="7"/>
  <c r="Y533" i="7"/>
  <c r="Z394" i="7"/>
  <c r="Z533" i="7"/>
  <c r="AA394" i="7"/>
  <c r="AB394" i="7"/>
  <c r="AA533" i="7"/>
  <c r="AC394" i="7"/>
  <c r="AB533" i="7"/>
  <c r="AC533" i="7"/>
  <c r="AD394" i="7"/>
  <c r="AE394" i="7"/>
  <c r="AD533" i="7"/>
  <c r="AF394" i="7"/>
  <c r="AE533" i="7"/>
  <c r="AG394" i="7"/>
  <c r="AF533" i="7"/>
  <c r="AH394" i="7"/>
  <c r="AG533" i="7"/>
  <c r="AI394" i="7"/>
  <c r="AH533" i="7"/>
  <c r="AI533" i="7"/>
  <c r="AJ394" i="7"/>
  <c r="AK394" i="7"/>
  <c r="AJ533" i="7"/>
  <c r="AL394" i="7"/>
  <c r="AK533" i="7"/>
  <c r="AL533" i="7"/>
  <c r="AM394" i="7"/>
  <c r="AN394" i="7"/>
  <c r="AM533" i="7"/>
  <c r="AO506" i="7"/>
  <c r="AO477" i="7"/>
  <c r="AN528" i="7"/>
  <c r="AN532" i="7"/>
  <c r="AO344" i="7"/>
  <c r="AO337" i="7"/>
  <c r="G341" i="7"/>
  <c r="F341" i="7"/>
  <c r="H341" i="7"/>
  <c r="D341" i="7"/>
  <c r="C341" i="7"/>
  <c r="I341" i="7"/>
  <c r="E341" i="7"/>
  <c r="J341" i="7"/>
  <c r="C480" i="7"/>
  <c r="K341" i="7"/>
  <c r="J480" i="7"/>
  <c r="I480" i="7"/>
  <c r="D480" i="7"/>
  <c r="F480" i="7"/>
  <c r="E480" i="7"/>
  <c r="G480" i="7"/>
  <c r="H480" i="7"/>
  <c r="L341" i="7"/>
  <c r="K480" i="7"/>
  <c r="M341" i="7"/>
  <c r="L480" i="7"/>
  <c r="N341" i="7"/>
  <c r="M480" i="7"/>
  <c r="O341" i="7"/>
  <c r="N480" i="7"/>
  <c r="P341" i="7"/>
  <c r="O480" i="7"/>
  <c r="P480" i="7"/>
  <c r="Q341" i="7"/>
  <c r="R341" i="7"/>
  <c r="Q480" i="7"/>
  <c r="S341" i="7"/>
  <c r="R480" i="7"/>
  <c r="T341" i="7"/>
  <c r="S480" i="7"/>
  <c r="T480" i="7"/>
  <c r="U341" i="7"/>
  <c r="V341" i="7"/>
  <c r="U480" i="7"/>
  <c r="V480" i="7"/>
  <c r="W341" i="7"/>
  <c r="X341" i="7"/>
  <c r="W480" i="7"/>
  <c r="Y341" i="7"/>
  <c r="X480" i="7"/>
  <c r="Z341" i="7"/>
  <c r="Y480" i="7"/>
  <c r="AA341" i="7"/>
  <c r="Z480" i="7"/>
  <c r="AB341" i="7"/>
  <c r="AA480" i="7"/>
  <c r="AC341" i="7"/>
  <c r="AB480" i="7"/>
  <c r="AD341" i="7"/>
  <c r="AC480" i="7"/>
  <c r="AE341" i="7"/>
  <c r="AD480" i="7"/>
  <c r="AF341" i="7"/>
  <c r="AE480" i="7"/>
  <c r="AG341" i="7"/>
  <c r="AF480" i="7"/>
  <c r="AH341" i="7"/>
  <c r="AG480" i="7"/>
  <c r="AI341" i="7"/>
  <c r="AH480" i="7"/>
  <c r="AI480" i="7"/>
  <c r="AJ341" i="7"/>
  <c r="AJ480" i="7"/>
  <c r="AK341" i="7"/>
  <c r="AK480" i="7"/>
  <c r="AL341" i="7"/>
  <c r="AM341" i="7"/>
  <c r="AL480" i="7"/>
  <c r="AM480" i="7"/>
  <c r="AN341" i="7"/>
  <c r="D364" i="7"/>
  <c r="F364" i="7"/>
  <c r="G364" i="7"/>
  <c r="E364" i="7"/>
  <c r="C364" i="7"/>
  <c r="G503" i="7"/>
  <c r="C503" i="7"/>
  <c r="H364" i="7"/>
  <c r="E503" i="7"/>
  <c r="F503" i="7"/>
  <c r="D503" i="7"/>
  <c r="I364" i="7"/>
  <c r="H503" i="7"/>
  <c r="I503" i="7"/>
  <c r="J364" i="7"/>
  <c r="J503" i="7"/>
  <c r="K364" i="7"/>
  <c r="L364" i="7"/>
  <c r="K503" i="7"/>
  <c r="L503" i="7"/>
  <c r="M364" i="7"/>
  <c r="M503" i="7"/>
  <c r="N364" i="7"/>
  <c r="N503" i="7"/>
  <c r="O364" i="7"/>
  <c r="P364" i="7"/>
  <c r="O503" i="7"/>
  <c r="Q364" i="7"/>
  <c r="P503" i="7"/>
  <c r="R364" i="7"/>
  <c r="Q503" i="7"/>
  <c r="R503" i="7"/>
  <c r="S364" i="7"/>
  <c r="T364" i="7"/>
  <c r="S503" i="7"/>
  <c r="U364" i="7"/>
  <c r="T503" i="7"/>
  <c r="V364" i="7"/>
  <c r="U503" i="7"/>
  <c r="V503" i="7"/>
  <c r="W364" i="7"/>
  <c r="X364" i="7"/>
  <c r="W503" i="7"/>
  <c r="Y364" i="7"/>
  <c r="X503" i="7"/>
  <c r="Z364" i="7"/>
  <c r="Y503" i="7"/>
  <c r="Z503" i="7"/>
  <c r="AA364" i="7"/>
  <c r="AA503" i="7"/>
  <c r="AB364" i="7"/>
  <c r="AC364" i="7"/>
  <c r="AB503" i="7"/>
  <c r="AD364" i="7"/>
  <c r="AC503" i="7"/>
  <c r="AE364" i="7"/>
  <c r="AD503" i="7"/>
  <c r="AF364" i="7"/>
  <c r="AE503" i="7"/>
  <c r="AF503" i="7"/>
  <c r="AG364" i="7"/>
  <c r="AG503" i="7"/>
  <c r="AH364" i="7"/>
  <c r="AH503" i="7"/>
  <c r="AI364" i="7"/>
  <c r="AJ364" i="7"/>
  <c r="AI503" i="7"/>
  <c r="AK364" i="7"/>
  <c r="AJ503" i="7"/>
  <c r="AK503" i="7"/>
  <c r="AL364" i="7"/>
  <c r="AL503" i="7"/>
  <c r="AM364" i="7"/>
  <c r="AM503" i="7"/>
  <c r="AN364" i="7"/>
  <c r="E395" i="7"/>
  <c r="D395" i="7"/>
  <c r="F395" i="7"/>
  <c r="L395" i="7"/>
  <c r="C395" i="7"/>
  <c r="K395" i="7"/>
  <c r="J395" i="7"/>
  <c r="I395" i="7"/>
  <c r="H395" i="7"/>
  <c r="G395" i="7"/>
  <c r="L534" i="7"/>
  <c r="M395" i="7"/>
  <c r="G534" i="7"/>
  <c r="C534" i="7"/>
  <c r="H534" i="7"/>
  <c r="F534" i="7"/>
  <c r="E534" i="7"/>
  <c r="I534" i="7"/>
  <c r="D534" i="7"/>
  <c r="J534" i="7"/>
  <c r="K534" i="7"/>
  <c r="M534" i="7"/>
  <c r="N395" i="7"/>
  <c r="O395" i="7"/>
  <c r="N534" i="7"/>
  <c r="O534" i="7"/>
  <c r="P395" i="7"/>
  <c r="Q395" i="7"/>
  <c r="P534" i="7"/>
  <c r="Q534" i="7"/>
  <c r="R395" i="7"/>
  <c r="R534" i="7"/>
  <c r="S395" i="7"/>
  <c r="S534" i="7"/>
  <c r="T395" i="7"/>
  <c r="U395" i="7"/>
  <c r="T534" i="7"/>
  <c r="U534" i="7"/>
  <c r="V395" i="7"/>
  <c r="W395" i="7"/>
  <c r="V534" i="7"/>
  <c r="W534" i="7"/>
  <c r="X395" i="7"/>
  <c r="X534" i="7"/>
  <c r="Y395" i="7"/>
  <c r="Y534" i="7"/>
  <c r="Z395" i="7"/>
  <c r="AA395" i="7"/>
  <c r="Z534" i="7"/>
  <c r="AA534" i="7"/>
  <c r="AB395" i="7"/>
  <c r="AC395" i="7"/>
  <c r="AB534" i="7"/>
  <c r="AD395" i="7"/>
  <c r="AC534" i="7"/>
  <c r="AE395" i="7"/>
  <c r="AD534" i="7"/>
  <c r="AE534" i="7"/>
  <c r="AF395" i="7"/>
  <c r="AF534" i="7"/>
  <c r="AG395" i="7"/>
  <c r="AG534" i="7"/>
  <c r="AH395" i="7"/>
  <c r="AH534" i="7"/>
  <c r="AI395" i="7"/>
  <c r="AJ395" i="7"/>
  <c r="AI534" i="7"/>
  <c r="AK395" i="7"/>
  <c r="AJ534" i="7"/>
  <c r="AK534" i="7"/>
  <c r="AL395" i="7"/>
  <c r="AM395" i="7"/>
  <c r="AL534" i="7"/>
  <c r="AM534" i="7"/>
  <c r="AN395" i="7"/>
  <c r="AO502" i="7"/>
  <c r="AO480" i="7"/>
  <c r="AO339" i="7"/>
  <c r="AO394" i="7"/>
  <c r="AN534" i="7"/>
  <c r="AN503" i="7"/>
  <c r="H342" i="7"/>
  <c r="G342" i="7"/>
  <c r="K342" i="7"/>
  <c r="F342" i="7"/>
  <c r="I342" i="7"/>
  <c r="J342" i="7"/>
  <c r="C342" i="7"/>
  <c r="D342" i="7"/>
  <c r="E342" i="7"/>
  <c r="G481" i="7"/>
  <c r="H481" i="7"/>
  <c r="D481" i="7"/>
  <c r="C481" i="7"/>
  <c r="I481" i="7"/>
  <c r="F481" i="7"/>
  <c r="L342" i="7"/>
  <c r="K481" i="7"/>
  <c r="J481" i="7"/>
  <c r="E481" i="7"/>
  <c r="L481" i="7"/>
  <c r="M342" i="7"/>
  <c r="M481" i="7"/>
  <c r="N342" i="7"/>
  <c r="N481" i="7"/>
  <c r="O342" i="7"/>
  <c r="O481" i="7"/>
  <c r="P342" i="7"/>
  <c r="P481" i="7"/>
  <c r="Q342" i="7"/>
  <c r="Q481" i="7"/>
  <c r="R342" i="7"/>
  <c r="R481" i="7"/>
  <c r="S342" i="7"/>
  <c r="S481" i="7"/>
  <c r="T342" i="7"/>
  <c r="U342" i="7"/>
  <c r="T481" i="7"/>
  <c r="V342" i="7"/>
  <c r="U481" i="7"/>
  <c r="V481" i="7"/>
  <c r="W342" i="7"/>
  <c r="X342" i="7"/>
  <c r="W481" i="7"/>
  <c r="X481" i="7"/>
  <c r="Y342" i="7"/>
  <c r="Y481" i="7"/>
  <c r="Z342" i="7"/>
  <c r="Z481" i="7"/>
  <c r="AA342" i="7"/>
  <c r="AB342" i="7"/>
  <c r="AA481" i="7"/>
  <c r="AB481" i="7"/>
  <c r="AC342" i="7"/>
  <c r="AC481" i="7"/>
  <c r="AD342" i="7"/>
  <c r="AE342" i="7"/>
  <c r="AD481" i="7"/>
  <c r="AF342" i="7"/>
  <c r="AE481" i="7"/>
  <c r="AG342" i="7"/>
  <c r="AF481" i="7"/>
  <c r="AH342" i="7"/>
  <c r="AG481" i="7"/>
  <c r="AI342" i="7"/>
  <c r="AH481" i="7"/>
  <c r="AJ342" i="7"/>
  <c r="AI481" i="7"/>
  <c r="AJ481" i="7"/>
  <c r="AK342" i="7"/>
  <c r="AK481" i="7"/>
  <c r="AL342" i="7"/>
  <c r="AM342" i="7"/>
  <c r="AL481" i="7"/>
  <c r="AM481" i="7"/>
  <c r="AN342" i="7"/>
  <c r="E365" i="7"/>
  <c r="C365" i="7"/>
  <c r="D365" i="7"/>
  <c r="G365" i="7"/>
  <c r="H365" i="7"/>
  <c r="F365" i="7"/>
  <c r="D504" i="7"/>
  <c r="C504" i="7"/>
  <c r="F504" i="7"/>
  <c r="G504" i="7"/>
  <c r="H504" i="7"/>
  <c r="E504" i="7"/>
  <c r="I365" i="7"/>
  <c r="J365" i="7"/>
  <c r="I504" i="7"/>
  <c r="K365" i="7"/>
  <c r="J504" i="7"/>
  <c r="K504" i="7"/>
  <c r="L365" i="7"/>
  <c r="L504" i="7"/>
  <c r="M365" i="7"/>
  <c r="N365" i="7"/>
  <c r="M504" i="7"/>
  <c r="N504" i="7"/>
  <c r="O365" i="7"/>
  <c r="P365" i="7"/>
  <c r="O504" i="7"/>
  <c r="P504" i="7"/>
  <c r="Q365" i="7"/>
  <c r="R365" i="7"/>
  <c r="Q504" i="7"/>
  <c r="S365" i="7"/>
  <c r="R504" i="7"/>
  <c r="T365" i="7"/>
  <c r="S504" i="7"/>
  <c r="T504" i="7"/>
  <c r="U365" i="7"/>
  <c r="U504" i="7"/>
  <c r="V365" i="7"/>
  <c r="W365" i="7"/>
  <c r="V504" i="7"/>
  <c r="X365" i="7"/>
  <c r="W504" i="7"/>
  <c r="X504" i="7"/>
  <c r="Y365" i="7"/>
  <c r="Y504" i="7"/>
  <c r="Z365" i="7"/>
  <c r="AA365" i="7"/>
  <c r="Z504" i="7"/>
  <c r="AA504" i="7"/>
  <c r="AB365" i="7"/>
  <c r="AB504" i="7"/>
  <c r="AC365" i="7"/>
  <c r="AC504" i="7"/>
  <c r="AD365" i="7"/>
  <c r="AE365" i="7"/>
  <c r="AD504" i="7"/>
  <c r="AE504" i="7"/>
  <c r="AF365" i="7"/>
  <c r="AG365" i="7"/>
  <c r="AF504" i="7"/>
  <c r="AH365" i="7"/>
  <c r="AG504" i="7"/>
  <c r="AI365" i="7"/>
  <c r="AH504" i="7"/>
  <c r="AI504" i="7"/>
  <c r="AJ365" i="7"/>
  <c r="AK365" i="7"/>
  <c r="AJ504" i="7"/>
  <c r="AL365" i="7"/>
  <c r="AK504" i="7"/>
  <c r="AM365" i="7"/>
  <c r="AL504" i="7"/>
  <c r="AM504" i="7"/>
  <c r="AN365" i="7"/>
  <c r="C388" i="7"/>
  <c r="C527" i="7"/>
  <c r="D388" i="7"/>
  <c r="F388" i="7"/>
  <c r="D527" i="7"/>
  <c r="E388" i="7"/>
  <c r="G388" i="7"/>
  <c r="E527" i="7"/>
  <c r="F527" i="7"/>
  <c r="G527" i="7"/>
  <c r="H388" i="7"/>
  <c r="I388" i="7"/>
  <c r="H527" i="7"/>
  <c r="J388" i="7"/>
  <c r="I527" i="7"/>
  <c r="J527" i="7"/>
  <c r="K388" i="7"/>
  <c r="L388" i="7"/>
  <c r="K527" i="7"/>
  <c r="L527" i="7"/>
  <c r="M388" i="7"/>
  <c r="M527" i="7"/>
  <c r="N388" i="7"/>
  <c r="N527" i="7"/>
  <c r="O388" i="7"/>
  <c r="P388" i="7"/>
  <c r="O527" i="7"/>
  <c r="Q388" i="7"/>
  <c r="P527" i="7"/>
  <c r="Q527" i="7"/>
  <c r="R388" i="7"/>
  <c r="R527" i="7"/>
  <c r="S388" i="7"/>
  <c r="S527" i="7"/>
  <c r="T388" i="7"/>
  <c r="U388" i="7"/>
  <c r="T527" i="7"/>
  <c r="U527" i="7"/>
  <c r="V388" i="7"/>
  <c r="V527" i="7"/>
  <c r="W388" i="7"/>
  <c r="X388" i="7"/>
  <c r="W527" i="7"/>
  <c r="Y388" i="7"/>
  <c r="X527" i="7"/>
  <c r="Y527" i="7"/>
  <c r="Z388" i="7"/>
  <c r="AA388" i="7"/>
  <c r="Z527" i="7"/>
  <c r="AB388" i="7"/>
  <c r="AA527" i="7"/>
  <c r="AC388" i="7"/>
  <c r="AB527" i="7"/>
  <c r="AC527" i="7"/>
  <c r="AD388" i="7"/>
  <c r="AD527" i="7"/>
  <c r="AE388" i="7"/>
  <c r="AE527" i="7"/>
  <c r="AF388" i="7"/>
  <c r="AG388" i="7"/>
  <c r="AF527" i="7"/>
  <c r="AH388" i="7"/>
  <c r="AG527" i="7"/>
  <c r="AI388" i="7"/>
  <c r="AH527" i="7"/>
  <c r="AJ388" i="7"/>
  <c r="AI527" i="7"/>
  <c r="AK388" i="7"/>
  <c r="AJ527" i="7"/>
  <c r="AL388" i="7"/>
  <c r="AK527" i="7"/>
  <c r="AL527" i="7"/>
  <c r="AM388" i="7"/>
  <c r="AN388" i="7"/>
  <c r="AM527" i="7"/>
  <c r="C396" i="7"/>
  <c r="L396" i="7"/>
  <c r="D396" i="7"/>
  <c r="I396" i="7"/>
  <c r="E396" i="7"/>
  <c r="K396" i="7"/>
  <c r="G396" i="7"/>
  <c r="F396" i="7"/>
  <c r="J396" i="7"/>
  <c r="H396" i="7"/>
  <c r="M396" i="7"/>
  <c r="F535" i="7"/>
  <c r="G535" i="7"/>
  <c r="K535" i="7"/>
  <c r="H535" i="7"/>
  <c r="D535" i="7"/>
  <c r="E535" i="7"/>
  <c r="L535" i="7"/>
  <c r="C535" i="7"/>
  <c r="J535" i="7"/>
  <c r="M535" i="7"/>
  <c r="N396" i="7"/>
  <c r="I535" i="7"/>
  <c r="N535" i="7"/>
  <c r="O396" i="7"/>
  <c r="O535" i="7"/>
  <c r="P396" i="7"/>
  <c r="P535" i="7"/>
  <c r="Q396" i="7"/>
  <c r="R396" i="7"/>
  <c r="Q535" i="7"/>
  <c r="S396" i="7"/>
  <c r="R535" i="7"/>
  <c r="T396" i="7"/>
  <c r="S535" i="7"/>
  <c r="T535" i="7"/>
  <c r="U396" i="7"/>
  <c r="V396" i="7"/>
  <c r="U535" i="7"/>
  <c r="W396" i="7"/>
  <c r="V535" i="7"/>
  <c r="W535" i="7"/>
  <c r="X396" i="7"/>
  <c r="X535" i="7"/>
  <c r="Y396" i="7"/>
  <c r="Y535" i="7"/>
  <c r="Z396" i="7"/>
  <c r="AA396" i="7"/>
  <c r="Z535" i="7"/>
  <c r="AB396" i="7"/>
  <c r="AA535" i="7"/>
  <c r="AB535" i="7"/>
  <c r="AC396" i="7"/>
  <c r="AC535" i="7"/>
  <c r="AD396" i="7"/>
  <c r="AD535" i="7"/>
  <c r="AE396" i="7"/>
  <c r="AF396" i="7"/>
  <c r="AE535" i="7"/>
  <c r="AF535" i="7"/>
  <c r="AG396" i="7"/>
  <c r="AH396" i="7"/>
  <c r="AG535" i="7"/>
  <c r="AH535" i="7"/>
  <c r="AI396" i="7"/>
  <c r="AJ396" i="7"/>
  <c r="AI535" i="7"/>
  <c r="AK396" i="7"/>
  <c r="AJ535" i="7"/>
  <c r="AL396" i="7"/>
  <c r="AK535" i="7"/>
  <c r="AL535" i="7"/>
  <c r="AM396" i="7"/>
  <c r="AN396" i="7"/>
  <c r="AM535" i="7"/>
  <c r="AO533" i="7"/>
  <c r="AO482" i="7"/>
  <c r="AO395" i="7"/>
  <c r="AO370" i="7"/>
  <c r="AO369" i="7"/>
  <c r="AN480" i="7"/>
  <c r="AO364" i="7"/>
  <c r="E366" i="7"/>
  <c r="I366" i="7"/>
  <c r="F366" i="7"/>
  <c r="H366" i="7"/>
  <c r="C366" i="7"/>
  <c r="G366" i="7"/>
  <c r="D366" i="7"/>
  <c r="C505" i="7"/>
  <c r="E505" i="7"/>
  <c r="J366" i="7"/>
  <c r="F505" i="7"/>
  <c r="H505" i="7"/>
  <c r="I505" i="7"/>
  <c r="D505" i="7"/>
  <c r="G505" i="7"/>
  <c r="J505" i="7"/>
  <c r="K366" i="7"/>
  <c r="K505" i="7"/>
  <c r="L366" i="7"/>
  <c r="L505" i="7"/>
  <c r="M366" i="7"/>
  <c r="N366" i="7"/>
  <c r="M505" i="7"/>
  <c r="O366" i="7"/>
  <c r="N505" i="7"/>
  <c r="P366" i="7"/>
  <c r="O505" i="7"/>
  <c r="P505" i="7"/>
  <c r="Q366" i="7"/>
  <c r="Q505" i="7"/>
  <c r="R366" i="7"/>
  <c r="S366" i="7"/>
  <c r="R505" i="7"/>
  <c r="T366" i="7"/>
  <c r="S505" i="7"/>
  <c r="U366" i="7"/>
  <c r="T505" i="7"/>
  <c r="V366" i="7"/>
  <c r="U505" i="7"/>
  <c r="V505" i="7"/>
  <c r="W366" i="7"/>
  <c r="X366" i="7"/>
  <c r="W505" i="7"/>
  <c r="X505" i="7"/>
  <c r="Y366" i="7"/>
  <c r="Y505" i="7"/>
  <c r="Z366" i="7"/>
  <c r="AA366" i="7"/>
  <c r="Z505" i="7"/>
  <c r="AB366" i="7"/>
  <c r="AA505" i="7"/>
  <c r="AC366" i="7"/>
  <c r="AB505" i="7"/>
  <c r="AC505" i="7"/>
  <c r="AD366" i="7"/>
  <c r="AE366" i="7"/>
  <c r="AD505" i="7"/>
  <c r="AE505" i="7"/>
  <c r="AF366" i="7"/>
  <c r="AG366" i="7"/>
  <c r="AF505" i="7"/>
  <c r="AG505" i="7"/>
  <c r="AH366" i="7"/>
  <c r="AH505" i="7"/>
  <c r="AI366" i="7"/>
  <c r="AJ366" i="7"/>
  <c r="AI505" i="7"/>
  <c r="AK366" i="7"/>
  <c r="AJ505" i="7"/>
  <c r="AL366" i="7"/>
  <c r="AK505" i="7"/>
  <c r="AM366" i="7"/>
  <c r="AL505" i="7"/>
  <c r="AM505" i="7"/>
  <c r="AN366" i="7"/>
  <c r="C336" i="7"/>
  <c r="D336" i="7"/>
  <c r="F336" i="7"/>
  <c r="E336" i="7"/>
  <c r="C475" i="7"/>
  <c r="D475" i="7"/>
  <c r="E475" i="7"/>
  <c r="F475" i="7"/>
  <c r="G336" i="7"/>
  <c r="G475" i="7"/>
  <c r="H336" i="7"/>
  <c r="I336" i="7"/>
  <c r="H475" i="7"/>
  <c r="I475" i="7"/>
  <c r="J336" i="7"/>
  <c r="K336" i="7"/>
  <c r="J475" i="7"/>
  <c r="K475" i="7"/>
  <c r="L336" i="7"/>
  <c r="L475" i="7"/>
  <c r="M336" i="7"/>
  <c r="N336" i="7"/>
  <c r="M475" i="7"/>
  <c r="O336" i="7"/>
  <c r="N475" i="7"/>
  <c r="O475" i="7"/>
  <c r="P336" i="7"/>
  <c r="Q336" i="7"/>
  <c r="P475" i="7"/>
  <c r="R336" i="7"/>
  <c r="Q475" i="7"/>
  <c r="S336" i="7"/>
  <c r="R475" i="7"/>
  <c r="T336" i="7"/>
  <c r="S475" i="7"/>
  <c r="T475" i="7"/>
  <c r="U336" i="7"/>
  <c r="U475" i="7"/>
  <c r="V336" i="7"/>
  <c r="W336" i="7"/>
  <c r="V475" i="7"/>
  <c r="X336" i="7"/>
  <c r="W475" i="7"/>
  <c r="X475" i="7"/>
  <c r="Y336" i="7"/>
  <c r="Y475" i="7"/>
  <c r="Z336" i="7"/>
  <c r="Z475" i="7"/>
  <c r="AA336" i="7"/>
  <c r="AB336" i="7"/>
  <c r="AA475" i="7"/>
  <c r="AB475" i="7"/>
  <c r="AC336" i="7"/>
  <c r="AD336" i="7"/>
  <c r="AC475" i="7"/>
  <c r="AD475" i="7"/>
  <c r="AE336" i="7"/>
  <c r="AE475" i="7"/>
  <c r="AF336" i="7"/>
  <c r="AF475" i="7"/>
  <c r="AG336" i="7"/>
  <c r="AH336" i="7"/>
  <c r="AG475" i="7"/>
  <c r="AI336" i="7"/>
  <c r="AH475" i="7"/>
  <c r="AI475" i="7"/>
  <c r="AJ336" i="7"/>
  <c r="AJ475" i="7"/>
  <c r="AK336" i="7"/>
  <c r="AL336" i="7"/>
  <c r="AK475" i="7"/>
  <c r="AM336" i="7"/>
  <c r="AL475" i="7"/>
  <c r="AM475" i="7"/>
  <c r="AN336" i="7"/>
  <c r="G344" i="7"/>
  <c r="C344" i="7"/>
  <c r="J344" i="7"/>
  <c r="H344" i="7"/>
  <c r="E344" i="7"/>
  <c r="L344" i="7"/>
  <c r="I344" i="7"/>
  <c r="F344" i="7"/>
  <c r="K344" i="7"/>
  <c r="M344" i="7"/>
  <c r="D344" i="7"/>
  <c r="K483" i="7"/>
  <c r="H483" i="7"/>
  <c r="M483" i="7"/>
  <c r="J483" i="7"/>
  <c r="N344" i="7"/>
  <c r="F483" i="7"/>
  <c r="D483" i="7"/>
  <c r="L483" i="7"/>
  <c r="E483" i="7"/>
  <c r="I483" i="7"/>
  <c r="G483" i="7"/>
  <c r="C483" i="7"/>
  <c r="O344" i="7"/>
  <c r="N483" i="7"/>
  <c r="O483" i="7"/>
  <c r="P344" i="7"/>
  <c r="P483" i="7"/>
  <c r="Q344" i="7"/>
  <c r="R344" i="7"/>
  <c r="Q483" i="7"/>
  <c r="R483" i="7"/>
  <c r="S344" i="7"/>
  <c r="T344" i="7"/>
  <c r="S483" i="7"/>
  <c r="U344" i="7"/>
  <c r="T483" i="7"/>
  <c r="U483" i="7"/>
  <c r="V344" i="7"/>
  <c r="V483" i="7"/>
  <c r="W344" i="7"/>
  <c r="X344" i="7"/>
  <c r="W483" i="7"/>
  <c r="Y344" i="7"/>
  <c r="X483" i="7"/>
  <c r="Z344" i="7"/>
  <c r="Y483" i="7"/>
  <c r="AA344" i="7"/>
  <c r="Z483" i="7"/>
  <c r="AB344" i="7"/>
  <c r="AA483" i="7"/>
  <c r="AC344" i="7"/>
  <c r="AB483" i="7"/>
  <c r="AD344" i="7"/>
  <c r="AC483" i="7"/>
  <c r="AE344" i="7"/>
  <c r="AD483" i="7"/>
  <c r="AF344" i="7"/>
  <c r="AE483" i="7"/>
  <c r="AF483" i="7"/>
  <c r="AG344" i="7"/>
  <c r="AG483" i="7"/>
  <c r="AH344" i="7"/>
  <c r="AH483" i="7"/>
  <c r="AI344" i="7"/>
  <c r="AJ344" i="7"/>
  <c r="AI483" i="7"/>
  <c r="AJ483" i="7"/>
  <c r="AK344" i="7"/>
  <c r="AL344" i="7"/>
  <c r="AK483" i="7"/>
  <c r="AM344" i="7"/>
  <c r="AL483" i="7"/>
  <c r="AM483" i="7"/>
  <c r="AN344" i="7"/>
  <c r="I367" i="7"/>
  <c r="E367" i="7"/>
  <c r="D367" i="7"/>
  <c r="F367" i="7"/>
  <c r="H367" i="7"/>
  <c r="J367" i="7"/>
  <c r="C367" i="7"/>
  <c r="G367" i="7"/>
  <c r="J506" i="7"/>
  <c r="K367" i="7"/>
  <c r="E506" i="7"/>
  <c r="G506" i="7"/>
  <c r="F506" i="7"/>
  <c r="I506" i="7"/>
  <c r="D506" i="7"/>
  <c r="C506" i="7"/>
  <c r="H506" i="7"/>
  <c r="L367" i="7"/>
  <c r="K506" i="7"/>
  <c r="L506" i="7"/>
  <c r="M367" i="7"/>
  <c r="N367" i="7"/>
  <c r="M506" i="7"/>
  <c r="O367" i="7"/>
  <c r="N506" i="7"/>
  <c r="P367" i="7"/>
  <c r="O506" i="7"/>
  <c r="P506" i="7"/>
  <c r="Q367" i="7"/>
  <c r="Q506" i="7"/>
  <c r="R367" i="7"/>
  <c r="S367" i="7"/>
  <c r="R506" i="7"/>
  <c r="S506" i="7"/>
  <c r="T367" i="7"/>
  <c r="T506" i="7"/>
  <c r="U367" i="7"/>
  <c r="U506" i="7"/>
  <c r="V367" i="7"/>
  <c r="W367" i="7"/>
  <c r="V506" i="7"/>
  <c r="W506" i="7"/>
  <c r="X367" i="7"/>
  <c r="X506" i="7"/>
  <c r="Y367" i="7"/>
  <c r="Y506" i="7"/>
  <c r="Z367" i="7"/>
  <c r="Z506" i="7"/>
  <c r="AA367" i="7"/>
  <c r="AA506" i="7"/>
  <c r="AB367" i="7"/>
  <c r="AB506" i="7"/>
  <c r="AC367" i="7"/>
  <c r="AC506" i="7"/>
  <c r="AD367" i="7"/>
  <c r="AE367" i="7"/>
  <c r="AD506" i="7"/>
  <c r="AF367" i="7"/>
  <c r="AE506" i="7"/>
  <c r="AG367" i="7"/>
  <c r="AF506" i="7"/>
  <c r="AG506" i="7"/>
  <c r="AH367" i="7"/>
  <c r="AI367" i="7"/>
  <c r="AH506" i="7"/>
  <c r="AJ367" i="7"/>
  <c r="AI506" i="7"/>
  <c r="AK367" i="7"/>
  <c r="AJ506" i="7"/>
  <c r="AK506" i="7"/>
  <c r="AL367" i="7"/>
  <c r="AM367" i="7"/>
  <c r="AL506" i="7"/>
  <c r="AM506" i="7"/>
  <c r="AN367" i="7"/>
  <c r="F390" i="7"/>
  <c r="G390" i="7"/>
  <c r="E390" i="7"/>
  <c r="C390" i="7"/>
  <c r="D390" i="7"/>
  <c r="F529" i="7"/>
  <c r="C529" i="7"/>
  <c r="D529" i="7"/>
  <c r="H390" i="7"/>
  <c r="E529" i="7"/>
  <c r="G529" i="7"/>
  <c r="I390" i="7"/>
  <c r="H529" i="7"/>
  <c r="I529" i="7"/>
  <c r="J390" i="7"/>
  <c r="J529" i="7"/>
  <c r="K390" i="7"/>
  <c r="K529" i="7"/>
  <c r="L390" i="7"/>
  <c r="M390" i="7"/>
  <c r="L529" i="7"/>
  <c r="N390" i="7"/>
  <c r="M529" i="7"/>
  <c r="O390" i="7"/>
  <c r="N529" i="7"/>
  <c r="P390" i="7"/>
  <c r="O529" i="7"/>
  <c r="P529" i="7"/>
  <c r="Q390" i="7"/>
  <c r="Q529" i="7"/>
  <c r="R390" i="7"/>
  <c r="S390" i="7"/>
  <c r="R529" i="7"/>
  <c r="S529" i="7"/>
  <c r="T390" i="7"/>
  <c r="U390" i="7"/>
  <c r="T529" i="7"/>
  <c r="V390" i="7"/>
  <c r="U529" i="7"/>
  <c r="V529" i="7"/>
  <c r="W390" i="7"/>
  <c r="W529" i="7"/>
  <c r="X390" i="7"/>
  <c r="X529" i="7"/>
  <c r="Y390" i="7"/>
  <c r="Y529" i="7"/>
  <c r="Z390" i="7"/>
  <c r="AA390" i="7"/>
  <c r="Z529" i="7"/>
  <c r="AB390" i="7"/>
  <c r="AA529" i="7"/>
  <c r="AC390" i="7"/>
  <c r="AB529" i="7"/>
  <c r="AD390" i="7"/>
  <c r="AC529" i="7"/>
  <c r="AE390" i="7"/>
  <c r="AD529" i="7"/>
  <c r="AF390" i="7"/>
  <c r="AE529" i="7"/>
  <c r="AG390" i="7"/>
  <c r="AF529" i="7"/>
  <c r="AG529" i="7"/>
  <c r="AH390" i="7"/>
  <c r="AI390" i="7"/>
  <c r="AH529" i="7"/>
  <c r="AI529" i="7"/>
  <c r="AJ390" i="7"/>
  <c r="AK390" i="7"/>
  <c r="AJ529" i="7"/>
  <c r="AK529" i="7"/>
  <c r="AL390" i="7"/>
  <c r="AM390" i="7"/>
  <c r="AL529" i="7"/>
  <c r="AN390" i="7"/>
  <c r="AM529" i="7"/>
  <c r="AO509" i="7"/>
  <c r="AN506" i="7"/>
  <c r="AN505" i="7"/>
  <c r="AO340" i="7"/>
  <c r="C343" i="7"/>
  <c r="F343" i="7"/>
  <c r="D343" i="7"/>
  <c r="L343" i="7"/>
  <c r="E343" i="7"/>
  <c r="I343" i="7"/>
  <c r="H343" i="7"/>
  <c r="J343" i="7"/>
  <c r="G343" i="7"/>
  <c r="K343" i="7"/>
  <c r="L482" i="7"/>
  <c r="D482" i="7"/>
  <c r="C482" i="7"/>
  <c r="E482" i="7"/>
  <c r="F482" i="7"/>
  <c r="H482" i="7"/>
  <c r="I482" i="7"/>
  <c r="M343" i="7"/>
  <c r="K482" i="7"/>
  <c r="J482" i="7"/>
  <c r="G482" i="7"/>
  <c r="M482" i="7"/>
  <c r="N343" i="7"/>
  <c r="O343" i="7"/>
  <c r="N482" i="7"/>
  <c r="P343" i="7"/>
  <c r="O482" i="7"/>
  <c r="Q343" i="7"/>
  <c r="P482" i="7"/>
  <c r="R343" i="7"/>
  <c r="Q482" i="7"/>
  <c r="R482" i="7"/>
  <c r="S343" i="7"/>
  <c r="S482" i="7"/>
  <c r="T343" i="7"/>
  <c r="T482" i="7"/>
  <c r="U343" i="7"/>
  <c r="U482" i="7"/>
  <c r="V343" i="7"/>
  <c r="V482" i="7"/>
  <c r="W343" i="7"/>
  <c r="W482" i="7"/>
  <c r="X343" i="7"/>
  <c r="Y343" i="7"/>
  <c r="X482" i="7"/>
  <c r="Y482" i="7"/>
  <c r="Z343" i="7"/>
  <c r="AA343" i="7"/>
  <c r="Z482" i="7"/>
  <c r="AB343" i="7"/>
  <c r="AA482" i="7"/>
  <c r="AC343" i="7"/>
  <c r="AB482" i="7"/>
  <c r="AC482" i="7"/>
  <c r="AD343" i="7"/>
  <c r="AD482" i="7"/>
  <c r="AE343" i="7"/>
  <c r="AF343" i="7"/>
  <c r="AE482" i="7"/>
  <c r="AF482" i="7"/>
  <c r="AG343" i="7"/>
  <c r="AG482" i="7"/>
  <c r="AH343" i="7"/>
  <c r="AI343" i="7"/>
  <c r="AH482" i="7"/>
  <c r="AJ343" i="7"/>
  <c r="AI482" i="7"/>
  <c r="AK343" i="7"/>
  <c r="AJ482" i="7"/>
  <c r="AK482" i="7"/>
  <c r="AL343" i="7"/>
  <c r="AM343" i="7"/>
  <c r="AL482" i="7"/>
  <c r="AM482" i="7"/>
  <c r="AN343" i="7"/>
  <c r="C337" i="7"/>
  <c r="D337" i="7"/>
  <c r="C476" i="7"/>
  <c r="E337" i="7"/>
  <c r="F337" i="7"/>
  <c r="G337" i="7"/>
  <c r="D476" i="7"/>
  <c r="G476" i="7"/>
  <c r="H337" i="7"/>
  <c r="F476" i="7"/>
  <c r="E476" i="7"/>
  <c r="H476" i="7"/>
  <c r="I337" i="7"/>
  <c r="J337" i="7"/>
  <c r="I476" i="7"/>
  <c r="J476" i="7"/>
  <c r="K337" i="7"/>
  <c r="K476" i="7"/>
  <c r="L337" i="7"/>
  <c r="L476" i="7"/>
  <c r="M337" i="7"/>
  <c r="N337" i="7"/>
  <c r="M476" i="7"/>
  <c r="N476" i="7"/>
  <c r="O337" i="7"/>
  <c r="P337" i="7"/>
  <c r="O476" i="7"/>
  <c r="Q337" i="7"/>
  <c r="P476" i="7"/>
  <c r="R337" i="7"/>
  <c r="Q476" i="7"/>
  <c r="R476" i="7"/>
  <c r="S337" i="7"/>
  <c r="T337" i="7"/>
  <c r="S476" i="7"/>
  <c r="U337" i="7"/>
  <c r="T476" i="7"/>
  <c r="V337" i="7"/>
  <c r="U476" i="7"/>
  <c r="W337" i="7"/>
  <c r="V476" i="7"/>
  <c r="W476" i="7"/>
  <c r="X337" i="7"/>
  <c r="Y337" i="7"/>
  <c r="X476" i="7"/>
  <c r="Z337" i="7"/>
  <c r="Y476" i="7"/>
  <c r="Z476" i="7"/>
  <c r="AA337" i="7"/>
  <c r="AA476" i="7"/>
  <c r="AB337" i="7"/>
  <c r="AC337" i="7"/>
  <c r="AB476" i="7"/>
  <c r="AD337" i="7"/>
  <c r="AC476" i="7"/>
  <c r="AE337" i="7"/>
  <c r="AD476" i="7"/>
  <c r="AE476" i="7"/>
  <c r="AF337" i="7"/>
  <c r="AG337" i="7"/>
  <c r="AF476" i="7"/>
  <c r="AH337" i="7"/>
  <c r="AG476" i="7"/>
  <c r="AH476" i="7"/>
  <c r="AI337" i="7"/>
  <c r="AI476" i="7"/>
  <c r="AJ337" i="7"/>
  <c r="AK337" i="7"/>
  <c r="AJ476" i="7"/>
  <c r="AK476" i="7"/>
  <c r="AL337" i="7"/>
  <c r="AM337" i="7"/>
  <c r="AL476" i="7"/>
  <c r="AN337" i="7"/>
  <c r="AM476" i="7"/>
  <c r="I368" i="7"/>
  <c r="H368" i="7"/>
  <c r="E368" i="7"/>
  <c r="C368" i="7"/>
  <c r="K368" i="7"/>
  <c r="D368" i="7"/>
  <c r="G368" i="7"/>
  <c r="J368" i="7"/>
  <c r="F368" i="7"/>
  <c r="C507" i="7"/>
  <c r="L368" i="7"/>
  <c r="J507" i="7"/>
  <c r="E507" i="7"/>
  <c r="H507" i="7"/>
  <c r="G507" i="7"/>
  <c r="F507" i="7"/>
  <c r="I507" i="7"/>
  <c r="K507" i="7"/>
  <c r="D507" i="7"/>
  <c r="L507" i="7"/>
  <c r="M368" i="7"/>
  <c r="N368" i="7"/>
  <c r="M507" i="7"/>
  <c r="N507" i="7"/>
  <c r="O368" i="7"/>
  <c r="O507" i="7"/>
  <c r="P368" i="7"/>
  <c r="P507" i="7"/>
  <c r="Q368" i="7"/>
  <c r="R368" i="7"/>
  <c r="Q507" i="7"/>
  <c r="R507" i="7"/>
  <c r="S368" i="7"/>
  <c r="T368" i="7"/>
  <c r="S507" i="7"/>
  <c r="U368" i="7"/>
  <c r="T507" i="7"/>
  <c r="U507" i="7"/>
  <c r="V368" i="7"/>
  <c r="V507" i="7"/>
  <c r="W368" i="7"/>
  <c r="X368" i="7"/>
  <c r="W507" i="7"/>
  <c r="Y368" i="7"/>
  <c r="X507" i="7"/>
  <c r="Z368" i="7"/>
  <c r="Y507" i="7"/>
  <c r="AA368" i="7"/>
  <c r="Z507" i="7"/>
  <c r="AA507" i="7"/>
  <c r="AB368" i="7"/>
  <c r="AC368" i="7"/>
  <c r="AB507" i="7"/>
  <c r="AD368" i="7"/>
  <c r="AC507" i="7"/>
  <c r="AE368" i="7"/>
  <c r="AD507" i="7"/>
  <c r="AE507" i="7"/>
  <c r="AF368" i="7"/>
  <c r="AF507" i="7"/>
  <c r="AG368" i="7"/>
  <c r="AH368" i="7"/>
  <c r="AG507" i="7"/>
  <c r="AH507" i="7"/>
  <c r="AI368" i="7"/>
  <c r="AJ368" i="7"/>
  <c r="AI507" i="7"/>
  <c r="AK368" i="7"/>
  <c r="AJ507" i="7"/>
  <c r="AL368" i="7"/>
  <c r="AK507" i="7"/>
  <c r="AL507" i="7"/>
  <c r="AM368" i="7"/>
  <c r="AM507" i="7"/>
  <c r="AN368" i="7"/>
  <c r="C391" i="7"/>
  <c r="E391" i="7"/>
  <c r="F391" i="7"/>
  <c r="H391" i="7"/>
  <c r="D391" i="7"/>
  <c r="G391" i="7"/>
  <c r="F530" i="7"/>
  <c r="G530" i="7"/>
  <c r="D530" i="7"/>
  <c r="E530" i="7"/>
  <c r="C530" i="7"/>
  <c r="I391" i="7"/>
  <c r="H530" i="7"/>
  <c r="I530" i="7"/>
  <c r="J391" i="7"/>
  <c r="K391" i="7"/>
  <c r="J530" i="7"/>
  <c r="K530" i="7"/>
  <c r="L391" i="7"/>
  <c r="L530" i="7"/>
  <c r="M391" i="7"/>
  <c r="N391" i="7"/>
  <c r="M530" i="7"/>
  <c r="O391" i="7"/>
  <c r="N530" i="7"/>
  <c r="O530" i="7"/>
  <c r="P391" i="7"/>
  <c r="Q391" i="7"/>
  <c r="P530" i="7"/>
  <c r="R391" i="7"/>
  <c r="Q530" i="7"/>
  <c r="R530" i="7"/>
  <c r="S391" i="7"/>
  <c r="T391" i="7"/>
  <c r="S530" i="7"/>
  <c r="U391" i="7"/>
  <c r="T530" i="7"/>
  <c r="V391" i="7"/>
  <c r="U530" i="7"/>
  <c r="V530" i="7"/>
  <c r="W391" i="7"/>
  <c r="X391" i="7"/>
  <c r="W530" i="7"/>
  <c r="Y391" i="7"/>
  <c r="X530" i="7"/>
  <c r="Y530" i="7"/>
  <c r="Z391" i="7"/>
  <c r="AA391" i="7"/>
  <c r="Z530" i="7"/>
  <c r="AA530" i="7"/>
  <c r="AB391" i="7"/>
  <c r="AB530" i="7"/>
  <c r="AC391" i="7"/>
  <c r="AC530" i="7"/>
  <c r="AD391" i="7"/>
  <c r="AE391" i="7"/>
  <c r="AD530" i="7"/>
  <c r="AE530" i="7"/>
  <c r="AF391" i="7"/>
  <c r="AG391" i="7"/>
  <c r="AF530" i="7"/>
  <c r="AG530" i="7"/>
  <c r="AH391" i="7"/>
  <c r="AH530" i="7"/>
  <c r="AI391" i="7"/>
  <c r="AJ391" i="7"/>
  <c r="AI530" i="7"/>
  <c r="AK391" i="7"/>
  <c r="AJ530" i="7"/>
  <c r="AL391" i="7"/>
  <c r="AK530" i="7"/>
  <c r="AM391" i="7"/>
  <c r="AL530" i="7"/>
  <c r="AN391" i="7"/>
  <c r="AM530" i="7"/>
  <c r="AO534" i="7"/>
  <c r="AO505" i="7"/>
  <c r="AN533" i="7"/>
  <c r="AN475" i="7"/>
  <c r="AN535" i="7"/>
  <c r="AO367" i="7"/>
  <c r="AO390" i="7"/>
  <c r="E338" i="7"/>
  <c r="C338" i="7"/>
  <c r="D338" i="7"/>
  <c r="F338" i="7"/>
  <c r="G338" i="7"/>
  <c r="G477" i="7"/>
  <c r="E477" i="7"/>
  <c r="F477" i="7"/>
  <c r="C477" i="7"/>
  <c r="H338" i="7"/>
  <c r="D477" i="7"/>
  <c r="I338" i="7"/>
  <c r="H477" i="7"/>
  <c r="J338" i="7"/>
  <c r="I477" i="7"/>
  <c r="K338" i="7"/>
  <c r="J477" i="7"/>
  <c r="L338" i="7"/>
  <c r="K477" i="7"/>
  <c r="L477" i="7"/>
  <c r="M338" i="7"/>
  <c r="N338" i="7"/>
  <c r="M477" i="7"/>
  <c r="O338" i="7"/>
  <c r="N477" i="7"/>
  <c r="P338" i="7"/>
  <c r="O477" i="7"/>
  <c r="P477" i="7"/>
  <c r="Q338" i="7"/>
  <c r="Q477" i="7"/>
  <c r="R338" i="7"/>
  <c r="S338" i="7"/>
  <c r="R477" i="7"/>
  <c r="T338" i="7"/>
  <c r="S477" i="7"/>
  <c r="U338" i="7"/>
  <c r="T477" i="7"/>
  <c r="V338" i="7"/>
  <c r="U477" i="7"/>
  <c r="V477" i="7"/>
  <c r="W338" i="7"/>
  <c r="W477" i="7"/>
  <c r="X338" i="7"/>
  <c r="X477" i="7"/>
  <c r="Y338" i="7"/>
  <c r="Y477" i="7"/>
  <c r="Z338" i="7"/>
  <c r="AA338" i="7"/>
  <c r="Z477" i="7"/>
  <c r="AA477" i="7"/>
  <c r="AB338" i="7"/>
  <c r="AB477" i="7"/>
  <c r="AC338" i="7"/>
  <c r="AC477" i="7"/>
  <c r="AD338" i="7"/>
  <c r="AE338" i="7"/>
  <c r="AD477" i="7"/>
  <c r="AF338" i="7"/>
  <c r="AE477" i="7"/>
  <c r="AF477" i="7"/>
  <c r="AG338" i="7"/>
  <c r="AG477" i="7"/>
  <c r="AH338" i="7"/>
  <c r="AH477" i="7"/>
  <c r="AI338" i="7"/>
  <c r="AJ338" i="7"/>
  <c r="AI477" i="7"/>
  <c r="AJ477" i="7"/>
  <c r="AK338" i="7"/>
  <c r="AK477" i="7"/>
  <c r="AL338" i="7"/>
  <c r="AL477" i="7"/>
  <c r="AM338" i="7"/>
  <c r="AM477" i="7"/>
  <c r="AN338" i="7"/>
  <c r="K369" i="7"/>
  <c r="L369" i="7"/>
  <c r="E369" i="7"/>
  <c r="F369" i="7"/>
  <c r="J369" i="7"/>
  <c r="C369" i="7"/>
  <c r="D369" i="7"/>
  <c r="G369" i="7"/>
  <c r="I369" i="7"/>
  <c r="H369" i="7"/>
  <c r="K508" i="7"/>
  <c r="I508" i="7"/>
  <c r="H508" i="7"/>
  <c r="E508" i="7"/>
  <c r="G508" i="7"/>
  <c r="L508" i="7"/>
  <c r="J508" i="7"/>
  <c r="D508" i="7"/>
  <c r="C508" i="7"/>
  <c r="M369" i="7"/>
  <c r="F508" i="7"/>
  <c r="M508" i="7"/>
  <c r="N369" i="7"/>
  <c r="O369" i="7"/>
  <c r="N508" i="7"/>
  <c r="P369" i="7"/>
  <c r="O508" i="7"/>
  <c r="P508" i="7"/>
  <c r="Q369" i="7"/>
  <c r="R369" i="7"/>
  <c r="Q508" i="7"/>
  <c r="R508" i="7"/>
  <c r="S369" i="7"/>
  <c r="T369" i="7"/>
  <c r="S508" i="7"/>
  <c r="T508" i="7"/>
  <c r="U369" i="7"/>
  <c r="U508" i="7"/>
  <c r="V369" i="7"/>
  <c r="V508" i="7"/>
  <c r="W369" i="7"/>
  <c r="W508" i="7"/>
  <c r="X369" i="7"/>
  <c r="X508" i="7"/>
  <c r="Y369" i="7"/>
  <c r="Y508" i="7"/>
  <c r="Z369" i="7"/>
  <c r="Z508" i="7"/>
  <c r="AA369" i="7"/>
  <c r="AA508" i="7"/>
  <c r="AB369" i="7"/>
  <c r="AB508" i="7"/>
  <c r="AC369" i="7"/>
  <c r="AD369" i="7"/>
  <c r="AC508" i="7"/>
  <c r="AE369" i="7"/>
  <c r="AD508" i="7"/>
  <c r="AF369" i="7"/>
  <c r="AE508" i="7"/>
  <c r="AG369" i="7"/>
  <c r="AF508" i="7"/>
  <c r="AH369" i="7"/>
  <c r="AG508" i="7"/>
  <c r="AI369" i="7"/>
  <c r="AH508" i="7"/>
  <c r="AI508" i="7"/>
  <c r="AJ369" i="7"/>
  <c r="AJ508" i="7"/>
  <c r="AK369" i="7"/>
  <c r="AK508" i="7"/>
  <c r="AL369" i="7"/>
  <c r="AM369" i="7"/>
  <c r="AL508" i="7"/>
  <c r="AM508" i="7"/>
  <c r="AN369" i="7"/>
  <c r="E392" i="7"/>
  <c r="F392" i="7"/>
  <c r="D392" i="7"/>
  <c r="G392" i="7"/>
  <c r="H392" i="7"/>
  <c r="I392" i="7"/>
  <c r="C392" i="7"/>
  <c r="F531" i="7"/>
  <c r="C531" i="7"/>
  <c r="E531" i="7"/>
  <c r="J392" i="7"/>
  <c r="I531" i="7"/>
  <c r="H531" i="7"/>
  <c r="G531" i="7"/>
  <c r="D531" i="7"/>
  <c r="J531" i="7"/>
  <c r="K392" i="7"/>
  <c r="K531" i="7"/>
  <c r="L392" i="7"/>
  <c r="M392" i="7"/>
  <c r="L531" i="7"/>
  <c r="M531" i="7"/>
  <c r="N392" i="7"/>
  <c r="O392" i="7"/>
  <c r="N531" i="7"/>
  <c r="P392" i="7"/>
  <c r="O531" i="7"/>
  <c r="P531" i="7"/>
  <c r="Q392" i="7"/>
  <c r="R392" i="7"/>
  <c r="Q531" i="7"/>
  <c r="R531" i="7"/>
  <c r="S392" i="7"/>
  <c r="S531" i="7"/>
  <c r="T392" i="7"/>
  <c r="T531" i="7"/>
  <c r="U392" i="7"/>
  <c r="V392" i="7"/>
  <c r="U531" i="7"/>
  <c r="V531" i="7"/>
  <c r="W392" i="7"/>
  <c r="X392" i="7"/>
  <c r="W531" i="7"/>
  <c r="Y392" i="7"/>
  <c r="X531" i="7"/>
  <c r="Z392" i="7"/>
  <c r="Y531" i="7"/>
  <c r="Z531" i="7"/>
  <c r="AA392" i="7"/>
  <c r="AB392" i="7"/>
  <c r="AA531" i="7"/>
  <c r="AC392" i="7"/>
  <c r="AB531" i="7"/>
  <c r="AC531" i="7"/>
  <c r="AD392" i="7"/>
  <c r="AE392" i="7"/>
  <c r="AD531" i="7"/>
  <c r="AE531" i="7"/>
  <c r="AF392" i="7"/>
  <c r="AG392" i="7"/>
  <c r="AF531" i="7"/>
  <c r="AG531" i="7"/>
  <c r="AH392" i="7"/>
  <c r="AI392" i="7"/>
  <c r="AH531" i="7"/>
  <c r="AJ392" i="7"/>
  <c r="AI531" i="7"/>
  <c r="AJ531" i="7"/>
  <c r="AK392" i="7"/>
  <c r="AL392" i="7"/>
  <c r="AK531" i="7"/>
  <c r="AL531" i="7"/>
  <c r="AM392" i="7"/>
  <c r="AM531" i="7"/>
  <c r="AN392" i="7"/>
  <c r="AO530" i="7"/>
  <c r="AO501" i="7"/>
  <c r="AO396" i="7"/>
  <c r="AN530" i="7"/>
  <c r="AO392" i="7"/>
  <c r="AO343" i="7"/>
  <c r="AO366" i="7"/>
  <c r="AO365" i="7"/>
  <c r="AN482" i="7"/>
  <c r="C389" i="7"/>
  <c r="F389" i="7"/>
  <c r="C528" i="7"/>
  <c r="E389" i="7"/>
  <c r="D389" i="7"/>
  <c r="D528" i="7"/>
  <c r="E528" i="7"/>
  <c r="F528" i="7"/>
  <c r="G389" i="7"/>
  <c r="G528" i="7"/>
  <c r="H389" i="7"/>
  <c r="I389" i="7"/>
  <c r="H528" i="7"/>
  <c r="I528" i="7"/>
  <c r="J389" i="7"/>
  <c r="J528" i="7"/>
  <c r="K389" i="7"/>
  <c r="L389" i="7"/>
  <c r="K528" i="7"/>
  <c r="M389" i="7"/>
  <c r="L528" i="7"/>
  <c r="M528" i="7"/>
  <c r="N389" i="7"/>
  <c r="N528" i="7"/>
  <c r="O389" i="7"/>
  <c r="P389" i="7"/>
  <c r="O528" i="7"/>
  <c r="Q389" i="7"/>
  <c r="P528" i="7"/>
  <c r="R389" i="7"/>
  <c r="Q528" i="7"/>
  <c r="S389" i="7"/>
  <c r="R528" i="7"/>
  <c r="S528" i="7"/>
  <c r="T389" i="7"/>
  <c r="T528" i="7"/>
  <c r="U389" i="7"/>
  <c r="U528" i="7"/>
  <c r="V389" i="7"/>
  <c r="V528" i="7"/>
  <c r="W389" i="7"/>
  <c r="X389" i="7"/>
  <c r="W528" i="7"/>
  <c r="X528" i="7"/>
  <c r="Y389" i="7"/>
  <c r="Y528" i="7"/>
  <c r="Z389" i="7"/>
  <c r="AA389" i="7"/>
  <c r="Z528" i="7"/>
  <c r="AA528" i="7"/>
  <c r="AB389" i="7"/>
  <c r="AC389" i="7"/>
  <c r="AB528" i="7"/>
  <c r="AD389" i="7"/>
  <c r="AC528" i="7"/>
  <c r="AE389" i="7"/>
  <c r="AD528" i="7"/>
  <c r="AE528" i="7"/>
  <c r="AF389" i="7"/>
  <c r="AG389" i="7"/>
  <c r="AF528" i="7"/>
  <c r="AH389" i="7"/>
  <c r="AG528" i="7"/>
  <c r="AI389" i="7"/>
  <c r="AH528" i="7"/>
  <c r="AJ389" i="7"/>
  <c r="AI528" i="7"/>
  <c r="AK389" i="7"/>
  <c r="AJ528" i="7"/>
  <c r="AL389" i="7"/>
  <c r="AK528" i="7"/>
  <c r="AM389" i="7"/>
  <c r="AL528" i="7"/>
  <c r="AN389" i="7"/>
  <c r="AM528" i="7"/>
  <c r="C339" i="7"/>
  <c r="F339" i="7"/>
  <c r="E339" i="7"/>
  <c r="G339" i="7"/>
  <c r="H339" i="7"/>
  <c r="D339" i="7"/>
  <c r="I339" i="7"/>
  <c r="F478" i="7"/>
  <c r="D478" i="7"/>
  <c r="C478" i="7"/>
  <c r="G478" i="7"/>
  <c r="H478" i="7"/>
  <c r="E478" i="7"/>
  <c r="I478" i="7"/>
  <c r="J339" i="7"/>
  <c r="J478" i="7"/>
  <c r="K339" i="7"/>
  <c r="L339" i="7"/>
  <c r="K478" i="7"/>
  <c r="L478" i="7"/>
  <c r="M339" i="7"/>
  <c r="M478" i="7"/>
  <c r="N339" i="7"/>
  <c r="N478" i="7"/>
  <c r="O339" i="7"/>
  <c r="O478" i="7"/>
  <c r="P339" i="7"/>
  <c r="P478" i="7"/>
  <c r="Q339" i="7"/>
  <c r="R339" i="7"/>
  <c r="Q478" i="7"/>
  <c r="R478" i="7"/>
  <c r="S339" i="7"/>
  <c r="T339" i="7"/>
  <c r="S478" i="7"/>
  <c r="T478" i="7"/>
  <c r="U339" i="7"/>
  <c r="U478" i="7"/>
  <c r="V339" i="7"/>
  <c r="V478" i="7"/>
  <c r="W339" i="7"/>
  <c r="W478" i="7"/>
  <c r="X339" i="7"/>
  <c r="Y339" i="7"/>
  <c r="X478" i="7"/>
  <c r="Y478" i="7"/>
  <c r="Z339" i="7"/>
  <c r="AA339" i="7"/>
  <c r="Z478" i="7"/>
  <c r="AA478" i="7"/>
  <c r="AB339" i="7"/>
  <c r="AC339" i="7"/>
  <c r="AB478" i="7"/>
  <c r="AD339" i="7"/>
  <c r="AC478" i="7"/>
  <c r="AE339" i="7"/>
  <c r="AD478" i="7"/>
  <c r="AF339" i="7"/>
  <c r="AE478" i="7"/>
  <c r="AF478" i="7"/>
  <c r="AG339" i="7"/>
  <c r="AG478" i="7"/>
  <c r="AH339" i="7"/>
  <c r="AI339" i="7"/>
  <c r="AH478" i="7"/>
  <c r="AJ339" i="7"/>
  <c r="AI478" i="7"/>
  <c r="AJ478" i="7"/>
  <c r="AK339" i="7"/>
  <c r="AK478" i="7"/>
  <c r="AL339" i="7"/>
  <c r="AL478" i="7"/>
  <c r="AM339" i="7"/>
  <c r="AM478" i="7"/>
  <c r="AN339" i="7"/>
  <c r="C362" i="7"/>
  <c r="C501" i="7"/>
  <c r="F362" i="7"/>
  <c r="E362" i="7"/>
  <c r="D362" i="7"/>
  <c r="F501" i="7"/>
  <c r="G362" i="7"/>
  <c r="D501" i="7"/>
  <c r="E501" i="7"/>
  <c r="H362" i="7"/>
  <c r="G501" i="7"/>
  <c r="H501" i="7"/>
  <c r="I362" i="7"/>
  <c r="I501" i="7"/>
  <c r="J362" i="7"/>
  <c r="J501" i="7"/>
  <c r="K362" i="7"/>
  <c r="L362" i="7"/>
  <c r="K501" i="7"/>
  <c r="L501" i="7"/>
  <c r="M362" i="7"/>
  <c r="N362" i="7"/>
  <c r="M501" i="7"/>
  <c r="O362" i="7"/>
  <c r="N501" i="7"/>
  <c r="P362" i="7"/>
  <c r="O501" i="7"/>
  <c r="Q362" i="7"/>
  <c r="P501" i="7"/>
  <c r="Q501" i="7"/>
  <c r="R362" i="7"/>
  <c r="R501" i="7"/>
  <c r="S362" i="7"/>
  <c r="S501" i="7"/>
  <c r="T362" i="7"/>
  <c r="T501" i="7"/>
  <c r="U362" i="7"/>
  <c r="U501" i="7"/>
  <c r="V362" i="7"/>
  <c r="V501" i="7"/>
  <c r="W362" i="7"/>
  <c r="X362" i="7"/>
  <c r="W501" i="7"/>
  <c r="Y362" i="7"/>
  <c r="X501" i="7"/>
  <c r="Y501" i="7"/>
  <c r="Z362" i="7"/>
  <c r="Z501" i="7"/>
  <c r="AA362" i="7"/>
  <c r="AA501" i="7"/>
  <c r="AB362" i="7"/>
  <c r="AB501" i="7"/>
  <c r="AC362" i="7"/>
  <c r="AC501" i="7"/>
  <c r="AD362" i="7"/>
  <c r="AD501" i="7"/>
  <c r="AE362" i="7"/>
  <c r="AF362" i="7"/>
  <c r="AE501" i="7"/>
  <c r="AG362" i="7"/>
  <c r="AF501" i="7"/>
  <c r="AH362" i="7"/>
  <c r="AG501" i="7"/>
  <c r="AI362" i="7"/>
  <c r="AH501" i="7"/>
  <c r="AJ362" i="7"/>
  <c r="AI501" i="7"/>
  <c r="AK362" i="7"/>
  <c r="AJ501" i="7"/>
  <c r="AK501" i="7"/>
  <c r="AL362" i="7"/>
  <c r="AM362" i="7"/>
  <c r="AL501" i="7"/>
  <c r="AM501" i="7"/>
  <c r="AN362" i="7"/>
  <c r="C370" i="7"/>
  <c r="M370" i="7"/>
  <c r="G370" i="7"/>
  <c r="D370" i="7"/>
  <c r="F370" i="7"/>
  <c r="L370" i="7"/>
  <c r="I370" i="7"/>
  <c r="J370" i="7"/>
  <c r="H370" i="7"/>
  <c r="E370" i="7"/>
  <c r="K370" i="7"/>
  <c r="J509" i="7"/>
  <c r="M509" i="7"/>
  <c r="C509" i="7"/>
  <c r="K509" i="7"/>
  <c r="I509" i="7"/>
  <c r="L509" i="7"/>
  <c r="N370" i="7"/>
  <c r="E509" i="7"/>
  <c r="F509" i="7"/>
  <c r="D509" i="7"/>
  <c r="H509" i="7"/>
  <c r="G509" i="7"/>
  <c r="O370" i="7"/>
  <c r="N509" i="7"/>
  <c r="O509" i="7"/>
  <c r="P370" i="7"/>
  <c r="P509" i="7"/>
  <c r="Q370" i="7"/>
  <c r="Q509" i="7"/>
  <c r="R370" i="7"/>
  <c r="S370" i="7"/>
  <c r="R509" i="7"/>
  <c r="T370" i="7"/>
  <c r="S509" i="7"/>
  <c r="T509" i="7"/>
  <c r="U370" i="7"/>
  <c r="U509" i="7"/>
  <c r="V370" i="7"/>
  <c r="W370" i="7"/>
  <c r="V509" i="7"/>
  <c r="W509" i="7"/>
  <c r="X370" i="7"/>
  <c r="Y370" i="7"/>
  <c r="X509" i="7"/>
  <c r="Y509" i="7"/>
  <c r="Z370" i="7"/>
  <c r="Z509" i="7"/>
  <c r="AA370" i="7"/>
  <c r="AA509" i="7"/>
  <c r="AB370" i="7"/>
  <c r="AC370" i="7"/>
  <c r="AB509" i="7"/>
  <c r="AD370" i="7"/>
  <c r="AC509" i="7"/>
  <c r="AD509" i="7"/>
  <c r="AE370" i="7"/>
  <c r="AF370" i="7"/>
  <c r="AE509" i="7"/>
  <c r="AG370" i="7"/>
  <c r="AF509" i="7"/>
  <c r="AG509" i="7"/>
  <c r="AH370" i="7"/>
  <c r="AH509" i="7"/>
  <c r="AI370" i="7"/>
  <c r="AI509" i="7"/>
  <c r="AJ370" i="7"/>
  <c r="AK370" i="7"/>
  <c r="AJ509" i="7"/>
  <c r="AL370" i="7"/>
  <c r="AK509" i="7"/>
  <c r="AM370" i="7"/>
  <c r="AL509" i="7"/>
  <c r="AM509" i="7"/>
  <c r="AN370" i="7"/>
  <c r="J393" i="7"/>
  <c r="F393" i="7"/>
  <c r="H393" i="7"/>
  <c r="D393" i="7"/>
  <c r="G393" i="7"/>
  <c r="C393" i="7"/>
  <c r="E393" i="7"/>
  <c r="I393" i="7"/>
  <c r="J532" i="7"/>
  <c r="C532" i="7"/>
  <c r="G532" i="7"/>
  <c r="F532" i="7"/>
  <c r="D532" i="7"/>
  <c r="I532" i="7"/>
  <c r="K393" i="7"/>
  <c r="E532" i="7"/>
  <c r="H532" i="7"/>
  <c r="L393" i="7"/>
  <c r="K532" i="7"/>
  <c r="L532" i="7"/>
  <c r="M393" i="7"/>
  <c r="M532" i="7"/>
  <c r="N393" i="7"/>
  <c r="O393" i="7"/>
  <c r="N532" i="7"/>
  <c r="P393" i="7"/>
  <c r="O532" i="7"/>
  <c r="P532" i="7"/>
  <c r="Q393" i="7"/>
  <c r="Q532" i="7"/>
  <c r="R393" i="7"/>
  <c r="S393" i="7"/>
  <c r="R532" i="7"/>
  <c r="T393" i="7"/>
  <c r="S532" i="7"/>
  <c r="U393" i="7"/>
  <c r="T532" i="7"/>
  <c r="V393" i="7"/>
  <c r="U532" i="7"/>
  <c r="W393" i="7"/>
  <c r="V532" i="7"/>
  <c r="X393" i="7"/>
  <c r="W532" i="7"/>
  <c r="X532" i="7"/>
  <c r="Y393" i="7"/>
  <c r="Y532" i="7"/>
  <c r="Z393" i="7"/>
  <c r="AA393" i="7"/>
  <c r="Z532" i="7"/>
  <c r="AB393" i="7"/>
  <c r="AA532" i="7"/>
  <c r="AC393" i="7"/>
  <c r="AB532" i="7"/>
  <c r="AC532" i="7"/>
  <c r="AD393" i="7"/>
  <c r="AE393" i="7"/>
  <c r="AD532" i="7"/>
  <c r="AF393" i="7"/>
  <c r="AE532" i="7"/>
  <c r="AG393" i="7"/>
  <c r="AF532" i="7"/>
  <c r="AH393" i="7"/>
  <c r="AG532" i="7"/>
  <c r="AI393" i="7"/>
  <c r="AH532" i="7"/>
  <c r="AJ393" i="7"/>
  <c r="AI532" i="7"/>
  <c r="AJ532" i="7"/>
  <c r="AK393" i="7"/>
  <c r="AL393" i="7"/>
  <c r="AK532" i="7"/>
  <c r="AM393" i="7"/>
  <c r="AL532" i="7"/>
  <c r="AM532" i="7"/>
  <c r="AN393" i="7"/>
  <c r="AO481" i="7"/>
  <c r="AO388" i="7"/>
  <c r="AN479" i="7"/>
  <c r="AN507" i="7"/>
  <c r="AO368" i="7"/>
  <c r="AO338" i="7"/>
  <c r="AO342" i="7"/>
  <c r="AO341" i="7"/>
  <c r="AN527" i="7"/>
  <c r="AN120" i="7"/>
  <c r="AN121" i="7" s="1"/>
  <c r="B438" i="7" a="1"/>
  <c r="B438" i="7" s="1"/>
  <c r="B440" i="7" a="1"/>
  <c r="B440" i="7" s="1"/>
  <c r="B442" i="7" a="1"/>
  <c r="B442" i="7" s="1"/>
  <c r="B439" i="7" a="1"/>
  <c r="B439" i="7" s="1"/>
  <c r="B441" i="7" a="1"/>
  <c r="B441" i="7" s="1"/>
  <c r="AP617" i="7"/>
  <c r="AP619" i="7" s="1"/>
  <c r="R740" i="7"/>
  <c r="S740" i="7"/>
  <c r="T740" i="7"/>
  <c r="U740" i="7"/>
  <c r="V740" i="7"/>
  <c r="AL744" i="7"/>
  <c r="AM744" i="7"/>
  <c r="AN744" i="7"/>
  <c r="AO744" i="7"/>
  <c r="W741" i="7"/>
  <c r="X741" i="7"/>
  <c r="Y741" i="7"/>
  <c r="Z741" i="7"/>
  <c r="AA741" i="7"/>
  <c r="AP744" i="7"/>
  <c r="I738" i="7"/>
  <c r="J738" i="7"/>
  <c r="K738" i="7"/>
  <c r="L738" i="7"/>
  <c r="AB742" i="7"/>
  <c r="AC742" i="7"/>
  <c r="AD742" i="7"/>
  <c r="AE742" i="7"/>
  <c r="AF742" i="7"/>
  <c r="M739" i="7"/>
  <c r="N739" i="7"/>
  <c r="O739" i="7"/>
  <c r="P739" i="7"/>
  <c r="Q739" i="7"/>
  <c r="AG743" i="7"/>
  <c r="AH743" i="7"/>
  <c r="AI743" i="7"/>
  <c r="AJ743" i="7"/>
  <c r="AK743" i="7"/>
  <c r="AP327" i="7"/>
  <c r="AP338" i="7" s="1"/>
  <c r="AP377" i="7"/>
  <c r="AP389" i="7" s="1"/>
  <c r="AP379" i="7"/>
  <c r="AP383" i="7"/>
  <c r="AP332" i="7"/>
  <c r="AP343" i="7" s="1"/>
  <c r="AP381" i="7"/>
  <c r="AP350" i="7"/>
  <c r="AP362" i="7" s="1"/>
  <c r="AP352" i="7"/>
  <c r="AP354" i="7"/>
  <c r="AP366" i="7" s="1"/>
  <c r="AP330" i="7"/>
  <c r="AP328" i="7"/>
  <c r="AP356" i="7"/>
  <c r="AP368" i="7" s="1"/>
  <c r="AP326" i="7"/>
  <c r="AP355" i="7"/>
  <c r="AP333" i="7"/>
  <c r="AP380" i="7"/>
  <c r="AP325" i="7"/>
  <c r="AP336" i="7" s="1"/>
  <c r="AP351" i="7"/>
  <c r="AP376" i="7"/>
  <c r="AP384" i="7"/>
  <c r="AP331" i="7"/>
  <c r="AP329" i="7"/>
  <c r="AP353" i="7"/>
  <c r="AP365" i="7" s="1"/>
  <c r="AP357" i="7"/>
  <c r="AP378" i="7"/>
  <c r="AP382" i="7"/>
  <c r="AP394" i="7" s="1"/>
  <c r="AP215" i="7"/>
  <c r="AP177" i="7"/>
  <c r="AP85" i="7"/>
  <c r="AP738" i="7"/>
  <c r="F738" i="7"/>
  <c r="G738" i="7"/>
  <c r="H738" i="7"/>
  <c r="L740" i="7"/>
  <c r="M740" i="7"/>
  <c r="N740" i="7"/>
  <c r="R742" i="7"/>
  <c r="S742" i="7"/>
  <c r="T742" i="7"/>
  <c r="X744" i="7"/>
  <c r="Y744" i="7"/>
  <c r="Z744" i="7"/>
  <c r="AD746" i="7"/>
  <c r="AE746" i="7"/>
  <c r="AF746" i="7"/>
  <c r="I739" i="7"/>
  <c r="J739" i="7"/>
  <c r="K739" i="7"/>
  <c r="O741" i="7"/>
  <c r="P741" i="7"/>
  <c r="Q741" i="7"/>
  <c r="U743" i="7"/>
  <c r="V743" i="7"/>
  <c r="W743" i="7"/>
  <c r="AA745" i="7"/>
  <c r="AB745" i="7"/>
  <c r="AC745" i="7"/>
  <c r="AP43" i="7"/>
  <c r="AO112" i="7"/>
  <c r="AP101" i="7"/>
  <c r="AP488" i="7"/>
  <c r="AP458" i="7"/>
  <c r="AP497" i="7"/>
  <c r="AP509" i="7" s="1"/>
  <c r="O674" i="7"/>
  <c r="O683" i="7" s="1"/>
  <c r="O655" i="7" s="1"/>
  <c r="P674" i="7"/>
  <c r="P683" i="7" s="1"/>
  <c r="P655" i="7" s="1"/>
  <c r="Q674" i="7"/>
  <c r="Q683" i="7" s="1"/>
  <c r="Q655" i="7" s="1"/>
  <c r="R674" i="7"/>
  <c r="R683" i="7" s="1"/>
  <c r="R655" i="7" s="1"/>
  <c r="S674" i="7"/>
  <c r="S683" i="7" s="1"/>
  <c r="S655" i="7" s="1"/>
  <c r="T674" i="7"/>
  <c r="T683" i="7" s="1"/>
  <c r="T655" i="7" s="1"/>
  <c r="U674" i="7"/>
  <c r="U683" i="7" s="1"/>
  <c r="U655" i="7" s="1"/>
  <c r="V674" i="7"/>
  <c r="V683" i="7" s="1"/>
  <c r="V655" i="7" s="1"/>
  <c r="W674" i="7"/>
  <c r="W683" i="7" s="1"/>
  <c r="W655" i="7" s="1"/>
  <c r="W104" i="7" s="1"/>
  <c r="X674" i="7"/>
  <c r="X683" i="7" s="1"/>
  <c r="X655" i="7" s="1"/>
  <c r="X104" i="7" s="1"/>
  <c r="Y674" i="7"/>
  <c r="Y683" i="7" s="1"/>
  <c r="Y655" i="7" s="1"/>
  <c r="Y104" i="7" s="1"/>
  <c r="Z674" i="7"/>
  <c r="Z683" i="7" s="1"/>
  <c r="Z655" i="7" s="1"/>
  <c r="Z104" i="7" s="1"/>
  <c r="AM676" i="7"/>
  <c r="AM683" i="7" s="1"/>
  <c r="AM655" i="7" s="1"/>
  <c r="AM104" i="7" s="1"/>
  <c r="AN676" i="7"/>
  <c r="AN683" i="7" s="1"/>
  <c r="AN655" i="7" s="1"/>
  <c r="AN104" i="7" s="1"/>
  <c r="AO676" i="7"/>
  <c r="AO683" i="7" s="1"/>
  <c r="AO655" i="7" s="1"/>
  <c r="AO104" i="7" s="1"/>
  <c r="R706" i="7"/>
  <c r="R715" i="7" s="1"/>
  <c r="R687" i="7" s="1"/>
  <c r="R105" i="7" s="1"/>
  <c r="S706" i="7"/>
  <c r="S715" i="7" s="1"/>
  <c r="S687" i="7" s="1"/>
  <c r="S105" i="7" s="1"/>
  <c r="T706" i="7"/>
  <c r="T715" i="7" s="1"/>
  <c r="T687" i="7" s="1"/>
  <c r="T105" i="7" s="1"/>
  <c r="U706" i="7"/>
  <c r="U715" i="7" s="1"/>
  <c r="U687" i="7" s="1"/>
  <c r="U105" i="7" s="1"/>
  <c r="V706" i="7"/>
  <c r="V715" i="7" s="1"/>
  <c r="V687" i="7" s="1"/>
  <c r="V105" i="7" s="1"/>
  <c r="W706" i="7"/>
  <c r="W715" i="7" s="1"/>
  <c r="W687" i="7" s="1"/>
  <c r="W105" i="7" s="1"/>
  <c r="X706" i="7"/>
  <c r="X715" i="7" s="1"/>
  <c r="X687" i="7" s="1"/>
  <c r="X105" i="7" s="1"/>
  <c r="Y706" i="7"/>
  <c r="Y715" i="7" s="1"/>
  <c r="Y687" i="7" s="1"/>
  <c r="Y105" i="7" s="1"/>
  <c r="Z706" i="7"/>
  <c r="Z715" i="7" s="1"/>
  <c r="Z687" i="7" s="1"/>
  <c r="Z105" i="7" s="1"/>
  <c r="AA706" i="7"/>
  <c r="AA715" i="7" s="1"/>
  <c r="AA687" i="7" s="1"/>
  <c r="AA105" i="7" s="1"/>
  <c r="AB706" i="7"/>
  <c r="AB715" i="7" s="1"/>
  <c r="AB687" i="7" s="1"/>
  <c r="AB105" i="7" s="1"/>
  <c r="AC706" i="7"/>
  <c r="AC715" i="7" s="1"/>
  <c r="AC687" i="7" s="1"/>
  <c r="AC105" i="7" s="1"/>
  <c r="AD706" i="7"/>
  <c r="AD715" i="7" s="1"/>
  <c r="AD687" i="7" s="1"/>
  <c r="AD105" i="7" s="1"/>
  <c r="AE706" i="7"/>
  <c r="AE715" i="7" s="1"/>
  <c r="AE687" i="7" s="1"/>
  <c r="AE105" i="7" s="1"/>
  <c r="AF706" i="7"/>
  <c r="AF715" i="7" s="1"/>
  <c r="AF687" i="7" s="1"/>
  <c r="AF105" i="7" s="1"/>
  <c r="W738" i="7"/>
  <c r="X738" i="7"/>
  <c r="Y738" i="7"/>
  <c r="Z738" i="7"/>
  <c r="AA738" i="7"/>
  <c r="AB738" i="7"/>
  <c r="AC738" i="7"/>
  <c r="AD738" i="7"/>
  <c r="AE738" i="7"/>
  <c r="AF738" i="7"/>
  <c r="AG738" i="7"/>
  <c r="AH738" i="7"/>
  <c r="AI738" i="7"/>
  <c r="AJ738" i="7"/>
  <c r="AK738" i="7"/>
  <c r="AL738" i="7"/>
  <c r="AM738" i="7"/>
  <c r="AN738" i="7"/>
  <c r="AO738" i="7"/>
  <c r="AP676" i="7"/>
  <c r="AP683" i="7" s="1"/>
  <c r="AP655" i="7" s="1"/>
  <c r="AP320" i="7"/>
  <c r="AP462" i="7"/>
  <c r="AP514" i="7"/>
  <c r="AP671" i="7"/>
  <c r="AP656" i="7" s="1"/>
  <c r="AP109" i="7" s="1"/>
  <c r="B661" i="7"/>
  <c r="C335" i="7" s="1"/>
  <c r="AA675" i="7"/>
  <c r="AA683" i="7" s="1"/>
  <c r="AA655" i="7" s="1"/>
  <c r="AA104" i="7" s="1"/>
  <c r="AB675" i="7"/>
  <c r="AB683" i="7" s="1"/>
  <c r="AB655" i="7" s="1"/>
  <c r="AB104" i="7" s="1"/>
  <c r="AC675" i="7"/>
  <c r="AC683" i="7" s="1"/>
  <c r="AC655" i="7" s="1"/>
  <c r="AC104" i="7" s="1"/>
  <c r="AD675" i="7"/>
  <c r="AD683" i="7" s="1"/>
  <c r="AD655" i="7" s="1"/>
  <c r="AD104" i="7" s="1"/>
  <c r="AE675" i="7"/>
  <c r="AE683" i="7" s="1"/>
  <c r="AE655" i="7" s="1"/>
  <c r="AE104" i="7" s="1"/>
  <c r="AF675" i="7"/>
  <c r="AF683" i="7" s="1"/>
  <c r="AF655" i="7" s="1"/>
  <c r="AF104" i="7" s="1"/>
  <c r="AG675" i="7"/>
  <c r="AG683" i="7" s="1"/>
  <c r="AG655" i="7" s="1"/>
  <c r="AG104" i="7" s="1"/>
  <c r="AH675" i="7"/>
  <c r="AH683" i="7" s="1"/>
  <c r="AH655" i="7" s="1"/>
  <c r="AH104" i="7" s="1"/>
  <c r="AI675" i="7"/>
  <c r="AI683" i="7" s="1"/>
  <c r="AI655" i="7" s="1"/>
  <c r="AI104" i="7" s="1"/>
  <c r="AJ675" i="7"/>
  <c r="AJ683" i="7" s="1"/>
  <c r="AJ655" i="7" s="1"/>
  <c r="AJ104" i="7" s="1"/>
  <c r="AK675" i="7"/>
  <c r="AK683" i="7" s="1"/>
  <c r="AK655" i="7" s="1"/>
  <c r="AK104" i="7" s="1"/>
  <c r="AL675" i="7"/>
  <c r="AL683" i="7" s="1"/>
  <c r="AL655" i="7" s="1"/>
  <c r="AL104" i="7" s="1"/>
  <c r="AP703" i="7"/>
  <c r="AP688" i="7" s="1"/>
  <c r="AP110" i="7" s="1"/>
  <c r="B693" i="7"/>
  <c r="AP361" i="7" s="1"/>
  <c r="AG707" i="7"/>
  <c r="AG715" i="7" s="1"/>
  <c r="AG687" i="7" s="1"/>
  <c r="AG105" i="7" s="1"/>
  <c r="AH707" i="7"/>
  <c r="AH715" i="7" s="1"/>
  <c r="AH687" i="7" s="1"/>
  <c r="AH105" i="7" s="1"/>
  <c r="AI707" i="7"/>
  <c r="AI715" i="7" s="1"/>
  <c r="AI687" i="7" s="1"/>
  <c r="AI105" i="7" s="1"/>
  <c r="AJ707" i="7"/>
  <c r="AJ715" i="7" s="1"/>
  <c r="AJ687" i="7" s="1"/>
  <c r="AJ105" i="7" s="1"/>
  <c r="AK707" i="7"/>
  <c r="AK715" i="7" s="1"/>
  <c r="AK687" i="7" s="1"/>
  <c r="AK105" i="7" s="1"/>
  <c r="AL707" i="7"/>
  <c r="AL715" i="7" s="1"/>
  <c r="AL687" i="7" s="1"/>
  <c r="AL105" i="7" s="1"/>
  <c r="AM707" i="7"/>
  <c r="AM715" i="7" s="1"/>
  <c r="AM687" i="7" s="1"/>
  <c r="AM105" i="7" s="1"/>
  <c r="AN707" i="7"/>
  <c r="AN715" i="7" s="1"/>
  <c r="AN687" i="7" s="1"/>
  <c r="AN105" i="7" s="1"/>
  <c r="AO707" i="7"/>
  <c r="AO715" i="7" s="1"/>
  <c r="AO687" i="7" s="1"/>
  <c r="AO105" i="7" s="1"/>
  <c r="AP735" i="7"/>
  <c r="AP720" i="7" s="1"/>
  <c r="AP111" i="7" s="1"/>
  <c r="B725" i="7"/>
  <c r="AP707" i="7"/>
  <c r="U104" i="7" l="1"/>
  <c r="V104" i="7"/>
  <c r="AP500" i="7"/>
  <c r="AP474" i="7"/>
  <c r="AP517" i="7"/>
  <c r="AP529" i="7" s="1"/>
  <c r="B529" i="7" s="1"/>
  <c r="AP390" i="7"/>
  <c r="B390" i="7" s="1"/>
  <c r="AP496" i="7"/>
  <c r="AP508" i="7" s="1"/>
  <c r="B508" i="7" s="1"/>
  <c r="AP369" i="7"/>
  <c r="B369" i="7" s="1"/>
  <c r="AP519" i="7"/>
  <c r="AP531" i="7" s="1"/>
  <c r="B531" i="7" s="1"/>
  <c r="AP392" i="7"/>
  <c r="B392" i="7" s="1"/>
  <c r="AP491" i="7"/>
  <c r="AP503" i="7" s="1"/>
  <c r="B503" i="7" s="1"/>
  <c r="AP364" i="7"/>
  <c r="B364" i="7" s="1"/>
  <c r="C387" i="7"/>
  <c r="D387" i="7"/>
  <c r="D397" i="7" s="1"/>
  <c r="C526" i="7"/>
  <c r="C536" i="7" s="1"/>
  <c r="F387" i="7"/>
  <c r="F397" i="7" s="1"/>
  <c r="D526" i="7"/>
  <c r="D536" i="7" s="1"/>
  <c r="E387" i="7"/>
  <c r="E397" i="7" s="1"/>
  <c r="G387" i="7"/>
  <c r="G397" i="7" s="1"/>
  <c r="E526" i="7"/>
  <c r="E536" i="7" s="1"/>
  <c r="F526" i="7"/>
  <c r="F536" i="7" s="1"/>
  <c r="H387" i="7"/>
  <c r="H397" i="7" s="1"/>
  <c r="G526" i="7"/>
  <c r="G536" i="7" s="1"/>
  <c r="H526" i="7"/>
  <c r="H536" i="7" s="1"/>
  <c r="I387" i="7"/>
  <c r="I397" i="7" s="1"/>
  <c r="I526" i="7"/>
  <c r="J387" i="7"/>
  <c r="J397" i="7" s="1"/>
  <c r="J526" i="7"/>
  <c r="J536" i="7" s="1"/>
  <c r="K387" i="7"/>
  <c r="K397" i="7" s="1"/>
  <c r="K526" i="7"/>
  <c r="K536" i="7" s="1"/>
  <c r="L387" i="7"/>
  <c r="L397" i="7" s="1"/>
  <c r="M387" i="7"/>
  <c r="M397" i="7" s="1"/>
  <c r="N387" i="7"/>
  <c r="N397" i="7" s="1"/>
  <c r="L526" i="7"/>
  <c r="L536" i="7" s="1"/>
  <c r="N526" i="7"/>
  <c r="N536" i="7" s="1"/>
  <c r="M526" i="7"/>
  <c r="M536" i="7" s="1"/>
  <c r="O387" i="7"/>
  <c r="O397" i="7" s="1"/>
  <c r="O526" i="7"/>
  <c r="O536" i="7" s="1"/>
  <c r="P387" i="7"/>
  <c r="P397" i="7" s="1"/>
  <c r="Q387" i="7"/>
  <c r="Q397" i="7" s="1"/>
  <c r="P526" i="7"/>
  <c r="P536" i="7" s="1"/>
  <c r="R387" i="7"/>
  <c r="R397" i="7" s="1"/>
  <c r="Q526" i="7"/>
  <c r="Q536" i="7" s="1"/>
  <c r="S387" i="7"/>
  <c r="S397" i="7" s="1"/>
  <c r="R526" i="7"/>
  <c r="R536" i="7" s="1"/>
  <c r="S526" i="7"/>
  <c r="S536" i="7" s="1"/>
  <c r="T387" i="7"/>
  <c r="T397" i="7" s="1"/>
  <c r="T526" i="7"/>
  <c r="T536" i="7" s="1"/>
  <c r="U387" i="7"/>
  <c r="U397" i="7" s="1"/>
  <c r="V387" i="7"/>
  <c r="V397" i="7" s="1"/>
  <c r="U526" i="7"/>
  <c r="U536" i="7" s="1"/>
  <c r="V526" i="7"/>
  <c r="V536" i="7" s="1"/>
  <c r="W387" i="7"/>
  <c r="W397" i="7" s="1"/>
  <c r="X387" i="7"/>
  <c r="X397" i="7" s="1"/>
  <c r="W526" i="7"/>
  <c r="W536" i="7" s="1"/>
  <c r="Y387" i="7"/>
  <c r="Y397" i="7" s="1"/>
  <c r="X526" i="7"/>
  <c r="X536" i="7" s="1"/>
  <c r="Y526" i="7"/>
  <c r="Y536" i="7" s="1"/>
  <c r="Z387" i="7"/>
  <c r="Z397" i="7" s="1"/>
  <c r="AA387" i="7"/>
  <c r="AA397" i="7" s="1"/>
  <c r="Z526" i="7"/>
  <c r="Z536" i="7" s="1"/>
  <c r="AA526" i="7"/>
  <c r="AA536" i="7" s="1"/>
  <c r="AB387" i="7"/>
  <c r="AB397" i="7" s="1"/>
  <c r="AC387" i="7"/>
  <c r="AC397" i="7" s="1"/>
  <c r="AB526" i="7"/>
  <c r="AB536" i="7" s="1"/>
  <c r="AD387" i="7"/>
  <c r="AD397" i="7" s="1"/>
  <c r="AC526" i="7"/>
  <c r="AC536" i="7" s="1"/>
  <c r="AD526" i="7"/>
  <c r="AD536" i="7" s="1"/>
  <c r="AE387" i="7"/>
  <c r="AE397" i="7" s="1"/>
  <c r="AF387" i="7"/>
  <c r="AF397" i="7" s="1"/>
  <c r="AE526" i="7"/>
  <c r="AE536" i="7" s="1"/>
  <c r="AG387" i="7"/>
  <c r="AG397" i="7" s="1"/>
  <c r="AF526" i="7"/>
  <c r="AF536" i="7" s="1"/>
  <c r="AH387" i="7"/>
  <c r="AH397" i="7" s="1"/>
  <c r="AG526" i="7"/>
  <c r="AG536" i="7" s="1"/>
  <c r="AH526" i="7"/>
  <c r="AH536" i="7" s="1"/>
  <c r="AI387" i="7"/>
  <c r="AI397" i="7" s="1"/>
  <c r="AI526" i="7"/>
  <c r="AI536" i="7" s="1"/>
  <c r="AJ387" i="7"/>
  <c r="AJ397" i="7" s="1"/>
  <c r="AJ526" i="7"/>
  <c r="AJ536" i="7" s="1"/>
  <c r="AK387" i="7"/>
  <c r="AK397" i="7" s="1"/>
  <c r="AL387" i="7"/>
  <c r="AL397" i="7" s="1"/>
  <c r="AK526" i="7"/>
  <c r="AK536" i="7" s="1"/>
  <c r="AL526" i="7"/>
  <c r="AL536" i="7" s="1"/>
  <c r="AM387" i="7"/>
  <c r="AM397" i="7" s="1"/>
  <c r="AM526" i="7"/>
  <c r="AM536" i="7" s="1"/>
  <c r="AN387" i="7"/>
  <c r="AN397" i="7" s="1"/>
  <c r="AN526" i="7"/>
  <c r="AN536" i="7" s="1"/>
  <c r="AO387" i="7"/>
  <c r="AO397" i="7" s="1"/>
  <c r="AP471" i="7"/>
  <c r="AP483" i="7" s="1"/>
  <c r="B483" i="7" s="1"/>
  <c r="AP344" i="7"/>
  <c r="B344" i="7" s="1"/>
  <c r="D335" i="7"/>
  <c r="C474" i="7"/>
  <c r="F335" i="7"/>
  <c r="F345" i="7" s="1"/>
  <c r="D474" i="7"/>
  <c r="D484" i="7" s="1"/>
  <c r="E335" i="7"/>
  <c r="E345" i="7" s="1"/>
  <c r="F474" i="7"/>
  <c r="F484" i="7" s="1"/>
  <c r="E474" i="7"/>
  <c r="E484" i="7" s="1"/>
  <c r="G335" i="7"/>
  <c r="G345" i="7" s="1"/>
  <c r="G474" i="7"/>
  <c r="G484" i="7" s="1"/>
  <c r="H335" i="7"/>
  <c r="H345" i="7" s="1"/>
  <c r="I335" i="7"/>
  <c r="I345" i="7" s="1"/>
  <c r="H474" i="7"/>
  <c r="H484" i="7" s="1"/>
  <c r="I474" i="7"/>
  <c r="I484" i="7" s="1"/>
  <c r="J335" i="7"/>
  <c r="J345" i="7" s="1"/>
  <c r="J474" i="7"/>
  <c r="J484" i="7" s="1"/>
  <c r="K335" i="7"/>
  <c r="K345" i="7" s="1"/>
  <c r="M335" i="7"/>
  <c r="M345" i="7" s="1"/>
  <c r="L335" i="7"/>
  <c r="L345" i="7" s="1"/>
  <c r="K474" i="7"/>
  <c r="K484" i="7" s="1"/>
  <c r="N335" i="7"/>
  <c r="N345" i="7" s="1"/>
  <c r="L474" i="7"/>
  <c r="L484" i="7" s="1"/>
  <c r="M474" i="7"/>
  <c r="M484" i="7" s="1"/>
  <c r="N474" i="7"/>
  <c r="N484" i="7" s="1"/>
  <c r="O335" i="7"/>
  <c r="O345" i="7" s="1"/>
  <c r="O474" i="7"/>
  <c r="O484" i="7" s="1"/>
  <c r="P335" i="7"/>
  <c r="P345" i="7" s="1"/>
  <c r="Q335" i="7"/>
  <c r="Q345" i="7" s="1"/>
  <c r="P474" i="7"/>
  <c r="P484" i="7" s="1"/>
  <c r="R335" i="7"/>
  <c r="R345" i="7" s="1"/>
  <c r="Q474" i="7"/>
  <c r="Q484" i="7" s="1"/>
  <c r="S335" i="7"/>
  <c r="S345" i="7" s="1"/>
  <c r="R474" i="7"/>
  <c r="R484" i="7" s="1"/>
  <c r="S474" i="7"/>
  <c r="S484" i="7" s="1"/>
  <c r="T335" i="7"/>
  <c r="T345" i="7" s="1"/>
  <c r="U335" i="7"/>
  <c r="U345" i="7" s="1"/>
  <c r="T474" i="7"/>
  <c r="T484" i="7" s="1"/>
  <c r="V335" i="7"/>
  <c r="V345" i="7" s="1"/>
  <c r="U474" i="7"/>
  <c r="U484" i="7" s="1"/>
  <c r="W335" i="7"/>
  <c r="W345" i="7" s="1"/>
  <c r="V474" i="7"/>
  <c r="V484" i="7" s="1"/>
  <c r="X335" i="7"/>
  <c r="X345" i="7" s="1"/>
  <c r="W474" i="7"/>
  <c r="W484" i="7" s="1"/>
  <c r="X474" i="7"/>
  <c r="X484" i="7" s="1"/>
  <c r="Y335" i="7"/>
  <c r="Y345" i="7" s="1"/>
  <c r="Z335" i="7"/>
  <c r="Z345" i="7" s="1"/>
  <c r="Y474" i="7"/>
  <c r="Y484" i="7" s="1"/>
  <c r="AA335" i="7"/>
  <c r="AA345" i="7" s="1"/>
  <c r="AB335" i="7"/>
  <c r="AB345" i="7" s="1"/>
  <c r="Z474" i="7"/>
  <c r="Z484" i="7" s="1"/>
  <c r="AC335" i="7"/>
  <c r="AC345" i="7" s="1"/>
  <c r="AA474" i="7"/>
  <c r="AA484" i="7" s="1"/>
  <c r="AB474" i="7"/>
  <c r="AB484" i="7" s="1"/>
  <c r="AC474" i="7"/>
  <c r="AC484" i="7" s="1"/>
  <c r="AD335" i="7"/>
  <c r="AD345" i="7" s="1"/>
  <c r="AE335" i="7"/>
  <c r="AE345" i="7" s="1"/>
  <c r="AD474" i="7"/>
  <c r="AD484" i="7" s="1"/>
  <c r="AF335" i="7"/>
  <c r="AF345" i="7" s="1"/>
  <c r="AE474" i="7"/>
  <c r="AE484" i="7" s="1"/>
  <c r="AG335" i="7"/>
  <c r="AG345" i="7" s="1"/>
  <c r="AF474" i="7"/>
  <c r="AF484" i="7" s="1"/>
  <c r="AG474" i="7"/>
  <c r="AG484" i="7" s="1"/>
  <c r="AH335" i="7"/>
  <c r="AH345" i="7" s="1"/>
  <c r="AI335" i="7"/>
  <c r="AI345" i="7" s="1"/>
  <c r="AH474" i="7"/>
  <c r="AH484" i="7" s="1"/>
  <c r="AJ335" i="7"/>
  <c r="AJ345" i="7" s="1"/>
  <c r="AI474" i="7"/>
  <c r="AI484" i="7" s="1"/>
  <c r="AJ474" i="7"/>
  <c r="AJ484" i="7" s="1"/>
  <c r="AK335" i="7"/>
  <c r="AK345" i="7" s="1"/>
  <c r="AK474" i="7"/>
  <c r="AK484" i="7" s="1"/>
  <c r="AL335" i="7"/>
  <c r="AL345" i="7" s="1"/>
  <c r="AL474" i="7"/>
  <c r="AL484" i="7" s="1"/>
  <c r="AM335" i="7"/>
  <c r="AM345" i="7" s="1"/>
  <c r="AM474" i="7"/>
  <c r="AM484" i="7" s="1"/>
  <c r="AN335" i="7"/>
  <c r="AN345" i="7" s="1"/>
  <c r="AO335" i="7"/>
  <c r="AO345" i="7" s="1"/>
  <c r="AN474" i="7"/>
  <c r="AN484" i="7" s="1"/>
  <c r="AM747" i="7"/>
  <c r="AM719" i="7" s="1"/>
  <c r="AM106" i="7" s="1"/>
  <c r="AP467" i="7"/>
  <c r="AP479" i="7" s="1"/>
  <c r="B479" i="7" s="1"/>
  <c r="AP340" i="7"/>
  <c r="B340" i="7" s="1"/>
  <c r="AP494" i="7"/>
  <c r="AP506" i="7" s="1"/>
  <c r="B506" i="7" s="1"/>
  <c r="AP367" i="7"/>
  <c r="AP520" i="7"/>
  <c r="AP532" i="7" s="1"/>
  <c r="B532" i="7" s="1"/>
  <c r="AP393" i="7"/>
  <c r="B393" i="7" s="1"/>
  <c r="AO526" i="7"/>
  <c r="AO536" i="7" s="1"/>
  <c r="AP387" i="7"/>
  <c r="AP464" i="7"/>
  <c r="AP476" i="7" s="1"/>
  <c r="B476" i="7" s="1"/>
  <c r="AP337" i="7"/>
  <c r="B337" i="7" s="1"/>
  <c r="C361" i="7"/>
  <c r="D361" i="7"/>
  <c r="D371" i="7" s="1"/>
  <c r="F361" i="7"/>
  <c r="F371" i="7" s="1"/>
  <c r="C500" i="7"/>
  <c r="D500" i="7"/>
  <c r="D510" i="7" s="1"/>
  <c r="E361" i="7"/>
  <c r="E371" i="7" s="1"/>
  <c r="F500" i="7"/>
  <c r="F510" i="7" s="1"/>
  <c r="G361" i="7"/>
  <c r="G371" i="7" s="1"/>
  <c r="H361" i="7"/>
  <c r="H371" i="7" s="1"/>
  <c r="G500" i="7"/>
  <c r="G510" i="7" s="1"/>
  <c r="E500" i="7"/>
  <c r="E510" i="7" s="1"/>
  <c r="I361" i="7"/>
  <c r="I371" i="7" s="1"/>
  <c r="H500" i="7"/>
  <c r="H510" i="7" s="1"/>
  <c r="I500" i="7"/>
  <c r="I510" i="7" s="1"/>
  <c r="J361" i="7"/>
  <c r="J371" i="7" s="1"/>
  <c r="K361" i="7"/>
  <c r="K371" i="7" s="1"/>
  <c r="J500" i="7"/>
  <c r="J510" i="7" s="1"/>
  <c r="K500" i="7"/>
  <c r="K510" i="7" s="1"/>
  <c r="L361" i="7"/>
  <c r="L371" i="7" s="1"/>
  <c r="L500" i="7"/>
  <c r="L510" i="7" s="1"/>
  <c r="M361" i="7"/>
  <c r="M371" i="7" s="1"/>
  <c r="M500" i="7"/>
  <c r="M510" i="7" s="1"/>
  <c r="N361" i="7"/>
  <c r="N371" i="7" s="1"/>
  <c r="N500" i="7"/>
  <c r="N510" i="7" s="1"/>
  <c r="O361" i="7"/>
  <c r="O371" i="7" s="1"/>
  <c r="P361" i="7"/>
  <c r="P371" i="7" s="1"/>
  <c r="O500" i="7"/>
  <c r="O510" i="7" s="1"/>
  <c r="P500" i="7"/>
  <c r="P510" i="7" s="1"/>
  <c r="Q361" i="7"/>
  <c r="Q371" i="7" s="1"/>
  <c r="R361" i="7"/>
  <c r="R371" i="7" s="1"/>
  <c r="Q500" i="7"/>
  <c r="Q510" i="7" s="1"/>
  <c r="S361" i="7"/>
  <c r="S371" i="7" s="1"/>
  <c r="R500" i="7"/>
  <c r="R510" i="7" s="1"/>
  <c r="S500" i="7"/>
  <c r="S510" i="7" s="1"/>
  <c r="T361" i="7"/>
  <c r="T371" i="7" s="1"/>
  <c r="T500" i="7"/>
  <c r="T510" i="7" s="1"/>
  <c r="U361" i="7"/>
  <c r="U371" i="7" s="1"/>
  <c r="U500" i="7"/>
  <c r="U510" i="7" s="1"/>
  <c r="V361" i="7"/>
  <c r="V371" i="7" s="1"/>
  <c r="V500" i="7"/>
  <c r="V510" i="7" s="1"/>
  <c r="W361" i="7"/>
  <c r="W371" i="7" s="1"/>
  <c r="W500" i="7"/>
  <c r="W510" i="7" s="1"/>
  <c r="X361" i="7"/>
  <c r="X371" i="7" s="1"/>
  <c r="X500" i="7"/>
  <c r="X510" i="7" s="1"/>
  <c r="Y361" i="7"/>
  <c r="Y371" i="7" s="1"/>
  <c r="Y500" i="7"/>
  <c r="Y510" i="7" s="1"/>
  <c r="Z361" i="7"/>
  <c r="Z371" i="7" s="1"/>
  <c r="Z500" i="7"/>
  <c r="Z510" i="7" s="1"/>
  <c r="AA361" i="7"/>
  <c r="AA371" i="7" s="1"/>
  <c r="AB361" i="7"/>
  <c r="AB371" i="7" s="1"/>
  <c r="AA500" i="7"/>
  <c r="AA510" i="7" s="1"/>
  <c r="AC361" i="7"/>
  <c r="AC371" i="7" s="1"/>
  <c r="AB500" i="7"/>
  <c r="AB510" i="7" s="1"/>
  <c r="AC500" i="7"/>
  <c r="AC510" i="7" s="1"/>
  <c r="AD361" i="7"/>
  <c r="AD371" i="7" s="1"/>
  <c r="AE361" i="7"/>
  <c r="AE371" i="7" s="1"/>
  <c r="AD500" i="7"/>
  <c r="AD510" i="7" s="1"/>
  <c r="AF361" i="7"/>
  <c r="AF371" i="7" s="1"/>
  <c r="AE500" i="7"/>
  <c r="AE510" i="7" s="1"/>
  <c r="AG361" i="7"/>
  <c r="AG371" i="7" s="1"/>
  <c r="AF500" i="7"/>
  <c r="AF510" i="7" s="1"/>
  <c r="AG500" i="7"/>
  <c r="AG510" i="7" s="1"/>
  <c r="AH361" i="7"/>
  <c r="AH371" i="7" s="1"/>
  <c r="AH500" i="7"/>
  <c r="AH510" i="7" s="1"/>
  <c r="AI361" i="7"/>
  <c r="AI371" i="7" s="1"/>
  <c r="AJ361" i="7"/>
  <c r="AJ371" i="7" s="1"/>
  <c r="AI500" i="7"/>
  <c r="AI510" i="7" s="1"/>
  <c r="AK361" i="7"/>
  <c r="AK371" i="7" s="1"/>
  <c r="AJ500" i="7"/>
  <c r="AJ510" i="7" s="1"/>
  <c r="AK500" i="7"/>
  <c r="AK510" i="7" s="1"/>
  <c r="AL361" i="7"/>
  <c r="AL371" i="7" s="1"/>
  <c r="AM361" i="7"/>
  <c r="AM371" i="7" s="1"/>
  <c r="AL500" i="7"/>
  <c r="AL510" i="7" s="1"/>
  <c r="AM500" i="7"/>
  <c r="AM510" i="7" s="1"/>
  <c r="AN361" i="7"/>
  <c r="AN371" i="7" s="1"/>
  <c r="AO361" i="7"/>
  <c r="AO371" i="7" s="1"/>
  <c r="AN500" i="7"/>
  <c r="AN510" i="7" s="1"/>
  <c r="AP526" i="7"/>
  <c r="AP523" i="7"/>
  <c r="AP535" i="7" s="1"/>
  <c r="B535" i="7" s="1"/>
  <c r="AP396" i="7"/>
  <c r="B396" i="7" s="1"/>
  <c r="AP522" i="7"/>
  <c r="AP534" i="7" s="1"/>
  <c r="B534" i="7" s="1"/>
  <c r="AP395" i="7"/>
  <c r="B395" i="7" s="1"/>
  <c r="AP335" i="7"/>
  <c r="AP515" i="7"/>
  <c r="AP527" i="7" s="1"/>
  <c r="B527" i="7" s="1"/>
  <c r="AP388" i="7"/>
  <c r="B388" i="7" s="1"/>
  <c r="AP466" i="7"/>
  <c r="AP478" i="7" s="1"/>
  <c r="B478" i="7" s="1"/>
  <c r="AP339" i="7"/>
  <c r="B339" i="7" s="1"/>
  <c r="AP518" i="7"/>
  <c r="AP530" i="7" s="1"/>
  <c r="B530" i="7" s="1"/>
  <c r="AP391" i="7"/>
  <c r="B391" i="7" s="1"/>
  <c r="AO500" i="7"/>
  <c r="AO510" i="7" s="1"/>
  <c r="AP469" i="7"/>
  <c r="AP481" i="7" s="1"/>
  <c r="B481" i="7" s="1"/>
  <c r="AP342" i="7"/>
  <c r="B342" i="7" s="1"/>
  <c r="AP490" i="7"/>
  <c r="AP502" i="7" s="1"/>
  <c r="B502" i="7" s="1"/>
  <c r="AP363" i="7"/>
  <c r="B363" i="7" s="1"/>
  <c r="AP468" i="7"/>
  <c r="AP480" i="7" s="1"/>
  <c r="B480" i="7" s="1"/>
  <c r="AP341" i="7"/>
  <c r="AO474" i="7"/>
  <c r="AO484" i="7" s="1"/>
  <c r="AO747" i="7"/>
  <c r="AO719" i="7" s="1"/>
  <c r="AO106" i="7" s="1"/>
  <c r="AO120" i="7"/>
  <c r="AO121" i="7" s="1"/>
  <c r="Q104" i="7"/>
  <c r="T104" i="7"/>
  <c r="P104" i="7"/>
  <c r="S104" i="7"/>
  <c r="R104" i="7"/>
  <c r="AP495" i="7"/>
  <c r="AP507" i="7" s="1"/>
  <c r="B507" i="7" s="1"/>
  <c r="AP470" i="7"/>
  <c r="AP482" i="7" s="1"/>
  <c r="B482" i="7" s="1"/>
  <c r="AP465" i="7"/>
  <c r="AP747" i="7"/>
  <c r="AP719" i="7" s="1"/>
  <c r="AP106" i="7" s="1"/>
  <c r="AJ747" i="7"/>
  <c r="AJ719" i="7" s="1"/>
  <c r="AJ106" i="7" s="1"/>
  <c r="AH747" i="7"/>
  <c r="AH719" i="7" s="1"/>
  <c r="AH106" i="7" s="1"/>
  <c r="AK747" i="7"/>
  <c r="AK719" i="7" s="1"/>
  <c r="AK106" i="7" s="1"/>
  <c r="AL747" i="7"/>
  <c r="AL719" i="7" s="1"/>
  <c r="AL106" i="7" s="1"/>
  <c r="AG747" i="7"/>
  <c r="AG719" i="7" s="1"/>
  <c r="AG106" i="7" s="1"/>
  <c r="AA747" i="7"/>
  <c r="AA719" i="7" s="1"/>
  <c r="AA106" i="7" s="1"/>
  <c r="AN747" i="7"/>
  <c r="AN719" i="7" s="1"/>
  <c r="AN106" i="7" s="1"/>
  <c r="AI747" i="7"/>
  <c r="AI719" i="7" s="1"/>
  <c r="AI106" i="7" s="1"/>
  <c r="AP516" i="7"/>
  <c r="AF747" i="7"/>
  <c r="AF719" i="7" s="1"/>
  <c r="AF106" i="7" s="1"/>
  <c r="AC747" i="7"/>
  <c r="AC719" i="7" s="1"/>
  <c r="AC106" i="7" s="1"/>
  <c r="Z747" i="7"/>
  <c r="Z719" i="7" s="1"/>
  <c r="Z106" i="7" s="1"/>
  <c r="W747" i="7"/>
  <c r="W719" i="7" s="1"/>
  <c r="W106" i="7" s="1"/>
  <c r="AP493" i="7"/>
  <c r="AP489" i="7"/>
  <c r="AP521" i="7"/>
  <c r="X747" i="7"/>
  <c r="X719" i="7" s="1"/>
  <c r="X106" i="7" s="1"/>
  <c r="AD747" i="7"/>
  <c r="AD719" i="7" s="1"/>
  <c r="AD106" i="7" s="1"/>
  <c r="AP463" i="7"/>
  <c r="AB747" i="7"/>
  <c r="AB719" i="7" s="1"/>
  <c r="AB106" i="7" s="1"/>
  <c r="AP492" i="7"/>
  <c r="AE747" i="7"/>
  <c r="AE719" i="7" s="1"/>
  <c r="AE106" i="7" s="1"/>
  <c r="Y747" i="7"/>
  <c r="Y719" i="7" s="1"/>
  <c r="Y106" i="7" s="1"/>
  <c r="O104" i="7"/>
  <c r="B742" i="7"/>
  <c r="B674" i="7"/>
  <c r="B741" i="7"/>
  <c r="B746" i="7"/>
  <c r="B745" i="7"/>
  <c r="B739" i="7"/>
  <c r="B744" i="7"/>
  <c r="B740" i="7"/>
  <c r="B743" i="7"/>
  <c r="B738" i="7"/>
  <c r="B675" i="7"/>
  <c r="B706" i="7"/>
  <c r="B707" i="7"/>
  <c r="AP104" i="7"/>
  <c r="B676" i="7"/>
  <c r="D737" i="7"/>
  <c r="D747" i="7" s="1"/>
  <c r="D719" i="7" s="1"/>
  <c r="D106" i="7" s="1"/>
  <c r="C737" i="7"/>
  <c r="E737" i="7"/>
  <c r="E747" i="7" s="1"/>
  <c r="E719" i="7" s="1"/>
  <c r="E106" i="7" s="1"/>
  <c r="F737" i="7"/>
  <c r="F747" i="7" s="1"/>
  <c r="F719" i="7" s="1"/>
  <c r="F106" i="7" s="1"/>
  <c r="G737" i="7"/>
  <c r="G747" i="7" s="1"/>
  <c r="G719" i="7" s="1"/>
  <c r="G106" i="7" s="1"/>
  <c r="H737" i="7"/>
  <c r="H747" i="7" s="1"/>
  <c r="H719" i="7" s="1"/>
  <c r="H106" i="7" s="1"/>
  <c r="I737" i="7"/>
  <c r="I747" i="7" s="1"/>
  <c r="I719" i="7" s="1"/>
  <c r="I106" i="7" s="1"/>
  <c r="J737" i="7"/>
  <c r="J747" i="7" s="1"/>
  <c r="J719" i="7" s="1"/>
  <c r="J106" i="7" s="1"/>
  <c r="K737" i="7"/>
  <c r="K747" i="7" s="1"/>
  <c r="K719" i="7" s="1"/>
  <c r="K106" i="7" s="1"/>
  <c r="L737" i="7"/>
  <c r="L747" i="7" s="1"/>
  <c r="L719" i="7" s="1"/>
  <c r="L106" i="7" s="1"/>
  <c r="M737" i="7"/>
  <c r="M747" i="7" s="1"/>
  <c r="M719" i="7" s="1"/>
  <c r="M106" i="7" s="1"/>
  <c r="N737" i="7"/>
  <c r="N747" i="7" s="1"/>
  <c r="N719" i="7" s="1"/>
  <c r="N106" i="7" s="1"/>
  <c r="O737" i="7"/>
  <c r="O747" i="7" s="1"/>
  <c r="O719" i="7" s="1"/>
  <c r="O106" i="7" s="1"/>
  <c r="P737" i="7"/>
  <c r="P747" i="7" s="1"/>
  <c r="P719" i="7" s="1"/>
  <c r="P106" i="7" s="1"/>
  <c r="Q737" i="7"/>
  <c r="Q747" i="7" s="1"/>
  <c r="Q719" i="7" s="1"/>
  <c r="Q106" i="7" s="1"/>
  <c r="R737" i="7"/>
  <c r="R747" i="7" s="1"/>
  <c r="R719" i="7" s="1"/>
  <c r="R106" i="7" s="1"/>
  <c r="S737" i="7"/>
  <c r="S747" i="7" s="1"/>
  <c r="S719" i="7" s="1"/>
  <c r="S106" i="7" s="1"/>
  <c r="T737" i="7"/>
  <c r="T747" i="7" s="1"/>
  <c r="T719" i="7" s="1"/>
  <c r="T106" i="7" s="1"/>
  <c r="U737" i="7"/>
  <c r="U747" i="7" s="1"/>
  <c r="U719" i="7" s="1"/>
  <c r="U106" i="7" s="1"/>
  <c r="V737" i="7"/>
  <c r="V747" i="7" s="1"/>
  <c r="V719" i="7" s="1"/>
  <c r="V106" i="7" s="1"/>
  <c r="I536" i="7"/>
  <c r="AP715" i="7"/>
  <c r="AP687" i="7" s="1"/>
  <c r="AP105" i="7" s="1"/>
  <c r="B389" i="7"/>
  <c r="B343" i="7"/>
  <c r="AP112" i="7"/>
  <c r="B370" i="7"/>
  <c r="B509" i="7"/>
  <c r="B368" i="7"/>
  <c r="B362" i="7"/>
  <c r="D705" i="7"/>
  <c r="D715" i="7" s="1"/>
  <c r="D687" i="7" s="1"/>
  <c r="D105" i="7" s="1"/>
  <c r="C705" i="7"/>
  <c r="E705" i="7"/>
  <c r="E715" i="7" s="1"/>
  <c r="E687" i="7" s="1"/>
  <c r="E105" i="7" s="1"/>
  <c r="F705" i="7"/>
  <c r="F715" i="7" s="1"/>
  <c r="F687" i="7" s="1"/>
  <c r="F105" i="7" s="1"/>
  <c r="G705" i="7"/>
  <c r="G715" i="7" s="1"/>
  <c r="G687" i="7" s="1"/>
  <c r="G105" i="7" s="1"/>
  <c r="H705" i="7"/>
  <c r="H715" i="7" s="1"/>
  <c r="H687" i="7" s="1"/>
  <c r="H105" i="7" s="1"/>
  <c r="I705" i="7"/>
  <c r="I715" i="7" s="1"/>
  <c r="I687" i="7" s="1"/>
  <c r="I105" i="7" s="1"/>
  <c r="J705" i="7"/>
  <c r="J715" i="7" s="1"/>
  <c r="J687" i="7" s="1"/>
  <c r="J105" i="7" s="1"/>
  <c r="K705" i="7"/>
  <c r="K715" i="7" s="1"/>
  <c r="K687" i="7" s="1"/>
  <c r="K105" i="7" s="1"/>
  <c r="L705" i="7"/>
  <c r="L715" i="7" s="1"/>
  <c r="L687" i="7" s="1"/>
  <c r="L105" i="7" s="1"/>
  <c r="M705" i="7"/>
  <c r="M715" i="7" s="1"/>
  <c r="M687" i="7" s="1"/>
  <c r="N705" i="7"/>
  <c r="N715" i="7" s="1"/>
  <c r="N687" i="7" s="1"/>
  <c r="O705" i="7"/>
  <c r="O715" i="7" s="1"/>
  <c r="O687" i="7" s="1"/>
  <c r="P705" i="7"/>
  <c r="P715" i="7" s="1"/>
  <c r="P687" i="7" s="1"/>
  <c r="Q705" i="7"/>
  <c r="Q715" i="7" s="1"/>
  <c r="Q687" i="7" s="1"/>
  <c r="D673" i="7"/>
  <c r="D683" i="7" s="1"/>
  <c r="D655" i="7" s="1"/>
  <c r="C673" i="7"/>
  <c r="E673" i="7"/>
  <c r="E683" i="7" s="1"/>
  <c r="E655" i="7" s="1"/>
  <c r="F673" i="7"/>
  <c r="F683" i="7" s="1"/>
  <c r="F655" i="7" s="1"/>
  <c r="G673" i="7"/>
  <c r="G683" i="7" s="1"/>
  <c r="G655" i="7" s="1"/>
  <c r="H673" i="7"/>
  <c r="H683" i="7" s="1"/>
  <c r="H655" i="7" s="1"/>
  <c r="I673" i="7"/>
  <c r="I683" i="7" s="1"/>
  <c r="I655" i="7" s="1"/>
  <c r="J673" i="7"/>
  <c r="J683" i="7" s="1"/>
  <c r="J655" i="7" s="1"/>
  <c r="K673" i="7"/>
  <c r="K683" i="7" s="1"/>
  <c r="K655" i="7" s="1"/>
  <c r="L673" i="7"/>
  <c r="L683" i="7" s="1"/>
  <c r="L655" i="7" s="1"/>
  <c r="M673" i="7"/>
  <c r="M683" i="7" s="1"/>
  <c r="M655" i="7" s="1"/>
  <c r="N673" i="7"/>
  <c r="N683" i="7" s="1"/>
  <c r="N655" i="7" s="1"/>
  <c r="B365" i="7"/>
  <c r="B394" i="7"/>
  <c r="B366" i="7"/>
  <c r="B338" i="7"/>
  <c r="B336" i="7"/>
  <c r="B335" i="7" l="1"/>
  <c r="D345" i="7"/>
  <c r="AP504" i="7"/>
  <c r="B504" i="7" s="1"/>
  <c r="AP505" i="7"/>
  <c r="B505" i="7" s="1"/>
  <c r="AP477" i="7"/>
  <c r="B477" i="7" s="1"/>
  <c r="AP533" i="7"/>
  <c r="B533" i="7" s="1"/>
  <c r="AP528" i="7"/>
  <c r="B528" i="7" s="1"/>
  <c r="AP501" i="7"/>
  <c r="B501" i="7" s="1"/>
  <c r="AP475" i="7"/>
  <c r="B475" i="7" s="1"/>
  <c r="AP120" i="7"/>
  <c r="AP121" i="7" s="1"/>
  <c r="AP371" i="7"/>
  <c r="AP397" i="7"/>
  <c r="B367" i="7"/>
  <c r="AP345" i="7"/>
  <c r="B341" i="7"/>
  <c r="N104" i="7"/>
  <c r="M104" i="7"/>
  <c r="P105" i="7"/>
  <c r="N105" i="7"/>
  <c r="Q105" i="7"/>
  <c r="O105" i="7"/>
  <c r="M105" i="7"/>
  <c r="K104" i="7"/>
  <c r="I104" i="7"/>
  <c r="G104" i="7"/>
  <c r="E104" i="7"/>
  <c r="D104" i="7"/>
  <c r="L104" i="7"/>
  <c r="J104" i="7"/>
  <c r="H104" i="7"/>
  <c r="F104" i="7"/>
  <c r="B673" i="7"/>
  <c r="C683" i="7"/>
  <c r="C655" i="7" s="1"/>
  <c r="B500" i="7"/>
  <c r="C510" i="7"/>
  <c r="B705" i="7"/>
  <c r="C715" i="7"/>
  <c r="C687" i="7" s="1"/>
  <c r="C747" i="7"/>
  <c r="C719" i="7" s="1"/>
  <c r="B737" i="7"/>
  <c r="C345" i="7"/>
  <c r="C484" i="7"/>
  <c r="B474" i="7"/>
  <c r="C371" i="7"/>
  <c r="B361" i="7"/>
  <c r="C397" i="7"/>
  <c r="B387" i="7"/>
  <c r="B526" i="7"/>
  <c r="AP510" i="7" l="1"/>
  <c r="AP484" i="7"/>
  <c r="AP536" i="7"/>
  <c r="C106" i="7"/>
  <c r="C721" i="7"/>
  <c r="D718" i="7" s="1"/>
  <c r="D721" i="7" s="1"/>
  <c r="E718" i="7" s="1"/>
  <c r="E721" i="7" s="1"/>
  <c r="F718" i="7" s="1"/>
  <c r="F721" i="7" s="1"/>
  <c r="G718" i="7" s="1"/>
  <c r="G721" i="7" s="1"/>
  <c r="H718" i="7" s="1"/>
  <c r="H721" i="7" s="1"/>
  <c r="I718" i="7" s="1"/>
  <c r="I721" i="7" s="1"/>
  <c r="J718" i="7" s="1"/>
  <c r="J721" i="7" s="1"/>
  <c r="K718" i="7" s="1"/>
  <c r="K721" i="7" s="1"/>
  <c r="L718" i="7" s="1"/>
  <c r="L721" i="7" s="1"/>
  <c r="M718" i="7" s="1"/>
  <c r="M721" i="7" s="1"/>
  <c r="N718" i="7" s="1"/>
  <c r="N721" i="7" s="1"/>
  <c r="O718" i="7" s="1"/>
  <c r="O721" i="7" s="1"/>
  <c r="P718" i="7" s="1"/>
  <c r="P721" i="7" s="1"/>
  <c r="Q718" i="7" s="1"/>
  <c r="Q721" i="7" s="1"/>
  <c r="R718" i="7" s="1"/>
  <c r="R721" i="7" s="1"/>
  <c r="S718" i="7" s="1"/>
  <c r="S721" i="7" s="1"/>
  <c r="T718" i="7" s="1"/>
  <c r="T721" i="7" s="1"/>
  <c r="U718" i="7" s="1"/>
  <c r="U721" i="7" s="1"/>
  <c r="V718" i="7" s="1"/>
  <c r="V721" i="7" s="1"/>
  <c r="W718" i="7" s="1"/>
  <c r="W721" i="7" s="1"/>
  <c r="X718" i="7" s="1"/>
  <c r="X721" i="7" s="1"/>
  <c r="Y718" i="7" s="1"/>
  <c r="Y721" i="7" s="1"/>
  <c r="Z718" i="7" s="1"/>
  <c r="Z721" i="7" s="1"/>
  <c r="AA718" i="7" s="1"/>
  <c r="AA721" i="7" s="1"/>
  <c r="AB718" i="7" s="1"/>
  <c r="AB721" i="7" s="1"/>
  <c r="AC718" i="7" s="1"/>
  <c r="AC721" i="7" s="1"/>
  <c r="AD718" i="7" s="1"/>
  <c r="AD721" i="7" s="1"/>
  <c r="AE718" i="7" s="1"/>
  <c r="AE721" i="7" s="1"/>
  <c r="AF718" i="7" s="1"/>
  <c r="AF721" i="7" s="1"/>
  <c r="AG718" i="7" s="1"/>
  <c r="AG721" i="7" s="1"/>
  <c r="AH718" i="7" s="1"/>
  <c r="AH721" i="7" s="1"/>
  <c r="AI718" i="7" s="1"/>
  <c r="AI721" i="7" s="1"/>
  <c r="AJ718" i="7" s="1"/>
  <c r="AJ721" i="7" s="1"/>
  <c r="AK718" i="7" s="1"/>
  <c r="AK721" i="7" s="1"/>
  <c r="AL718" i="7" s="1"/>
  <c r="AL721" i="7" s="1"/>
  <c r="AM718" i="7" s="1"/>
  <c r="AM721" i="7" s="1"/>
  <c r="AN718" i="7" s="1"/>
  <c r="AN721" i="7" s="1"/>
  <c r="AO718" i="7" s="1"/>
  <c r="AO721" i="7" s="1"/>
  <c r="AP718" i="7" s="1"/>
  <c r="AP721" i="7" s="1"/>
  <c r="C105" i="7"/>
  <c r="C689" i="7"/>
  <c r="D686" i="7" s="1"/>
  <c r="D689" i="7" s="1"/>
  <c r="E686" i="7" s="1"/>
  <c r="E689" i="7" s="1"/>
  <c r="F686" i="7" s="1"/>
  <c r="F689" i="7" s="1"/>
  <c r="G686" i="7" s="1"/>
  <c r="G689" i="7" s="1"/>
  <c r="H686" i="7" s="1"/>
  <c r="H689" i="7" s="1"/>
  <c r="I686" i="7" s="1"/>
  <c r="I689" i="7" s="1"/>
  <c r="J686" i="7" s="1"/>
  <c r="J689" i="7" s="1"/>
  <c r="K686" i="7" s="1"/>
  <c r="K689" i="7" s="1"/>
  <c r="L686" i="7" s="1"/>
  <c r="L689" i="7" s="1"/>
  <c r="M686" i="7" s="1"/>
  <c r="M689" i="7" s="1"/>
  <c r="N686" i="7" s="1"/>
  <c r="N689" i="7" s="1"/>
  <c r="O686" i="7" s="1"/>
  <c r="O689" i="7" s="1"/>
  <c r="P686" i="7" s="1"/>
  <c r="P689" i="7" s="1"/>
  <c r="Q686" i="7" s="1"/>
  <c r="Q689" i="7" s="1"/>
  <c r="R686" i="7" s="1"/>
  <c r="R689" i="7" s="1"/>
  <c r="S686" i="7" s="1"/>
  <c r="S689" i="7" s="1"/>
  <c r="T686" i="7" s="1"/>
  <c r="T689" i="7" s="1"/>
  <c r="U686" i="7" s="1"/>
  <c r="U689" i="7" s="1"/>
  <c r="V686" i="7" s="1"/>
  <c r="V689" i="7" s="1"/>
  <c r="W686" i="7" s="1"/>
  <c r="W689" i="7" s="1"/>
  <c r="X686" i="7" s="1"/>
  <c r="X689" i="7" s="1"/>
  <c r="Y686" i="7" s="1"/>
  <c r="Y689" i="7" s="1"/>
  <c r="Z686" i="7" s="1"/>
  <c r="Z689" i="7" s="1"/>
  <c r="AA686" i="7" s="1"/>
  <c r="AA689" i="7" s="1"/>
  <c r="AB686" i="7" s="1"/>
  <c r="AB689" i="7" s="1"/>
  <c r="AC686" i="7" s="1"/>
  <c r="AC689" i="7" s="1"/>
  <c r="AD686" i="7" s="1"/>
  <c r="AD689" i="7" s="1"/>
  <c r="AE686" i="7" s="1"/>
  <c r="AE689" i="7" s="1"/>
  <c r="AF686" i="7" s="1"/>
  <c r="AF689" i="7" s="1"/>
  <c r="AG686" i="7" s="1"/>
  <c r="AG689" i="7" s="1"/>
  <c r="AH686" i="7" s="1"/>
  <c r="AH689" i="7" s="1"/>
  <c r="AI686" i="7" s="1"/>
  <c r="AI689" i="7" s="1"/>
  <c r="AJ686" i="7" s="1"/>
  <c r="AJ689" i="7" s="1"/>
  <c r="AK686" i="7" s="1"/>
  <c r="AK689" i="7" s="1"/>
  <c r="AL686" i="7" s="1"/>
  <c r="AL689" i="7" s="1"/>
  <c r="AM686" i="7" s="1"/>
  <c r="AM689" i="7" s="1"/>
  <c r="AN686" i="7" s="1"/>
  <c r="AN689" i="7" s="1"/>
  <c r="AO686" i="7" s="1"/>
  <c r="AO689" i="7" s="1"/>
  <c r="AP686" i="7" s="1"/>
  <c r="AP689" i="7" s="1"/>
  <c r="C104" i="7"/>
  <c r="C657" i="7"/>
  <c r="D654" i="7" s="1"/>
  <c r="D657" i="7" s="1"/>
  <c r="E654" i="7" s="1"/>
  <c r="E657" i="7" s="1"/>
  <c r="F654" i="7" s="1"/>
  <c r="F657" i="7" s="1"/>
  <c r="G654" i="7" s="1"/>
  <c r="G657" i="7" s="1"/>
  <c r="H654" i="7" s="1"/>
  <c r="H657" i="7" s="1"/>
  <c r="I654" i="7" s="1"/>
  <c r="I657" i="7" s="1"/>
  <c r="J654" i="7" s="1"/>
  <c r="J657" i="7" s="1"/>
  <c r="K654" i="7" s="1"/>
  <c r="K657" i="7" s="1"/>
  <c r="L654" i="7" s="1"/>
  <c r="L657" i="7" s="1"/>
  <c r="M654" i="7" l="1"/>
  <c r="M657" i="7" s="1"/>
  <c r="N654" i="7" l="1"/>
  <c r="N657" i="7" s="1"/>
  <c r="AO603" i="7" l="1"/>
  <c r="AO29" i="7" s="1"/>
  <c r="AO599" i="7"/>
  <c r="AO564" i="7"/>
  <c r="AO136" i="7" s="1"/>
  <c r="AO595" i="7"/>
  <c r="AO591" i="7"/>
  <c r="AO558" i="7"/>
  <c r="AO135" i="7" s="1"/>
  <c r="AO219" i="7" s="1"/>
  <c r="AO47" i="7"/>
  <c r="AN599" i="7"/>
  <c r="AN564" i="7"/>
  <c r="AN136" i="7" s="1"/>
  <c r="AN603" i="7"/>
  <c r="AN29" i="7" s="1"/>
  <c r="AN591" i="7"/>
  <c r="AN558" i="7"/>
  <c r="AN135" i="7" s="1"/>
  <c r="AN219" i="7" s="1"/>
  <c r="AN595" i="7"/>
  <c r="AN47" i="7"/>
  <c r="AM595" i="7"/>
  <c r="AM591" i="7"/>
  <c r="AM558" i="7"/>
  <c r="AM135" i="7" s="1"/>
  <c r="AM219" i="7" s="1"/>
  <c r="AM47" i="7"/>
  <c r="AM603" i="7"/>
  <c r="AM29" i="7" s="1"/>
  <c r="AM599" i="7"/>
  <c r="AM564" i="7"/>
  <c r="AM136" i="7" s="1"/>
  <c r="AL599" i="7"/>
  <c r="AL564" i="7"/>
  <c r="AL136" i="7" s="1"/>
  <c r="AL603" i="7"/>
  <c r="AL29" i="7" s="1"/>
  <c r="AL591" i="7"/>
  <c r="AL558" i="7"/>
  <c r="AL135" i="7" s="1"/>
  <c r="AL219" i="7" s="1"/>
  <c r="AL595" i="7"/>
  <c r="AL47" i="7"/>
  <c r="AK603" i="7"/>
  <c r="AK29" i="7" s="1"/>
  <c r="AK599" i="7"/>
  <c r="AK595" i="7"/>
  <c r="AK591" i="7"/>
  <c r="AK558" i="7"/>
  <c r="AK135" i="7" s="1"/>
  <c r="AK219" i="7" s="1"/>
  <c r="AK47" i="7"/>
  <c r="AK564" i="7"/>
  <c r="AK136" i="7" s="1"/>
  <c r="AJ591" i="7"/>
  <c r="AJ558" i="7"/>
  <c r="AJ135" i="7" s="1"/>
  <c r="AJ219" i="7" s="1"/>
  <c r="AJ595" i="7"/>
  <c r="AJ47" i="7"/>
  <c r="AJ599" i="7"/>
  <c r="AJ564" i="7"/>
  <c r="AJ136" i="7" s="1"/>
  <c r="AJ603" i="7"/>
  <c r="AJ29" i="7" s="1"/>
  <c r="AH591" i="7"/>
  <c r="AH558" i="7"/>
  <c r="AH135" i="7" s="1"/>
  <c r="AH219" i="7" s="1"/>
  <c r="AH595" i="7"/>
  <c r="AH47" i="7"/>
  <c r="AH599" i="7"/>
  <c r="AH564" i="7"/>
  <c r="AH136" i="7" s="1"/>
  <c r="AH603" i="7"/>
  <c r="AH29" i="7" s="1"/>
  <c r="AG595" i="7"/>
  <c r="AG591" i="7"/>
  <c r="AG558" i="7"/>
  <c r="AG135" i="7" s="1"/>
  <c r="AG219" i="7" s="1"/>
  <c r="AG47" i="7"/>
  <c r="AG603" i="7"/>
  <c r="AG29" i="7" s="1"/>
  <c r="AG599" i="7"/>
  <c r="AG564" i="7"/>
  <c r="AG136" i="7" s="1"/>
  <c r="AP599" i="7"/>
  <c r="AP564" i="7"/>
  <c r="AP136" i="7" s="1"/>
  <c r="AP603" i="7"/>
  <c r="AP29" i="7" s="1"/>
  <c r="AP591" i="7"/>
  <c r="AP558" i="7"/>
  <c r="AP135" i="7" s="1"/>
  <c r="AP219" i="7" s="1"/>
  <c r="AP595" i="7"/>
  <c r="AP47" i="7"/>
  <c r="AI595" i="7"/>
  <c r="AI558" i="7"/>
  <c r="AI135" i="7" s="1"/>
  <c r="AI219" i="7" s="1"/>
  <c r="AI603" i="7"/>
  <c r="AI29" i="7" s="1"/>
  <c r="AI599" i="7"/>
  <c r="AI564" i="7"/>
  <c r="AI136" i="7" s="1"/>
  <c r="AI591" i="7"/>
  <c r="AI47" i="7"/>
  <c r="C591" i="7"/>
  <c r="C599" i="7"/>
  <c r="C595" i="7"/>
  <c r="C558" i="7"/>
  <c r="C135" i="7" s="1"/>
  <c r="C219" i="7" s="1"/>
  <c r="C603" i="7"/>
  <c r="C29" i="7" s="1"/>
  <c r="C30" i="7" s="1"/>
  <c r="C33" i="7" s="1"/>
  <c r="C73" i="7" s="1"/>
  <c r="C564" i="7"/>
  <c r="C136" i="7" s="1"/>
  <c r="G603" i="7"/>
  <c r="G29" i="7" s="1"/>
  <c r="G564" i="7"/>
  <c r="G136" i="7" s="1"/>
  <c r="G591" i="7"/>
  <c r="G47" i="7"/>
  <c r="G599" i="7"/>
  <c r="G595" i="7"/>
  <c r="G558" i="7"/>
  <c r="G135" i="7" s="1"/>
  <c r="G219" i="7" s="1"/>
  <c r="K603" i="7"/>
  <c r="K29" i="7" s="1"/>
  <c r="K564" i="7"/>
  <c r="K136" i="7" s="1"/>
  <c r="K558" i="7"/>
  <c r="K135" i="7" s="1"/>
  <c r="K219" i="7" s="1"/>
  <c r="K591" i="7"/>
  <c r="K599" i="7"/>
  <c r="K595" i="7"/>
  <c r="K47" i="7"/>
  <c r="O603" i="7"/>
  <c r="O29" i="7" s="1"/>
  <c r="O591" i="7"/>
  <c r="O47" i="7"/>
  <c r="O599" i="7"/>
  <c r="O595" i="7"/>
  <c r="O558" i="7"/>
  <c r="O135" i="7" s="1"/>
  <c r="O219" i="7" s="1"/>
  <c r="O564" i="7"/>
  <c r="O136" i="7" s="1"/>
  <c r="S595" i="7"/>
  <c r="S558" i="7"/>
  <c r="S135" i="7" s="1"/>
  <c r="S219" i="7" s="1"/>
  <c r="S603" i="7"/>
  <c r="S29" i="7" s="1"/>
  <c r="S564" i="7"/>
  <c r="S136" i="7" s="1"/>
  <c r="S591" i="7"/>
  <c r="S47" i="7"/>
  <c r="S599" i="7"/>
  <c r="W595" i="7"/>
  <c r="W558" i="7"/>
  <c r="W135" i="7" s="1"/>
  <c r="W219" i="7" s="1"/>
  <c r="W603" i="7"/>
  <c r="W29" i="7" s="1"/>
  <c r="W564" i="7"/>
  <c r="W136" i="7" s="1"/>
  <c r="W591" i="7"/>
  <c r="W47" i="7"/>
  <c r="W599" i="7"/>
  <c r="AA595" i="7"/>
  <c r="AA558" i="7"/>
  <c r="AA135" i="7" s="1"/>
  <c r="AA219" i="7" s="1"/>
  <c r="AA603" i="7"/>
  <c r="AA29" i="7" s="1"/>
  <c r="AA564" i="7"/>
  <c r="AA136" i="7" s="1"/>
  <c r="AA591" i="7"/>
  <c r="AA47" i="7"/>
  <c r="AA599" i="7"/>
  <c r="AE603" i="7"/>
  <c r="AE29" i="7" s="1"/>
  <c r="AE564" i="7"/>
  <c r="AE136" i="7" s="1"/>
  <c r="AE591" i="7"/>
  <c r="AE47" i="7"/>
  <c r="AE599" i="7"/>
  <c r="AE595" i="7"/>
  <c r="AE558" i="7"/>
  <c r="AE135" i="7" s="1"/>
  <c r="AE219" i="7" s="1"/>
  <c r="F599" i="7"/>
  <c r="F603" i="7"/>
  <c r="F29" i="7" s="1"/>
  <c r="F558" i="7"/>
  <c r="F135" i="7" s="1"/>
  <c r="F219" i="7" s="1"/>
  <c r="F47" i="7"/>
  <c r="F564" i="7"/>
  <c r="F136" i="7" s="1"/>
  <c r="F591" i="7"/>
  <c r="F595" i="7"/>
  <c r="J558" i="7"/>
  <c r="J135" i="7" s="1"/>
  <c r="J219" i="7" s="1"/>
  <c r="J47" i="7"/>
  <c r="J564" i="7"/>
  <c r="J136" i="7" s="1"/>
  <c r="J591" i="7"/>
  <c r="J595" i="7"/>
  <c r="J599" i="7"/>
  <c r="J603" i="7"/>
  <c r="J29" i="7" s="1"/>
  <c r="N558" i="7"/>
  <c r="N135" i="7" s="1"/>
  <c r="N219" i="7" s="1"/>
  <c r="N47" i="7"/>
  <c r="N564" i="7"/>
  <c r="N136" i="7" s="1"/>
  <c r="N591" i="7"/>
  <c r="N595" i="7"/>
  <c r="N599" i="7"/>
  <c r="N603" i="7"/>
  <c r="N29" i="7" s="1"/>
  <c r="R591" i="7"/>
  <c r="R595" i="7"/>
  <c r="R599" i="7"/>
  <c r="R603" i="7"/>
  <c r="R29" i="7" s="1"/>
  <c r="R558" i="7"/>
  <c r="R135" i="7" s="1"/>
  <c r="R219" i="7" s="1"/>
  <c r="R47" i="7"/>
  <c r="R564" i="7"/>
  <c r="R136" i="7" s="1"/>
  <c r="V564" i="7"/>
  <c r="V136" i="7" s="1"/>
  <c r="V558" i="7"/>
  <c r="V135" i="7" s="1"/>
  <c r="V219" i="7" s="1"/>
  <c r="V47" i="7"/>
  <c r="V599" i="7"/>
  <c r="V603" i="7"/>
  <c r="V29" i="7" s="1"/>
  <c r="V591" i="7"/>
  <c r="V595" i="7"/>
  <c r="Z564" i="7"/>
  <c r="Z136" i="7" s="1"/>
  <c r="Z591" i="7"/>
  <c r="Z595" i="7"/>
  <c r="Z603" i="7"/>
  <c r="Z29" i="7" s="1"/>
  <c r="Z599" i="7"/>
  <c r="Z558" i="7"/>
  <c r="Z135" i="7" s="1"/>
  <c r="Z219" i="7" s="1"/>
  <c r="Z47" i="7"/>
  <c r="AD558" i="7"/>
  <c r="AD135" i="7" s="1"/>
  <c r="AD219" i="7" s="1"/>
  <c r="AD47" i="7"/>
  <c r="AD564" i="7"/>
  <c r="AD136" i="7" s="1"/>
  <c r="AD591" i="7"/>
  <c r="AD595" i="7"/>
  <c r="AD599" i="7"/>
  <c r="AD603" i="7"/>
  <c r="AD29" i="7" s="1"/>
  <c r="E603" i="7"/>
  <c r="E29" i="7" s="1"/>
  <c r="E564" i="7"/>
  <c r="E136" i="7" s="1"/>
  <c r="E591" i="7"/>
  <c r="E47" i="7"/>
  <c r="E599" i="7"/>
  <c r="E595" i="7"/>
  <c r="E558" i="7"/>
  <c r="E135" i="7" s="1"/>
  <c r="E219" i="7" s="1"/>
  <c r="I595" i="7"/>
  <c r="I558" i="7"/>
  <c r="I135" i="7" s="1"/>
  <c r="I219" i="7" s="1"/>
  <c r="I603" i="7"/>
  <c r="I29" i="7" s="1"/>
  <c r="I564" i="7"/>
  <c r="I136" i="7" s="1"/>
  <c r="I591" i="7"/>
  <c r="I47" i="7"/>
  <c r="I599" i="7"/>
  <c r="M603" i="7"/>
  <c r="M29" i="7" s="1"/>
  <c r="M595" i="7"/>
  <c r="M558" i="7"/>
  <c r="M135" i="7" s="1"/>
  <c r="M219" i="7" s="1"/>
  <c r="M599" i="7"/>
  <c r="M564" i="7"/>
  <c r="M136" i="7" s="1"/>
  <c r="M591" i="7"/>
  <c r="M47" i="7"/>
  <c r="Q603" i="7"/>
  <c r="Q29" i="7" s="1"/>
  <c r="Q564" i="7"/>
  <c r="Q136" i="7" s="1"/>
  <c r="Q591" i="7"/>
  <c r="Q47" i="7"/>
  <c r="Q599" i="7"/>
  <c r="Q595" i="7"/>
  <c r="Q558" i="7"/>
  <c r="Q135" i="7" s="1"/>
  <c r="Q219" i="7" s="1"/>
  <c r="U603" i="7"/>
  <c r="U29" i="7" s="1"/>
  <c r="U564" i="7"/>
  <c r="U136" i="7" s="1"/>
  <c r="U595" i="7"/>
  <c r="U47" i="7"/>
  <c r="U599" i="7"/>
  <c r="U558" i="7"/>
  <c r="U135" i="7" s="1"/>
  <c r="U219" i="7" s="1"/>
  <c r="U591" i="7"/>
  <c r="Y603" i="7"/>
  <c r="Y29" i="7" s="1"/>
  <c r="Y564" i="7"/>
  <c r="Y136" i="7" s="1"/>
  <c r="Y591" i="7"/>
  <c r="Y47" i="7"/>
  <c r="Y599" i="7"/>
  <c r="Y595" i="7"/>
  <c r="Y558" i="7"/>
  <c r="Y135" i="7" s="1"/>
  <c r="Y219" i="7" s="1"/>
  <c r="AC603" i="7"/>
  <c r="AC29" i="7" s="1"/>
  <c r="AC564" i="7"/>
  <c r="AC136" i="7" s="1"/>
  <c r="AC591" i="7"/>
  <c r="AC47" i="7"/>
  <c r="AC599" i="7"/>
  <c r="AC595" i="7"/>
  <c r="AC558" i="7"/>
  <c r="AC135" i="7" s="1"/>
  <c r="AC219" i="7" s="1"/>
  <c r="D599" i="7"/>
  <c r="D603" i="7"/>
  <c r="D29" i="7" s="1"/>
  <c r="D558" i="7"/>
  <c r="D135" i="7" s="1"/>
  <c r="D219" i="7" s="1"/>
  <c r="D47" i="7"/>
  <c r="D564" i="7"/>
  <c r="D136" i="7" s="1"/>
  <c r="D591" i="7"/>
  <c r="D595" i="7"/>
  <c r="H558" i="7"/>
  <c r="H135" i="7" s="1"/>
  <c r="H219" i="7" s="1"/>
  <c r="H47" i="7"/>
  <c r="H591" i="7"/>
  <c r="H595" i="7"/>
  <c r="H599" i="7"/>
  <c r="H603" i="7"/>
  <c r="H29" i="7" s="1"/>
  <c r="H564" i="7"/>
  <c r="H136" i="7" s="1"/>
  <c r="L558" i="7"/>
  <c r="L135" i="7" s="1"/>
  <c r="L219" i="7" s="1"/>
  <c r="L47" i="7"/>
  <c r="L564" i="7"/>
  <c r="L136" i="7" s="1"/>
  <c r="L591" i="7"/>
  <c r="L595" i="7"/>
  <c r="L599" i="7"/>
  <c r="L603" i="7"/>
  <c r="L29" i="7" s="1"/>
  <c r="P558" i="7"/>
  <c r="P135" i="7" s="1"/>
  <c r="P219" i="7" s="1"/>
  <c r="P47" i="7"/>
  <c r="P564" i="7"/>
  <c r="P136" i="7" s="1"/>
  <c r="P591" i="7"/>
  <c r="P595" i="7"/>
  <c r="P599" i="7"/>
  <c r="P603" i="7"/>
  <c r="P29" i="7" s="1"/>
  <c r="T599" i="7"/>
  <c r="T603" i="7"/>
  <c r="T29" i="7" s="1"/>
  <c r="T595" i="7"/>
  <c r="T558" i="7"/>
  <c r="T135" i="7" s="1"/>
  <c r="T219" i="7" s="1"/>
  <c r="T564" i="7"/>
  <c r="T136" i="7" s="1"/>
  <c r="T591" i="7"/>
  <c r="T47" i="7"/>
  <c r="X558" i="7"/>
  <c r="X135" i="7" s="1"/>
  <c r="X219" i="7" s="1"/>
  <c r="X47" i="7"/>
  <c r="X564" i="7"/>
  <c r="X136" i="7" s="1"/>
  <c r="X591" i="7"/>
  <c r="X595" i="7"/>
  <c r="X599" i="7"/>
  <c r="X603" i="7"/>
  <c r="X29" i="7" s="1"/>
  <c r="AB599" i="7"/>
  <c r="AB603" i="7"/>
  <c r="AB29" i="7" s="1"/>
  <c r="AB595" i="7"/>
  <c r="AB591" i="7"/>
  <c r="AB564" i="7"/>
  <c r="AB136" i="7" s="1"/>
  <c r="AB558" i="7"/>
  <c r="AB135" i="7" s="1"/>
  <c r="AB219" i="7" s="1"/>
  <c r="AB47" i="7"/>
  <c r="AF558" i="7"/>
  <c r="AF135" i="7" s="1"/>
  <c r="AF219" i="7" s="1"/>
  <c r="AF47" i="7"/>
  <c r="AF564" i="7"/>
  <c r="AF136" i="7" s="1"/>
  <c r="AF591" i="7"/>
  <c r="AF595" i="7"/>
  <c r="AF599" i="7"/>
  <c r="AF603" i="7"/>
  <c r="AF29" i="7" s="1"/>
  <c r="O654" i="7"/>
  <c r="O657" i="7" s="1"/>
  <c r="Q67" i="7" l="1"/>
  <c r="Q69" i="7" s="1"/>
  <c r="AM67" i="7"/>
  <c r="AM69" i="7" s="1"/>
  <c r="AA67" i="7"/>
  <c r="AA69" i="7" s="1"/>
  <c r="M67" i="7"/>
  <c r="M69" i="7" s="1"/>
  <c r="W67" i="7"/>
  <c r="W69" i="7" s="1"/>
  <c r="K67" i="7"/>
  <c r="K69" i="7" s="1"/>
  <c r="AI67" i="7"/>
  <c r="AI69" i="7" s="1"/>
  <c r="X67" i="7"/>
  <c r="X69" i="7" s="1"/>
  <c r="T67" i="7"/>
  <c r="T69" i="7" s="1"/>
  <c r="Y67" i="7"/>
  <c r="Y69" i="7" s="1"/>
  <c r="O67" i="7"/>
  <c r="O69" i="7" s="1"/>
  <c r="I67" i="7"/>
  <c r="I69" i="7" s="1"/>
  <c r="AF67" i="7"/>
  <c r="AF69" i="7" s="1"/>
  <c r="J67" i="7"/>
  <c r="J69" i="7" s="1"/>
  <c r="D67" i="7"/>
  <c r="D69" i="7" s="1"/>
  <c r="AJ67" i="7"/>
  <c r="AJ69" i="7" s="1"/>
  <c r="V67" i="7"/>
  <c r="V69" i="7" s="1"/>
  <c r="AN67" i="7"/>
  <c r="AN69" i="7" s="1"/>
  <c r="H67" i="7"/>
  <c r="H69" i="7" s="1"/>
  <c r="AD67" i="7"/>
  <c r="AD69" i="7" s="1"/>
  <c r="AL67" i="7"/>
  <c r="AL69" i="7" s="1"/>
  <c r="S67" i="7"/>
  <c r="S69" i="7" s="1"/>
  <c r="AP67" i="7"/>
  <c r="AP69" i="7" s="1"/>
  <c r="G67" i="7"/>
  <c r="G69" i="7" s="1"/>
  <c r="E67" i="7"/>
  <c r="E69" i="7" s="1"/>
  <c r="AK67" i="7"/>
  <c r="AK69" i="7" s="1"/>
  <c r="AB67" i="7"/>
  <c r="AB69" i="7" s="1"/>
  <c r="AO67" i="7"/>
  <c r="AO69" i="7" s="1"/>
  <c r="U67" i="7"/>
  <c r="U69" i="7" s="1"/>
  <c r="AH67" i="7"/>
  <c r="AH69" i="7" s="1"/>
  <c r="AE67" i="7"/>
  <c r="AE69" i="7" s="1"/>
  <c r="AC67" i="7"/>
  <c r="AC69" i="7" s="1"/>
  <c r="L67" i="7"/>
  <c r="L69" i="7" s="1"/>
  <c r="AG67" i="7"/>
  <c r="AG69" i="7" s="1"/>
  <c r="R67" i="7"/>
  <c r="R69" i="7" s="1"/>
  <c r="F67" i="7"/>
  <c r="F69" i="7" s="1"/>
  <c r="Z67" i="7"/>
  <c r="Z69" i="7" s="1"/>
  <c r="P67" i="7"/>
  <c r="P69" i="7" s="1"/>
  <c r="N67" i="7"/>
  <c r="N69" i="7" s="1"/>
  <c r="C605" i="7"/>
  <c r="AC648" i="7"/>
  <c r="Y648" i="7"/>
  <c r="Y649" i="7" s="1"/>
  <c r="Y103" i="7" s="1"/>
  <c r="U648" i="7"/>
  <c r="U649" i="7" s="1"/>
  <c r="U103" i="7" s="1"/>
  <c r="Q648" i="7"/>
  <c r="Q649" i="7" s="1"/>
  <c r="E648" i="7"/>
  <c r="E649" i="7" s="1"/>
  <c r="Z648" i="7"/>
  <c r="Z649" i="7" s="1"/>
  <c r="Z103" i="7" s="1"/>
  <c r="V648" i="7"/>
  <c r="V649" i="7" s="1"/>
  <c r="V103" i="7" s="1"/>
  <c r="R648" i="7"/>
  <c r="R649" i="7" s="1"/>
  <c r="AA648" i="7"/>
  <c r="AA650" i="7" s="1"/>
  <c r="AA103" i="7" s="1"/>
  <c r="W648" i="7"/>
  <c r="W649" i="7" s="1"/>
  <c r="W103" i="7" s="1"/>
  <c r="S648" i="7"/>
  <c r="S649" i="7" s="1"/>
  <c r="AL648" i="7"/>
  <c r="X648" i="7"/>
  <c r="X649" i="7" s="1"/>
  <c r="X103" i="7" s="1"/>
  <c r="AF648" i="7"/>
  <c r="T648" i="7"/>
  <c r="T649" i="7" s="1"/>
  <c r="D648" i="7"/>
  <c r="D649" i="7" s="1"/>
  <c r="M648" i="7"/>
  <c r="M649" i="7" s="1"/>
  <c r="AD648" i="7"/>
  <c r="N648" i="7"/>
  <c r="N649" i="7" s="1"/>
  <c r="J648" i="7"/>
  <c r="J649" i="7" s="1"/>
  <c r="AP648" i="7"/>
  <c r="AJ648" i="7"/>
  <c r="AO648" i="7"/>
  <c r="AB648" i="7"/>
  <c r="I648" i="7"/>
  <c r="I649" i="7" s="1"/>
  <c r="AE648" i="7"/>
  <c r="O648" i="7"/>
  <c r="O649" i="7" s="1"/>
  <c r="K648" i="7"/>
  <c r="K649" i="7" s="1"/>
  <c r="G648" i="7"/>
  <c r="G649" i="7" s="1"/>
  <c r="AI648" i="7"/>
  <c r="AH648" i="7"/>
  <c r="AK648" i="7"/>
  <c r="AM648" i="7"/>
  <c r="AN648" i="7"/>
  <c r="P648" i="7"/>
  <c r="P649" i="7" s="1"/>
  <c r="L648" i="7"/>
  <c r="L649" i="7" s="1"/>
  <c r="H648" i="7"/>
  <c r="H649" i="7" s="1"/>
  <c r="F648" i="7"/>
  <c r="F649" i="7" s="1"/>
  <c r="AG648" i="7"/>
  <c r="C648" i="7"/>
  <c r="C649" i="7" s="1"/>
  <c r="B158" i="7"/>
  <c r="AB245" i="7"/>
  <c r="AB204" i="7"/>
  <c r="AB82" i="7"/>
  <c r="X244" i="7"/>
  <c r="X203" i="7"/>
  <c r="X81" i="7"/>
  <c r="T242" i="7"/>
  <c r="T79" i="7"/>
  <c r="T201" i="7"/>
  <c r="T243" i="7"/>
  <c r="T202" i="7"/>
  <c r="T80" i="7"/>
  <c r="P242" i="7"/>
  <c r="P201" i="7"/>
  <c r="P79" i="7"/>
  <c r="L243" i="7"/>
  <c r="L202" i="7"/>
  <c r="L80" i="7"/>
  <c r="H242" i="7"/>
  <c r="H201" i="7"/>
  <c r="H79" i="7"/>
  <c r="D242" i="7"/>
  <c r="D79" i="7"/>
  <c r="D201" i="7"/>
  <c r="AC245" i="7"/>
  <c r="AC204" i="7"/>
  <c r="AC82" i="7"/>
  <c r="Y244" i="7"/>
  <c r="Y203" i="7"/>
  <c r="Y81" i="7"/>
  <c r="Q243" i="7"/>
  <c r="Q80" i="7"/>
  <c r="Q202" i="7"/>
  <c r="Q242" i="7"/>
  <c r="Q201" i="7"/>
  <c r="Q79" i="7"/>
  <c r="M245" i="7"/>
  <c r="M204" i="7"/>
  <c r="M82" i="7"/>
  <c r="I242" i="7"/>
  <c r="I201" i="7"/>
  <c r="I79" i="7"/>
  <c r="AD245" i="7"/>
  <c r="AD204" i="7"/>
  <c r="AD82" i="7"/>
  <c r="Z244" i="7"/>
  <c r="Z203" i="7"/>
  <c r="Z81" i="7"/>
  <c r="V245" i="7"/>
  <c r="V204" i="7"/>
  <c r="V82" i="7"/>
  <c r="R244" i="7"/>
  <c r="R81" i="7"/>
  <c r="R203" i="7"/>
  <c r="N245" i="7"/>
  <c r="N204" i="7"/>
  <c r="N82" i="7"/>
  <c r="J242" i="7"/>
  <c r="J79" i="7"/>
  <c r="J201" i="7"/>
  <c r="F245" i="7"/>
  <c r="F204" i="7"/>
  <c r="F82" i="7"/>
  <c r="AA244" i="7"/>
  <c r="AA203" i="7"/>
  <c r="AA81" i="7"/>
  <c r="W243" i="7"/>
  <c r="W202" i="7"/>
  <c r="W80" i="7"/>
  <c r="S242" i="7"/>
  <c r="S201" i="7"/>
  <c r="S79" i="7"/>
  <c r="O243" i="7"/>
  <c r="O202" i="7"/>
  <c r="O80" i="7"/>
  <c r="O242" i="7"/>
  <c r="O79" i="7"/>
  <c r="O201" i="7"/>
  <c r="K243" i="7"/>
  <c r="K80" i="7"/>
  <c r="K202" i="7"/>
  <c r="G245" i="7"/>
  <c r="G204" i="7"/>
  <c r="G82" i="7"/>
  <c r="AI245" i="7"/>
  <c r="AI204" i="7"/>
  <c r="AI82" i="7"/>
  <c r="AP243" i="7"/>
  <c r="AP202" i="7"/>
  <c r="AP80" i="7"/>
  <c r="AG245" i="7"/>
  <c r="AG204" i="7"/>
  <c r="AG82" i="7"/>
  <c r="AG243" i="7"/>
  <c r="AG202" i="7"/>
  <c r="AG80" i="7"/>
  <c r="AJ245" i="7"/>
  <c r="AJ204" i="7"/>
  <c r="AJ82" i="7"/>
  <c r="AJ243" i="7"/>
  <c r="AJ202" i="7"/>
  <c r="AJ80" i="7"/>
  <c r="AK243" i="7"/>
  <c r="AK80" i="7"/>
  <c r="AK202" i="7"/>
  <c r="AL244" i="7"/>
  <c r="AL203" i="7"/>
  <c r="AL81" i="7"/>
  <c r="AM244" i="7"/>
  <c r="AM203" i="7"/>
  <c r="AM81" i="7"/>
  <c r="AM242" i="7"/>
  <c r="AM201" i="7"/>
  <c r="AM79" i="7"/>
  <c r="AN245" i="7"/>
  <c r="AN204" i="7"/>
  <c r="AN82" i="7"/>
  <c r="AB242" i="7"/>
  <c r="AB201" i="7"/>
  <c r="AB79" i="7"/>
  <c r="P245" i="7"/>
  <c r="P204" i="7"/>
  <c r="P82" i="7"/>
  <c r="L242" i="7"/>
  <c r="L79" i="7"/>
  <c r="L201" i="7"/>
  <c r="H245" i="7"/>
  <c r="H204" i="7"/>
  <c r="H82" i="7"/>
  <c r="AC243" i="7"/>
  <c r="AC80" i="7"/>
  <c r="AC202" i="7"/>
  <c r="AC242" i="7"/>
  <c r="AC201" i="7"/>
  <c r="AC79" i="7"/>
  <c r="Y245" i="7"/>
  <c r="Y204" i="7"/>
  <c r="Y82" i="7"/>
  <c r="U244" i="7"/>
  <c r="U203" i="7"/>
  <c r="U81" i="7"/>
  <c r="M244" i="7"/>
  <c r="M203" i="7"/>
  <c r="M81" i="7"/>
  <c r="I243" i="7"/>
  <c r="I80" i="7"/>
  <c r="I202" i="7"/>
  <c r="E244" i="7"/>
  <c r="E203" i="7"/>
  <c r="E81" i="7"/>
  <c r="AD244" i="7"/>
  <c r="AD203" i="7"/>
  <c r="AD81" i="7"/>
  <c r="Z245" i="7"/>
  <c r="Z204" i="7"/>
  <c r="Z82" i="7"/>
  <c r="V244" i="7"/>
  <c r="V203" i="7"/>
  <c r="V81" i="7"/>
  <c r="R243" i="7"/>
  <c r="R202" i="7"/>
  <c r="R80" i="7"/>
  <c r="N244" i="7"/>
  <c r="N81" i="7"/>
  <c r="N203" i="7"/>
  <c r="J245" i="7"/>
  <c r="J204" i="7"/>
  <c r="J82" i="7"/>
  <c r="F243" i="7"/>
  <c r="F202" i="7"/>
  <c r="F80" i="7"/>
  <c r="F244" i="7"/>
  <c r="F81" i="7"/>
  <c r="F203" i="7"/>
  <c r="AE244" i="7"/>
  <c r="AE203" i="7"/>
  <c r="AE81" i="7"/>
  <c r="AA245" i="7"/>
  <c r="AA204" i="7"/>
  <c r="AA82" i="7"/>
  <c r="W244" i="7"/>
  <c r="W203" i="7"/>
  <c r="W81" i="7"/>
  <c r="S243" i="7"/>
  <c r="S202" i="7"/>
  <c r="S80" i="7"/>
  <c r="O244" i="7"/>
  <c r="O203" i="7"/>
  <c r="O81" i="7"/>
  <c r="G243" i="7"/>
  <c r="G202" i="7"/>
  <c r="G80" i="7"/>
  <c r="G242" i="7"/>
  <c r="G79" i="7"/>
  <c r="G201" i="7"/>
  <c r="C243" i="7"/>
  <c r="C202" i="7"/>
  <c r="C80" i="7"/>
  <c r="C242" i="7"/>
  <c r="C201" i="7"/>
  <c r="C79" i="7"/>
  <c r="AP245" i="7"/>
  <c r="AP204" i="7"/>
  <c r="AP82" i="7"/>
  <c r="AH244" i="7"/>
  <c r="AH203" i="7"/>
  <c r="AH81" i="7"/>
  <c r="AH242" i="7"/>
  <c r="AH79" i="7"/>
  <c r="AH201" i="7"/>
  <c r="AL243" i="7"/>
  <c r="AL202" i="7"/>
  <c r="AL80" i="7"/>
  <c r="AM245" i="7"/>
  <c r="AM204" i="7"/>
  <c r="AM82" i="7"/>
  <c r="AM243" i="7"/>
  <c r="AM202" i="7"/>
  <c r="AM80" i="7"/>
  <c r="AN242" i="7"/>
  <c r="AN201" i="7"/>
  <c r="AN79" i="7"/>
  <c r="AO242" i="7"/>
  <c r="AO201" i="7"/>
  <c r="AO79" i="7"/>
  <c r="X243" i="7"/>
  <c r="X202" i="7"/>
  <c r="X80" i="7"/>
  <c r="D245" i="7"/>
  <c r="D204" i="7"/>
  <c r="D82" i="7"/>
  <c r="Y243" i="7"/>
  <c r="Y80" i="7"/>
  <c r="Y202" i="7"/>
  <c r="Y242" i="7"/>
  <c r="Y201" i="7"/>
  <c r="Y79" i="7"/>
  <c r="U242" i="7"/>
  <c r="U201" i="7"/>
  <c r="U79" i="7"/>
  <c r="U245" i="7"/>
  <c r="U204" i="7"/>
  <c r="U82" i="7"/>
  <c r="Q244" i="7"/>
  <c r="Q203" i="7"/>
  <c r="Q81" i="7"/>
  <c r="M242" i="7"/>
  <c r="M201" i="7"/>
  <c r="M79" i="7"/>
  <c r="I244" i="7"/>
  <c r="I203" i="7"/>
  <c r="I81" i="7"/>
  <c r="E245" i="7"/>
  <c r="E204" i="7"/>
  <c r="E82" i="7"/>
  <c r="AD243" i="7"/>
  <c r="AD202" i="7"/>
  <c r="AD80" i="7"/>
  <c r="Z243" i="7"/>
  <c r="Z202" i="7"/>
  <c r="Z80" i="7"/>
  <c r="V243" i="7"/>
  <c r="V202" i="7"/>
  <c r="V80" i="7"/>
  <c r="R245" i="7"/>
  <c r="R204" i="7"/>
  <c r="R82" i="7"/>
  <c r="R242" i="7"/>
  <c r="R79" i="7"/>
  <c r="R201" i="7"/>
  <c r="N243" i="7"/>
  <c r="N202" i="7"/>
  <c r="N80" i="7"/>
  <c r="J244" i="7"/>
  <c r="J203" i="7"/>
  <c r="J81" i="7"/>
  <c r="F242" i="7"/>
  <c r="F79" i="7"/>
  <c r="F201" i="7"/>
  <c r="AE245" i="7"/>
  <c r="AE204" i="7"/>
  <c r="AE82" i="7"/>
  <c r="AA242" i="7"/>
  <c r="AA201" i="7"/>
  <c r="AA79" i="7"/>
  <c r="W245" i="7"/>
  <c r="W204" i="7"/>
  <c r="W82" i="7"/>
  <c r="S244" i="7"/>
  <c r="S203" i="7"/>
  <c r="S81" i="7"/>
  <c r="O245" i="7"/>
  <c r="O204" i="7"/>
  <c r="O82" i="7"/>
  <c r="K244" i="7"/>
  <c r="K203" i="7"/>
  <c r="K81" i="7"/>
  <c r="AI243" i="7"/>
  <c r="AI202" i="7"/>
  <c r="AI80" i="7"/>
  <c r="AP242" i="7"/>
  <c r="AP201" i="7"/>
  <c r="AP79" i="7"/>
  <c r="AJ244" i="7"/>
  <c r="AJ203" i="7"/>
  <c r="AJ81" i="7"/>
  <c r="AJ242" i="7"/>
  <c r="AJ79" i="7"/>
  <c r="AJ201" i="7"/>
  <c r="AK244" i="7"/>
  <c r="AK203" i="7"/>
  <c r="AK81" i="7"/>
  <c r="AL245" i="7"/>
  <c r="AL204" i="7"/>
  <c r="AL82" i="7"/>
  <c r="AN244" i="7"/>
  <c r="AN203" i="7"/>
  <c r="AN81" i="7"/>
  <c r="AO243" i="7"/>
  <c r="AO202" i="7"/>
  <c r="AO80" i="7"/>
  <c r="AO244" i="7"/>
  <c r="AO203" i="7"/>
  <c r="AO81" i="7"/>
  <c r="AF242" i="7"/>
  <c r="AF201" i="7"/>
  <c r="AF79" i="7"/>
  <c r="AF245" i="7"/>
  <c r="AF204" i="7"/>
  <c r="AF82" i="7"/>
  <c r="AB244" i="7"/>
  <c r="AB203" i="7"/>
  <c r="AB81" i="7"/>
  <c r="AF244" i="7"/>
  <c r="AF203" i="7"/>
  <c r="AF81" i="7"/>
  <c r="AB243" i="7"/>
  <c r="AB202" i="7"/>
  <c r="AB80" i="7"/>
  <c r="X242" i="7"/>
  <c r="X201" i="7"/>
  <c r="X79" i="7"/>
  <c r="T245" i="7"/>
  <c r="T204" i="7"/>
  <c r="T82" i="7"/>
  <c r="P244" i="7"/>
  <c r="P203" i="7"/>
  <c r="P81" i="7"/>
  <c r="L245" i="7"/>
  <c r="L204" i="7"/>
  <c r="L82" i="7"/>
  <c r="H244" i="7"/>
  <c r="H203" i="7"/>
  <c r="H81" i="7"/>
  <c r="AF243" i="7"/>
  <c r="AF202" i="7"/>
  <c r="AF80" i="7"/>
  <c r="X245" i="7"/>
  <c r="X204" i="7"/>
  <c r="X82" i="7"/>
  <c r="T244" i="7"/>
  <c r="T203" i="7"/>
  <c r="T81" i="7"/>
  <c r="P243" i="7"/>
  <c r="P202" i="7"/>
  <c r="P80" i="7"/>
  <c r="L244" i="7"/>
  <c r="L203" i="7"/>
  <c r="L81" i="7"/>
  <c r="H243" i="7"/>
  <c r="H202" i="7"/>
  <c r="H80" i="7"/>
  <c r="D243" i="7"/>
  <c r="D202" i="7"/>
  <c r="D80" i="7"/>
  <c r="D244" i="7"/>
  <c r="D203" i="7"/>
  <c r="D81" i="7"/>
  <c r="AC244" i="7"/>
  <c r="AC203" i="7"/>
  <c r="AC81" i="7"/>
  <c r="U243" i="7"/>
  <c r="U202" i="7"/>
  <c r="U80" i="7"/>
  <c r="Q245" i="7"/>
  <c r="Q204" i="7"/>
  <c r="Q82" i="7"/>
  <c r="M243" i="7"/>
  <c r="M202" i="7"/>
  <c r="M80" i="7"/>
  <c r="I245" i="7"/>
  <c r="I204" i="7"/>
  <c r="I82" i="7"/>
  <c r="E243" i="7"/>
  <c r="E202" i="7"/>
  <c r="E80" i="7"/>
  <c r="E242" i="7"/>
  <c r="E201" i="7"/>
  <c r="E79" i="7"/>
  <c r="AD242" i="7"/>
  <c r="AD201" i="7"/>
  <c r="AD79" i="7"/>
  <c r="Z242" i="7"/>
  <c r="Z201" i="7"/>
  <c r="Z79" i="7"/>
  <c r="V242" i="7"/>
  <c r="V201" i="7"/>
  <c r="V79" i="7"/>
  <c r="N242" i="7"/>
  <c r="N79" i="7"/>
  <c r="N201" i="7"/>
  <c r="J243" i="7"/>
  <c r="J202" i="7"/>
  <c r="J80" i="7"/>
  <c r="AE243" i="7"/>
  <c r="AE202" i="7"/>
  <c r="AE80" i="7"/>
  <c r="AE242" i="7"/>
  <c r="AE201" i="7"/>
  <c r="AE79" i="7"/>
  <c r="AA243" i="7"/>
  <c r="AA80" i="7"/>
  <c r="AA202" i="7"/>
  <c r="W242" i="7"/>
  <c r="W201" i="7"/>
  <c r="W79" i="7"/>
  <c r="S245" i="7"/>
  <c r="S204" i="7"/>
  <c r="S82" i="7"/>
  <c r="K242" i="7"/>
  <c r="K79" i="7"/>
  <c r="K201" i="7"/>
  <c r="K245" i="7"/>
  <c r="K204" i="7"/>
  <c r="K82" i="7"/>
  <c r="G244" i="7"/>
  <c r="G203" i="7"/>
  <c r="G81" i="7"/>
  <c r="C245" i="7"/>
  <c r="C82" i="7"/>
  <c r="C204" i="7"/>
  <c r="C244" i="7"/>
  <c r="C81" i="7"/>
  <c r="C203" i="7"/>
  <c r="AI242" i="7"/>
  <c r="AI201" i="7"/>
  <c r="AI79" i="7"/>
  <c r="AI244" i="7"/>
  <c r="AI203" i="7"/>
  <c r="AI81" i="7"/>
  <c r="AP244" i="7"/>
  <c r="AP203" i="7"/>
  <c r="AP81" i="7"/>
  <c r="AG244" i="7"/>
  <c r="AG203" i="7"/>
  <c r="AG81" i="7"/>
  <c r="AG242" i="7"/>
  <c r="AG201" i="7"/>
  <c r="AG79" i="7"/>
  <c r="AH245" i="7"/>
  <c r="AH204" i="7"/>
  <c r="AH82" i="7"/>
  <c r="AH243" i="7"/>
  <c r="AH202" i="7"/>
  <c r="AH80" i="7"/>
  <c r="AK242" i="7"/>
  <c r="AK201" i="7"/>
  <c r="AK79" i="7"/>
  <c r="AK245" i="7"/>
  <c r="AK204" i="7"/>
  <c r="AK82" i="7"/>
  <c r="AL242" i="7"/>
  <c r="AL201" i="7"/>
  <c r="AL79" i="7"/>
  <c r="AN243" i="7"/>
  <c r="AN202" i="7"/>
  <c r="AN80" i="7"/>
  <c r="AO245" i="7"/>
  <c r="AO204" i="7"/>
  <c r="AO82" i="7"/>
  <c r="AI30" i="7"/>
  <c r="AI605" i="7"/>
  <c r="AI137" i="7"/>
  <c r="AP137" i="7"/>
  <c r="AG30" i="7"/>
  <c r="AG605" i="7"/>
  <c r="AH30" i="7"/>
  <c r="AH605" i="7"/>
  <c r="AJ30" i="7"/>
  <c r="AJ605" i="7"/>
  <c r="AK137" i="7"/>
  <c r="AL137" i="7"/>
  <c r="AM30" i="7"/>
  <c r="AM605" i="7"/>
  <c r="AN137" i="7"/>
  <c r="AO137" i="7"/>
  <c r="AP30" i="7"/>
  <c r="AP605" i="7"/>
  <c r="AG137" i="7"/>
  <c r="AH137" i="7"/>
  <c r="AJ137" i="7"/>
  <c r="AK30" i="7"/>
  <c r="AK605" i="7"/>
  <c r="AL30" i="7"/>
  <c r="AL605" i="7"/>
  <c r="AM137" i="7"/>
  <c r="AN30" i="7"/>
  <c r="AN605" i="7"/>
  <c r="AO30" i="7"/>
  <c r="AO605" i="7"/>
  <c r="AB30" i="7"/>
  <c r="AB605" i="7"/>
  <c r="T137" i="7"/>
  <c r="L30" i="7"/>
  <c r="L33" i="7" s="1"/>
  <c r="L605" i="7"/>
  <c r="L137" i="7"/>
  <c r="AC30" i="7"/>
  <c r="AC605" i="7"/>
  <c r="Y137" i="7"/>
  <c r="U137" i="7"/>
  <c r="Q137" i="7"/>
  <c r="E30" i="7"/>
  <c r="E33" i="7" s="1"/>
  <c r="E605" i="7"/>
  <c r="Z137" i="7"/>
  <c r="R30" i="7"/>
  <c r="R33" i="7" s="1"/>
  <c r="R605" i="7"/>
  <c r="J30" i="7"/>
  <c r="J33" i="7" s="1"/>
  <c r="J605" i="7"/>
  <c r="J137" i="7"/>
  <c r="F30" i="7"/>
  <c r="F33" i="7" s="1"/>
  <c r="F605" i="7"/>
  <c r="F137" i="7"/>
  <c r="AE30" i="7"/>
  <c r="AE605" i="7"/>
  <c r="W30" i="7"/>
  <c r="W33" i="7" s="1"/>
  <c r="W605" i="7"/>
  <c r="W137" i="7"/>
  <c r="O137" i="7"/>
  <c r="K30" i="7"/>
  <c r="K33" i="7" s="1"/>
  <c r="K605" i="7"/>
  <c r="G30" i="7"/>
  <c r="G33" i="7" s="1"/>
  <c r="G605" i="7"/>
  <c r="AF30" i="7"/>
  <c r="AF605" i="7"/>
  <c r="AF137" i="7"/>
  <c r="AB137" i="7"/>
  <c r="X30" i="7"/>
  <c r="X33" i="7" s="1"/>
  <c r="X605" i="7"/>
  <c r="X137" i="7"/>
  <c r="T30" i="7"/>
  <c r="T33" i="7" s="1"/>
  <c r="T605" i="7"/>
  <c r="P30" i="7"/>
  <c r="P33" i="7" s="1"/>
  <c r="P605" i="7"/>
  <c r="P137" i="7"/>
  <c r="H30" i="7"/>
  <c r="H33" i="7" s="1"/>
  <c r="H605" i="7"/>
  <c r="H137" i="7"/>
  <c r="D30" i="7"/>
  <c r="D33" i="7" s="1"/>
  <c r="D605" i="7"/>
  <c r="D137" i="7"/>
  <c r="AC137" i="7"/>
  <c r="Y30" i="7"/>
  <c r="Y33" i="7" s="1"/>
  <c r="Y605" i="7"/>
  <c r="U30" i="7"/>
  <c r="U33" i="7" s="1"/>
  <c r="U605" i="7"/>
  <c r="Q30" i="7"/>
  <c r="Q33" i="7" s="1"/>
  <c r="Q605" i="7"/>
  <c r="M30" i="7"/>
  <c r="M33" i="7" s="1"/>
  <c r="M605" i="7"/>
  <c r="M137" i="7"/>
  <c r="I30" i="7"/>
  <c r="I33" i="7" s="1"/>
  <c r="I605" i="7"/>
  <c r="I137" i="7"/>
  <c r="E137" i="7"/>
  <c r="AD30" i="7"/>
  <c r="AD605" i="7"/>
  <c r="AD137" i="7"/>
  <c r="Z30" i="7"/>
  <c r="Z33" i="7" s="1"/>
  <c r="Z605" i="7"/>
  <c r="V30" i="7"/>
  <c r="V33" i="7" s="1"/>
  <c r="V605" i="7"/>
  <c r="V137" i="7"/>
  <c r="R137" i="7"/>
  <c r="N30" i="7"/>
  <c r="N33" i="7" s="1"/>
  <c r="N605" i="7"/>
  <c r="N137" i="7"/>
  <c r="AE137" i="7"/>
  <c r="AA30" i="7"/>
  <c r="AA33" i="7" s="1"/>
  <c r="AA605" i="7"/>
  <c r="AA137" i="7"/>
  <c r="S30" i="7"/>
  <c r="S33" i="7" s="1"/>
  <c r="S605" i="7"/>
  <c r="S137" i="7"/>
  <c r="O30" i="7"/>
  <c r="O33" i="7" s="1"/>
  <c r="O605" i="7"/>
  <c r="K137" i="7"/>
  <c r="G137" i="7"/>
  <c r="C137" i="7"/>
  <c r="P654" i="7"/>
  <c r="P657" i="7" s="1"/>
  <c r="C103" i="7" l="1"/>
  <c r="C616" i="7"/>
  <c r="J103" i="7"/>
  <c r="J616" i="7"/>
  <c r="R103" i="7"/>
  <c r="R616" i="7"/>
  <c r="P103" i="7"/>
  <c r="P616" i="7"/>
  <c r="O103" i="7"/>
  <c r="O616" i="7"/>
  <c r="N103" i="7"/>
  <c r="N616" i="7"/>
  <c r="T103" i="7"/>
  <c r="T616" i="7"/>
  <c r="S103" i="7"/>
  <c r="S616" i="7"/>
  <c r="L103" i="7"/>
  <c r="L616" i="7"/>
  <c r="Q103" i="7"/>
  <c r="Q616" i="7"/>
  <c r="F103" i="7"/>
  <c r="F616" i="7"/>
  <c r="K103" i="7"/>
  <c r="K616" i="7"/>
  <c r="D103" i="7"/>
  <c r="D616" i="7"/>
  <c r="H103" i="7"/>
  <c r="H616" i="7"/>
  <c r="G103" i="7"/>
  <c r="G616" i="7"/>
  <c r="I103" i="7"/>
  <c r="I616" i="7"/>
  <c r="M103" i="7"/>
  <c r="M616" i="7"/>
  <c r="E103" i="7"/>
  <c r="E616" i="7"/>
  <c r="AP71" i="7"/>
  <c r="AP73" i="7" s="1"/>
  <c r="AN71" i="7"/>
  <c r="AN73" i="7" s="1"/>
  <c r="N71" i="7"/>
  <c r="N73" i="7" s="1"/>
  <c r="D71" i="7"/>
  <c r="D73" i="7" s="1"/>
  <c r="I71" i="7"/>
  <c r="I73" i="7" s="1"/>
  <c r="T71" i="7"/>
  <c r="T73" i="7" s="1"/>
  <c r="AE71" i="7"/>
  <c r="AE73" i="7" s="1"/>
  <c r="AI71" i="7"/>
  <c r="AI73" i="7" s="1"/>
  <c r="V71" i="7"/>
  <c r="V73" i="7" s="1"/>
  <c r="AF71" i="7"/>
  <c r="AF73" i="7" s="1"/>
  <c r="AH71" i="7"/>
  <c r="AH73" i="7" s="1"/>
  <c r="K71" i="7"/>
  <c r="K73" i="7" s="1"/>
  <c r="S71" i="7"/>
  <c r="S73" i="7" s="1"/>
  <c r="H71" i="7"/>
  <c r="H73" i="7" s="1"/>
  <c r="Z71" i="7"/>
  <c r="Z73" i="7" s="1"/>
  <c r="Y71" i="7"/>
  <c r="Y73" i="7" s="1"/>
  <c r="AC71" i="7"/>
  <c r="AC73" i="7" s="1"/>
  <c r="U71" i="7"/>
  <c r="U73" i="7" s="1"/>
  <c r="W71" i="7"/>
  <c r="W73" i="7" s="1"/>
  <c r="AL71" i="7"/>
  <c r="AL73" i="7" s="1"/>
  <c r="J71" i="7"/>
  <c r="J73" i="7" s="1"/>
  <c r="O71" i="7"/>
  <c r="O73" i="7" s="1"/>
  <c r="X71" i="7"/>
  <c r="X73" i="7" s="1"/>
  <c r="AO71" i="7"/>
  <c r="AO73" i="7" s="1"/>
  <c r="M71" i="7"/>
  <c r="M73" i="7" s="1"/>
  <c r="AD71" i="7"/>
  <c r="AD73" i="7" s="1"/>
  <c r="R71" i="7"/>
  <c r="R73" i="7" s="1"/>
  <c r="AB71" i="7"/>
  <c r="AB73" i="7" s="1"/>
  <c r="AA71" i="7"/>
  <c r="AA73" i="7" s="1"/>
  <c r="AJ71" i="7"/>
  <c r="AJ73" i="7" s="1"/>
  <c r="P71" i="7"/>
  <c r="P73" i="7" s="1"/>
  <c r="AG71" i="7"/>
  <c r="AG73" i="7" s="1"/>
  <c r="AK71" i="7"/>
  <c r="AK73" i="7" s="1"/>
  <c r="AM71" i="7"/>
  <c r="AM73" i="7" s="1"/>
  <c r="G71" i="7"/>
  <c r="G73" i="7" s="1"/>
  <c r="F71" i="7"/>
  <c r="F73" i="7" s="1"/>
  <c r="L71" i="7"/>
  <c r="L73" i="7" s="1"/>
  <c r="E71" i="7"/>
  <c r="E73" i="7" s="1"/>
  <c r="Q71" i="7"/>
  <c r="Q73" i="7" s="1"/>
  <c r="C205" i="7"/>
  <c r="B162" i="7"/>
  <c r="B161" i="7"/>
  <c r="V246" i="7"/>
  <c r="V247" i="7" s="1"/>
  <c r="Z246" i="7"/>
  <c r="Z247" i="7" s="1"/>
  <c r="F246" i="7"/>
  <c r="F247" i="7" s="1"/>
  <c r="AJ246" i="7"/>
  <c r="AJ247" i="7" s="1"/>
  <c r="Y246" i="7"/>
  <c r="Y247" i="7" s="1"/>
  <c r="AA246" i="7"/>
  <c r="AA247" i="7" s="1"/>
  <c r="AK246" i="7"/>
  <c r="AK247" i="7" s="1"/>
  <c r="K246" i="7"/>
  <c r="K247" i="7" s="1"/>
  <c r="N246" i="7"/>
  <c r="N247" i="7" s="1"/>
  <c r="AL246" i="7"/>
  <c r="AL247" i="7" s="1"/>
  <c r="W246" i="7"/>
  <c r="W247" i="7" s="1"/>
  <c r="AD246" i="7"/>
  <c r="AD247" i="7" s="1"/>
  <c r="X246" i="7"/>
  <c r="X247" i="7" s="1"/>
  <c r="R246" i="7"/>
  <c r="R247" i="7" s="1"/>
  <c r="AN246" i="7"/>
  <c r="AN247" i="7" s="1"/>
  <c r="AH246" i="7"/>
  <c r="AH247" i="7" s="1"/>
  <c r="L246" i="7"/>
  <c r="L247" i="7" s="1"/>
  <c r="AM246" i="7"/>
  <c r="AM247" i="7" s="1"/>
  <c r="O246" i="7"/>
  <c r="O247" i="7" s="1"/>
  <c r="I246" i="7"/>
  <c r="I247" i="7" s="1"/>
  <c r="M246" i="7"/>
  <c r="M247" i="7" s="1"/>
  <c r="AO246" i="7"/>
  <c r="AO247" i="7" s="1"/>
  <c r="H246" i="7"/>
  <c r="H247" i="7" s="1"/>
  <c r="T246" i="7"/>
  <c r="T247" i="7" s="1"/>
  <c r="AE246" i="7"/>
  <c r="AE247" i="7" s="1"/>
  <c r="U246" i="7"/>
  <c r="U247" i="7" s="1"/>
  <c r="AB246" i="7"/>
  <c r="AB247" i="7" s="1"/>
  <c r="S246" i="7"/>
  <c r="S247" i="7" s="1"/>
  <c r="J246" i="7"/>
  <c r="J247" i="7" s="1"/>
  <c r="Q246" i="7"/>
  <c r="Q247" i="7" s="1"/>
  <c r="D246" i="7"/>
  <c r="D247" i="7" s="1"/>
  <c r="AG246" i="7"/>
  <c r="AG247" i="7" s="1"/>
  <c r="AI246" i="7"/>
  <c r="AI247" i="7" s="1"/>
  <c r="E246" i="7"/>
  <c r="E247" i="7" s="1"/>
  <c r="AF246" i="7"/>
  <c r="AF247" i="7" s="1"/>
  <c r="AP246" i="7"/>
  <c r="AP247" i="7" s="1"/>
  <c r="G246" i="7"/>
  <c r="G247" i="7" s="1"/>
  <c r="AC246" i="7"/>
  <c r="AC247" i="7" s="1"/>
  <c r="P246" i="7"/>
  <c r="P247" i="7" s="1"/>
  <c r="S83" i="7"/>
  <c r="AF83" i="7"/>
  <c r="AP83" i="7"/>
  <c r="AK205" i="7"/>
  <c r="AK206" i="7" s="1"/>
  <c r="AL83" i="7"/>
  <c r="S205" i="7"/>
  <c r="S206" i="7" s="1"/>
  <c r="AJ83" i="7"/>
  <c r="AJ205" i="7"/>
  <c r="AJ206" i="7" s="1"/>
  <c r="AK83" i="7"/>
  <c r="AP205" i="7"/>
  <c r="AP206" i="7" s="1"/>
  <c r="AH83" i="7"/>
  <c r="AH205" i="7"/>
  <c r="AH206" i="7" s="1"/>
  <c r="AO205" i="7"/>
  <c r="AO206" i="7" s="1"/>
  <c r="AN205" i="7"/>
  <c r="AN206" i="7" s="1"/>
  <c r="AN83" i="7"/>
  <c r="AL205" i="7"/>
  <c r="AL206" i="7" s="1"/>
  <c r="AM83" i="7"/>
  <c r="AM205" i="7"/>
  <c r="AM206" i="7" s="1"/>
  <c r="AG205" i="7"/>
  <c r="AG206" i="7" s="1"/>
  <c r="AG83" i="7"/>
  <c r="AI83" i="7"/>
  <c r="AI205" i="7"/>
  <c r="AI206" i="7" s="1"/>
  <c r="AO83" i="7"/>
  <c r="I83" i="7"/>
  <c r="P83" i="7"/>
  <c r="X205" i="7"/>
  <c r="X206" i="7" s="1"/>
  <c r="Z83" i="7"/>
  <c r="I205" i="7"/>
  <c r="I206" i="7" s="1"/>
  <c r="H83" i="7"/>
  <c r="N83" i="7"/>
  <c r="O83" i="7"/>
  <c r="V83" i="7"/>
  <c r="Q83" i="7"/>
  <c r="Y205" i="7"/>
  <c r="Y206" i="7" s="1"/>
  <c r="H205" i="7"/>
  <c r="H206" i="7" s="1"/>
  <c r="AA83" i="7"/>
  <c r="N205" i="7"/>
  <c r="N206" i="7" s="1"/>
  <c r="AD205" i="7"/>
  <c r="AD206" i="7" s="1"/>
  <c r="P205" i="7"/>
  <c r="P206" i="7" s="1"/>
  <c r="M205" i="7"/>
  <c r="M206" i="7" s="1"/>
  <c r="U83" i="7"/>
  <c r="D205" i="7"/>
  <c r="D206" i="7" s="1"/>
  <c r="T83" i="7"/>
  <c r="G83" i="7"/>
  <c r="K205" i="7"/>
  <c r="K206" i="7" s="1"/>
  <c r="W205" i="7"/>
  <c r="W206" i="7" s="1"/>
  <c r="AE205" i="7"/>
  <c r="AE206" i="7" s="1"/>
  <c r="F83" i="7"/>
  <c r="J205" i="7"/>
  <c r="J206" i="7" s="1"/>
  <c r="R83" i="7"/>
  <c r="E205" i="7"/>
  <c r="E206" i="7" s="1"/>
  <c r="AC205" i="7"/>
  <c r="AC206" i="7" s="1"/>
  <c r="L83" i="7"/>
  <c r="AB205" i="7"/>
  <c r="AB206" i="7" s="1"/>
  <c r="O205" i="7"/>
  <c r="O206" i="7" s="1"/>
  <c r="AA205" i="7"/>
  <c r="AA206" i="7" s="1"/>
  <c r="V205" i="7"/>
  <c r="V206" i="7" s="1"/>
  <c r="Z205" i="7"/>
  <c r="Z206" i="7" s="1"/>
  <c r="AD83" i="7"/>
  <c r="M83" i="7"/>
  <c r="Q205" i="7"/>
  <c r="Q206" i="7" s="1"/>
  <c r="U205" i="7"/>
  <c r="U206" i="7" s="1"/>
  <c r="Y83" i="7"/>
  <c r="D83" i="7"/>
  <c r="T205" i="7"/>
  <c r="T206" i="7" s="1"/>
  <c r="X83" i="7"/>
  <c r="AF205" i="7"/>
  <c r="AF206" i="7" s="1"/>
  <c r="C83" i="7"/>
  <c r="C246" i="7"/>
  <c r="G205" i="7"/>
  <c r="G206" i="7" s="1"/>
  <c r="K83" i="7"/>
  <c r="W83" i="7"/>
  <c r="AE83" i="7"/>
  <c r="F205" i="7"/>
  <c r="F206" i="7" s="1"/>
  <c r="J83" i="7"/>
  <c r="R205" i="7"/>
  <c r="R206" i="7" s="1"/>
  <c r="E83" i="7"/>
  <c r="AC83" i="7"/>
  <c r="L205" i="7"/>
  <c r="L206" i="7" s="1"/>
  <c r="AB83" i="7"/>
  <c r="Q654" i="7"/>
  <c r="Q657" i="7" s="1"/>
  <c r="B163" i="7" l="1"/>
  <c r="F11" i="1" s="1"/>
  <c r="R654" i="7"/>
  <c r="R657" i="7" s="1"/>
  <c r="AO645" i="7" l="1"/>
  <c r="AM645" i="7"/>
  <c r="AL645" i="7"/>
  <c r="AK645" i="7"/>
  <c r="AJ645" i="7"/>
  <c r="AI645" i="7"/>
  <c r="AF645" i="7"/>
  <c r="AN645" i="7"/>
  <c r="AH645" i="7"/>
  <c r="AG645" i="7"/>
  <c r="AE645" i="7"/>
  <c r="AC645" i="7"/>
  <c r="AA645" i="7"/>
  <c r="Y645" i="7"/>
  <c r="W645" i="7"/>
  <c r="U645" i="7"/>
  <c r="S645" i="7"/>
  <c r="Q645" i="7"/>
  <c r="O645" i="7"/>
  <c r="M645" i="7"/>
  <c r="K645" i="7"/>
  <c r="I645" i="7"/>
  <c r="G645" i="7"/>
  <c r="E645" i="7"/>
  <c r="C645" i="7"/>
  <c r="AD645" i="7"/>
  <c r="AB645" i="7"/>
  <c r="Z645" i="7"/>
  <c r="X645" i="7"/>
  <c r="V645" i="7"/>
  <c r="T645" i="7"/>
  <c r="R645" i="7"/>
  <c r="P645" i="7"/>
  <c r="N645" i="7"/>
  <c r="L645" i="7"/>
  <c r="J645" i="7"/>
  <c r="H645" i="7"/>
  <c r="F645" i="7"/>
  <c r="D645" i="7"/>
  <c r="S654" i="7"/>
  <c r="S657" i="7" s="1"/>
  <c r="S642" i="7" l="1"/>
  <c r="M642" i="7"/>
  <c r="M643" i="7" s="1"/>
  <c r="M102" i="7" s="1"/>
  <c r="E642" i="7"/>
  <c r="E643" i="7" s="1"/>
  <c r="E102" i="7" s="1"/>
  <c r="K642" i="7"/>
  <c r="K643" i="7" s="1"/>
  <c r="K102" i="7" s="1"/>
  <c r="U642" i="7"/>
  <c r="U643" i="7" s="1"/>
  <c r="U102" i="7" s="1"/>
  <c r="G642" i="7"/>
  <c r="G643" i="7" s="1"/>
  <c r="G102" i="7" s="1"/>
  <c r="O642" i="7"/>
  <c r="O643" i="7" s="1"/>
  <c r="O102" i="7" s="1"/>
  <c r="I642" i="7"/>
  <c r="I643" i="7" s="1"/>
  <c r="I102" i="7" s="1"/>
  <c r="Q642" i="7"/>
  <c r="Q643" i="7" s="1"/>
  <c r="Q102" i="7" s="1"/>
  <c r="S643" i="7"/>
  <c r="S102" i="7" s="1"/>
  <c r="AA642" i="7"/>
  <c r="AA644" i="7" s="1"/>
  <c r="AA102" i="7" s="1"/>
  <c r="AA107" i="7" s="1"/>
  <c r="AA113" i="7" s="1"/>
  <c r="AC642" i="7"/>
  <c r="AG642" i="7"/>
  <c r="W642" i="7"/>
  <c r="W643" i="7" s="1"/>
  <c r="W102" i="7" s="1"/>
  <c r="W107" i="7" s="1"/>
  <c r="W113" i="7" s="1"/>
  <c r="AE642" i="7"/>
  <c r="AJ642" i="7"/>
  <c r="Y642" i="7"/>
  <c r="Y643" i="7" s="1"/>
  <c r="Y102" i="7" s="1"/>
  <c r="Y107" i="7" s="1"/>
  <c r="Y113" i="7" s="1"/>
  <c r="B645" i="7"/>
  <c r="B643" i="7" s="1"/>
  <c r="AG102" i="7"/>
  <c r="AG107" i="7" s="1"/>
  <c r="AG113" i="7" s="1"/>
  <c r="AH642" i="7"/>
  <c r="AH102" i="7" s="1"/>
  <c r="AH107" i="7" s="1"/>
  <c r="AH113" i="7" s="1"/>
  <c r="AI642" i="7"/>
  <c r="AI102" i="7" s="1"/>
  <c r="AI107" i="7" s="1"/>
  <c r="AI113" i="7" s="1"/>
  <c r="AO642" i="7"/>
  <c r="AO102" i="7" s="1"/>
  <c r="AO107" i="7" s="1"/>
  <c r="AO113" i="7" s="1"/>
  <c r="AK642" i="7"/>
  <c r="AK102" i="7" s="1"/>
  <c r="AK107" i="7" s="1"/>
  <c r="AK113" i="7" s="1"/>
  <c r="AJ102" i="7"/>
  <c r="AJ107" i="7" s="1"/>
  <c r="AJ113" i="7" s="1"/>
  <c r="AL642" i="7"/>
  <c r="AL102" i="7" s="1"/>
  <c r="AL107" i="7" s="1"/>
  <c r="AL113" i="7" s="1"/>
  <c r="AP642" i="7"/>
  <c r="AP644" i="7" s="1"/>
  <c r="AP102" i="7" s="1"/>
  <c r="AP107" i="7" s="1"/>
  <c r="AP113" i="7" s="1"/>
  <c r="AM642" i="7"/>
  <c r="AM102" i="7" s="1"/>
  <c r="AM107" i="7" s="1"/>
  <c r="AM113" i="7" s="1"/>
  <c r="AN642" i="7"/>
  <c r="AN102" i="7" s="1"/>
  <c r="AN107" i="7" s="1"/>
  <c r="AN113" i="7" s="1"/>
  <c r="D642" i="7"/>
  <c r="F642" i="7"/>
  <c r="F643" i="7" s="1"/>
  <c r="H642" i="7"/>
  <c r="J642" i="7"/>
  <c r="J643" i="7" s="1"/>
  <c r="L642" i="7"/>
  <c r="L643" i="7" s="1"/>
  <c r="N642" i="7"/>
  <c r="N643" i="7" s="1"/>
  <c r="P642" i="7"/>
  <c r="R642" i="7"/>
  <c r="R643" i="7" s="1"/>
  <c r="T642" i="7"/>
  <c r="V642" i="7"/>
  <c r="V643" i="7" s="1"/>
  <c r="X642" i="7"/>
  <c r="Z642" i="7"/>
  <c r="Z643" i="7" s="1"/>
  <c r="AB642" i="7"/>
  <c r="AB102" i="7" s="1"/>
  <c r="AB107" i="7" s="1"/>
  <c r="AB113" i="7" s="1"/>
  <c r="AD642" i="7"/>
  <c r="AD102" i="7" s="1"/>
  <c r="AD107" i="7" s="1"/>
  <c r="AD113" i="7" s="1"/>
  <c r="AC102" i="7"/>
  <c r="AC107" i="7" s="1"/>
  <c r="AC113" i="7" s="1"/>
  <c r="AF642" i="7"/>
  <c r="AE102" i="7"/>
  <c r="AE107" i="7" s="1"/>
  <c r="AE113" i="7" s="1"/>
  <c r="C234" i="7"/>
  <c r="C247" i="7" s="1"/>
  <c r="C193" i="7"/>
  <c r="C206" i="7" s="1"/>
  <c r="T654" i="7"/>
  <c r="T657" i="7" s="1"/>
  <c r="H643" i="7" l="1"/>
  <c r="H102" i="7" s="1"/>
  <c r="D643" i="7"/>
  <c r="D102" i="7" s="1"/>
  <c r="L102" i="7"/>
  <c r="X643" i="7"/>
  <c r="X102" i="7" s="1"/>
  <c r="X107" i="7" s="1"/>
  <c r="X113" i="7" s="1"/>
  <c r="Z102" i="7"/>
  <c r="Z107" i="7" s="1"/>
  <c r="Z113" i="7" s="1"/>
  <c r="V102" i="7"/>
  <c r="R102" i="7"/>
  <c r="N102" i="7"/>
  <c r="J102" i="7"/>
  <c r="F102" i="7"/>
  <c r="P643" i="7"/>
  <c r="P102" i="7" s="1"/>
  <c r="T643" i="7"/>
  <c r="T102" i="7" s="1"/>
  <c r="C642" i="7"/>
  <c r="C643" i="7" s="1"/>
  <c r="B102" i="7"/>
  <c r="AF644" i="7"/>
  <c r="U654" i="7"/>
  <c r="U657" i="7" s="1"/>
  <c r="C102" i="7" l="1"/>
  <c r="AF102" i="7"/>
  <c r="AF107" i="7" s="1"/>
  <c r="AF113" i="7" s="1"/>
  <c r="V654" i="7"/>
  <c r="V657" i="7" s="1"/>
  <c r="V750" i="7" s="1"/>
  <c r="W654" i="7" l="1"/>
  <c r="W657" i="7" s="1"/>
  <c r="W750" i="7" s="1"/>
  <c r="W751" i="7"/>
  <c r="W214" i="7" l="1"/>
  <c r="W176" i="7"/>
  <c r="W84" i="7"/>
  <c r="X654" i="7"/>
  <c r="X657" i="7" s="1"/>
  <c r="X750" i="7" s="1"/>
  <c r="X751" i="7"/>
  <c r="X214" i="7" l="1"/>
  <c r="X176" i="7"/>
  <c r="X84" i="7"/>
  <c r="Y654" i="7"/>
  <c r="Y657" i="7" s="1"/>
  <c r="Y750" i="7" s="1"/>
  <c r="Y751" i="7"/>
  <c r="Y214" i="7" l="1"/>
  <c r="Y176" i="7"/>
  <c r="Y84" i="7"/>
  <c r="Z654" i="7"/>
  <c r="Z657" i="7" s="1"/>
  <c r="Z750" i="7" s="1"/>
  <c r="Z751" i="7"/>
  <c r="AA654" i="7" l="1"/>
  <c r="AA657" i="7" s="1"/>
  <c r="AA750" i="7" s="1"/>
  <c r="AA751" i="7"/>
  <c r="Z214" i="7"/>
  <c r="Z176" i="7"/>
  <c r="Z84" i="7"/>
  <c r="AB654" i="7" l="1"/>
  <c r="AB657" i="7" s="1"/>
  <c r="AB750" i="7" s="1"/>
  <c r="AB751" i="7"/>
  <c r="AA214" i="7"/>
  <c r="AA176" i="7"/>
  <c r="AA84" i="7"/>
  <c r="AC654" i="7" l="1"/>
  <c r="AC657" i="7" s="1"/>
  <c r="AC750" i="7" s="1"/>
  <c r="AC751" i="7"/>
  <c r="AB214" i="7"/>
  <c r="AB176" i="7"/>
  <c r="AB84" i="7"/>
  <c r="AC214" i="7" l="1"/>
  <c r="AC176" i="7"/>
  <c r="AC84" i="7"/>
  <c r="AD654" i="7"/>
  <c r="AD657" i="7" s="1"/>
  <c r="AD750" i="7" s="1"/>
  <c r="AD751" i="7"/>
  <c r="AE654" i="7" l="1"/>
  <c r="AE657" i="7" s="1"/>
  <c r="AE750" i="7" s="1"/>
  <c r="AE751" i="7"/>
  <c r="AD214" i="7"/>
  <c r="AD176" i="7"/>
  <c r="AD84" i="7"/>
  <c r="AF654" i="7" l="1"/>
  <c r="AF657" i="7" s="1"/>
  <c r="AF750" i="7" s="1"/>
  <c r="AF751" i="7"/>
  <c r="AE214" i="7"/>
  <c r="AE176" i="7"/>
  <c r="AE84" i="7"/>
  <c r="AG654" i="7" l="1"/>
  <c r="AG657" i="7" s="1"/>
  <c r="AG750" i="7" s="1"/>
  <c r="AF214" i="7"/>
  <c r="AF176" i="7"/>
  <c r="AF84" i="7"/>
  <c r="AG176" i="7" l="1"/>
  <c r="AG214" i="7"/>
  <c r="AG84" i="7"/>
  <c r="M404" i="7"/>
  <c r="M406" i="7"/>
  <c r="AH654" i="7"/>
  <c r="AH657" i="7" s="1"/>
  <c r="AH750" i="7" s="1"/>
  <c r="AH214" i="7" l="1"/>
  <c r="AH84" i="7"/>
  <c r="AH176" i="7"/>
  <c r="M403" i="7"/>
  <c r="AI654" i="7"/>
  <c r="AI657" i="7" s="1"/>
  <c r="AI750" i="7" s="1"/>
  <c r="AI176" i="7" l="1"/>
  <c r="AI214" i="7"/>
  <c r="AI84" i="7"/>
  <c r="AJ654" i="7"/>
  <c r="AJ657" i="7" s="1"/>
  <c r="AJ750" i="7" s="1"/>
  <c r="AJ214" i="7" l="1"/>
  <c r="AJ176" i="7"/>
  <c r="AJ84" i="7"/>
  <c r="AK654" i="7"/>
  <c r="AK657" i="7" s="1"/>
  <c r="AK750" i="7" s="1"/>
  <c r="AK214" i="7" l="1"/>
  <c r="AK176" i="7"/>
  <c r="AK84" i="7"/>
  <c r="AL654" i="7"/>
  <c r="AL657" i="7" s="1"/>
  <c r="AL750" i="7" s="1"/>
  <c r="AL176" i="7" l="1"/>
  <c r="AL214" i="7"/>
  <c r="AL84" i="7"/>
  <c r="AM654" i="7"/>
  <c r="AM657" i="7" s="1"/>
  <c r="AM750" i="7" s="1"/>
  <c r="AM214" i="7" l="1"/>
  <c r="AM84" i="7"/>
  <c r="AM176" i="7"/>
  <c r="AN654" i="7"/>
  <c r="AN657" i="7" s="1"/>
  <c r="AN750" i="7" s="1"/>
  <c r="AN214" i="7" l="1"/>
  <c r="AN84" i="7"/>
  <c r="AN176" i="7"/>
  <c r="AO654" i="7"/>
  <c r="AO657" i="7" s="1"/>
  <c r="AO750" i="7" s="1"/>
  <c r="AO214" i="7" l="1"/>
  <c r="AO84" i="7"/>
  <c r="AO176" i="7"/>
  <c r="AP654" i="7"/>
  <c r="AP657" i="7" s="1"/>
  <c r="AP750" i="7" s="1"/>
  <c r="AP176" i="7" l="1"/>
  <c r="AP214" i="7"/>
  <c r="AP84" i="7"/>
  <c r="AF77" i="7" l="1"/>
  <c r="AF88" i="7" s="1"/>
  <c r="AF126" i="7" s="1"/>
  <c r="AC77" i="7"/>
  <c r="AC88" i="7" s="1"/>
  <c r="AC126" i="7" s="1"/>
  <c r="H615" i="7" l="1"/>
  <c r="H617" i="7" s="1"/>
  <c r="H619" i="7" s="1"/>
  <c r="H622" i="7" s="1"/>
  <c r="AC175" i="7"/>
  <c r="H175" i="7"/>
  <c r="H77" i="7"/>
  <c r="H213" i="7"/>
  <c r="AC213" i="7"/>
  <c r="AF213" i="7"/>
  <c r="AF175" i="7"/>
  <c r="C615" i="7"/>
  <c r="C617" i="7" s="1"/>
  <c r="C619" i="7" s="1"/>
  <c r="C622" i="7" s="1"/>
  <c r="AC127" i="7"/>
  <c r="AF127" i="7"/>
  <c r="AN175" i="7"/>
  <c r="AN213" i="7"/>
  <c r="AN77" i="7"/>
  <c r="AN88" i="7" s="1"/>
  <c r="AN126" i="7" s="1"/>
  <c r="AP213" i="7"/>
  <c r="AP77" i="7"/>
  <c r="AP88" i="7" s="1"/>
  <c r="AP126" i="7" s="1"/>
  <c r="AP175" i="7"/>
  <c r="U615" i="7"/>
  <c r="U617" i="7" s="1"/>
  <c r="U619" i="7" s="1"/>
  <c r="AH213" i="7"/>
  <c r="AH175" i="7"/>
  <c r="AH77" i="7"/>
  <c r="AH88" i="7" s="1"/>
  <c r="AH126" i="7" s="1"/>
  <c r="T750" i="7" l="1"/>
  <c r="T615" i="7"/>
  <c r="T617" i="7" s="1"/>
  <c r="T619" i="7" s="1"/>
  <c r="T622" i="7" s="1"/>
  <c r="Q615" i="7"/>
  <c r="Q617" i="7" s="1"/>
  <c r="Q619" i="7" s="1"/>
  <c r="Q622" i="7" s="1"/>
  <c r="R615" i="7"/>
  <c r="R617" i="7" s="1"/>
  <c r="R619" i="7" s="1"/>
  <c r="R622" i="7" s="1"/>
  <c r="AA213" i="7"/>
  <c r="M175" i="7"/>
  <c r="T77" i="7"/>
  <c r="T213" i="7"/>
  <c r="T175" i="7"/>
  <c r="AH127" i="7"/>
  <c r="R175" i="7"/>
  <c r="R77" i="7"/>
  <c r="R213" i="7"/>
  <c r="J615" i="7"/>
  <c r="J617" i="7" s="1"/>
  <c r="J619" i="7" s="1"/>
  <c r="J622" i="7" s="1"/>
  <c r="J77" i="7"/>
  <c r="J213" i="7"/>
  <c r="J175" i="7"/>
  <c r="AJ77" i="7"/>
  <c r="AJ88" i="7" s="1"/>
  <c r="AJ126" i="7" s="1"/>
  <c r="AJ175" i="7"/>
  <c r="AJ213" i="7"/>
  <c r="AK175" i="7"/>
  <c r="AK77" i="7"/>
  <c r="AK88" i="7" s="1"/>
  <c r="AK126" i="7" s="1"/>
  <c r="AK213" i="7"/>
  <c r="E175" i="7"/>
  <c r="E77" i="7"/>
  <c r="E213" i="7"/>
  <c r="E615" i="7"/>
  <c r="E617" i="7" s="1"/>
  <c r="E619" i="7" s="1"/>
  <c r="E622" i="7" s="1"/>
  <c r="AP127" i="7"/>
  <c r="G77" i="7"/>
  <c r="G213" i="7"/>
  <c r="G175" i="7"/>
  <c r="G615" i="7"/>
  <c r="G617" i="7" s="1"/>
  <c r="G619" i="7" s="1"/>
  <c r="G622" i="7" s="1"/>
  <c r="AN127" i="7"/>
  <c r="C77" i="7"/>
  <c r="C175" i="7"/>
  <c r="C213" i="7"/>
  <c r="AI77" i="7"/>
  <c r="AI88" i="7" s="1"/>
  <c r="AI126" i="7" s="1"/>
  <c r="AI213" i="7"/>
  <c r="AI175" i="7"/>
  <c r="AM77" i="7"/>
  <c r="AM88" i="7" s="1"/>
  <c r="AM126" i="7" s="1"/>
  <c r="AM175" i="7"/>
  <c r="AM213" i="7"/>
  <c r="AO77" i="7"/>
  <c r="AO88" i="7" s="1"/>
  <c r="AO126" i="7" s="1"/>
  <c r="AO175" i="7"/>
  <c r="AO213" i="7"/>
  <c r="L615" i="7"/>
  <c r="L617" i="7" s="1"/>
  <c r="L619" i="7" s="1"/>
  <c r="L622" i="7" s="1"/>
  <c r="L175" i="7"/>
  <c r="L213" i="7"/>
  <c r="L77" i="7"/>
  <c r="Q77" i="7"/>
  <c r="Q175" i="7"/>
  <c r="Q213" i="7"/>
  <c r="V615" i="7"/>
  <c r="V617" i="7" s="1"/>
  <c r="V619" i="7" s="1"/>
  <c r="AL213" i="7"/>
  <c r="AL175" i="7"/>
  <c r="AL77" i="7"/>
  <c r="AL88" i="7" s="1"/>
  <c r="AL126" i="7" s="1"/>
  <c r="N175" i="7"/>
  <c r="N213" i="7"/>
  <c r="N77" i="7"/>
  <c r="N615" i="7"/>
  <c r="N617" i="7" s="1"/>
  <c r="N619" i="7" s="1"/>
  <c r="N622" i="7" s="1"/>
  <c r="AE175" i="7"/>
  <c r="AE77" i="7"/>
  <c r="AE88" i="7" s="1"/>
  <c r="AE126" i="7" s="1"/>
  <c r="AE213" i="7"/>
  <c r="AG213" i="7"/>
  <c r="AG77" i="7"/>
  <c r="AG88" i="7" s="1"/>
  <c r="AG126" i="7" s="1"/>
  <c r="AG175" i="7"/>
  <c r="U175" i="7"/>
  <c r="U77" i="7"/>
  <c r="U213" i="7"/>
  <c r="AD77" i="7"/>
  <c r="AD88" i="7" s="1"/>
  <c r="AD126" i="7" s="1"/>
  <c r="AD213" i="7"/>
  <c r="AD175" i="7"/>
  <c r="AB175" i="7"/>
  <c r="AB77" i="7"/>
  <c r="AB88" i="7" s="1"/>
  <c r="AB126" i="7" s="1"/>
  <c r="AB213" i="7"/>
  <c r="U751" i="7" l="1"/>
  <c r="U636" i="7"/>
  <c r="U750" i="7"/>
  <c r="P615" i="7"/>
  <c r="P617" i="7" s="1"/>
  <c r="P619" i="7" s="1"/>
  <c r="P622" i="7" s="1"/>
  <c r="S615" i="7"/>
  <c r="S617" i="7" s="1"/>
  <c r="S619" i="7" s="1"/>
  <c r="S622" i="7" s="1"/>
  <c r="AA175" i="7"/>
  <c r="AA77" i="7"/>
  <c r="AA88" i="7" s="1"/>
  <c r="M213" i="7"/>
  <c r="M77" i="7"/>
  <c r="D175" i="7"/>
  <c r="M615" i="7"/>
  <c r="M617" i="7" s="1"/>
  <c r="M619" i="7" s="1"/>
  <c r="M622" i="7" s="1"/>
  <c r="D77" i="7"/>
  <c r="F615" i="7"/>
  <c r="F617" i="7" s="1"/>
  <c r="F619" i="7" s="1"/>
  <c r="F622" i="7" s="1"/>
  <c r="F213" i="7"/>
  <c r="F175" i="7"/>
  <c r="F77" i="7"/>
  <c r="D615" i="7"/>
  <c r="D617" i="7" s="1"/>
  <c r="D619" i="7" s="1"/>
  <c r="D622" i="7" s="1"/>
  <c r="D213" i="7"/>
  <c r="K213" i="7"/>
  <c r="K175" i="7"/>
  <c r="K615" i="7"/>
  <c r="K617" i="7" s="1"/>
  <c r="K619" i="7" s="1"/>
  <c r="K622" i="7" s="1"/>
  <c r="K77" i="7"/>
  <c r="AG127" i="7"/>
  <c r="W213" i="7"/>
  <c r="W175" i="7"/>
  <c r="W77" i="7"/>
  <c r="W88" i="7" s="1"/>
  <c r="W126" i="7" s="1"/>
  <c r="AL127" i="7"/>
  <c r="AM127" i="7"/>
  <c r="Y175" i="7"/>
  <c r="Y77" i="7"/>
  <c r="Y88" i="7" s="1"/>
  <c r="Y126" i="7" s="1"/>
  <c r="Y213" i="7"/>
  <c r="Z213" i="7"/>
  <c r="Z175" i="7"/>
  <c r="Z77" i="7"/>
  <c r="Z88" i="7" s="1"/>
  <c r="Z126" i="7" s="1"/>
  <c r="S175" i="7"/>
  <c r="S213" i="7"/>
  <c r="S77" i="7"/>
  <c r="O175" i="7"/>
  <c r="O615" i="7"/>
  <c r="O617" i="7" s="1"/>
  <c r="O619" i="7" s="1"/>
  <c r="O622" i="7" s="1"/>
  <c r="O213" i="7"/>
  <c r="O77" i="7"/>
  <c r="I77" i="7"/>
  <c r="I213" i="7"/>
  <c r="I175" i="7"/>
  <c r="I615" i="7"/>
  <c r="I617" i="7" s="1"/>
  <c r="I619" i="7" s="1"/>
  <c r="I622" i="7" s="1"/>
  <c r="AB127" i="7"/>
  <c r="AD127" i="7"/>
  <c r="AE127" i="7"/>
  <c r="V77" i="7"/>
  <c r="V213" i="7"/>
  <c r="V175" i="7"/>
  <c r="AO127" i="7"/>
  <c r="X175" i="7"/>
  <c r="X77" i="7"/>
  <c r="X88" i="7" s="1"/>
  <c r="X126" i="7" s="1"/>
  <c r="X213" i="7"/>
  <c r="AI127" i="7"/>
  <c r="AK127" i="7"/>
  <c r="AJ127" i="7"/>
  <c r="P77" i="7"/>
  <c r="P213" i="7"/>
  <c r="P175" i="7"/>
  <c r="AA126" i="7" l="1"/>
  <c r="AA127" i="7" s="1"/>
  <c r="V751" i="7"/>
  <c r="V636" i="7"/>
  <c r="V101" i="7" s="1"/>
  <c r="V107" i="7" s="1"/>
  <c r="V113" i="7" s="1"/>
  <c r="U101" i="7"/>
  <c r="U107" i="7" s="1"/>
  <c r="U113" i="7" s="1"/>
  <c r="U84" i="7"/>
  <c r="U176" i="7"/>
  <c r="U214" i="7"/>
  <c r="X127" i="7"/>
  <c r="Z127" i="7"/>
  <c r="Y127" i="7"/>
  <c r="W127" i="7"/>
  <c r="V214" i="7" l="1"/>
  <c r="V176" i="7"/>
  <c r="V84" i="7"/>
  <c r="U215" i="7" l="1"/>
  <c r="U85" i="7"/>
  <c r="U88" i="7" s="1"/>
  <c r="U177" i="7"/>
  <c r="U120" i="7" l="1"/>
  <c r="U121" i="7" s="1"/>
  <c r="U126" i="7" s="1"/>
  <c r="AN178" i="7"/>
  <c r="AN179" i="7" s="1"/>
  <c r="AN208" i="7" s="1"/>
  <c r="AN210" i="7" s="1"/>
  <c r="AP178" i="7"/>
  <c r="AP179" i="7" s="1"/>
  <c r="AP208" i="7" s="1"/>
  <c r="AP210" i="7" s="1"/>
  <c r="AL178" i="7"/>
  <c r="AL179" i="7" s="1"/>
  <c r="AL208" i="7" s="1"/>
  <c r="AL210" i="7" s="1"/>
  <c r="AH178" i="7"/>
  <c r="AH179" i="7" s="1"/>
  <c r="AH208" i="7" s="1"/>
  <c r="AH210" i="7" s="1"/>
  <c r="AO178" i="7"/>
  <c r="AO179" i="7" s="1"/>
  <c r="AO208" i="7" s="1"/>
  <c r="AO210" i="7" s="1"/>
  <c r="AK178" i="7"/>
  <c r="AK179" i="7" s="1"/>
  <c r="AK208" i="7" s="1"/>
  <c r="AK210" i="7" s="1"/>
  <c r="AG178" i="7"/>
  <c r="AG179" i="7" s="1"/>
  <c r="AG208" i="7" s="1"/>
  <c r="AG210" i="7" s="1"/>
  <c r="AJ178" i="7"/>
  <c r="AJ179" i="7" s="1"/>
  <c r="AJ208" i="7" s="1"/>
  <c r="AJ210" i="7" s="1"/>
  <c r="AM178" i="7"/>
  <c r="AM179" i="7" s="1"/>
  <c r="AM208" i="7" s="1"/>
  <c r="AM210" i="7" s="1"/>
  <c r="AI178" i="7"/>
  <c r="AI179" i="7" s="1"/>
  <c r="AI208" i="7" s="1"/>
  <c r="AI210" i="7" s="1"/>
  <c r="U127" i="7" l="1"/>
  <c r="AG217" i="7"/>
  <c r="AG139" i="7"/>
  <c r="AH217" i="7"/>
  <c r="AH139" i="7"/>
  <c r="AK217" i="7"/>
  <c r="AK139" i="7"/>
  <c r="AL139" i="7"/>
  <c r="AL217" i="7"/>
  <c r="AI217" i="7"/>
  <c r="AI139" i="7"/>
  <c r="AJ217" i="7"/>
  <c r="AJ139" i="7"/>
  <c r="AO217" i="7"/>
  <c r="AO139" i="7"/>
  <c r="AP217" i="7"/>
  <c r="AP139" i="7"/>
  <c r="AM217" i="7"/>
  <c r="AM139" i="7"/>
  <c r="AN217" i="7"/>
  <c r="AN139" i="7"/>
  <c r="AK216" i="7"/>
  <c r="AJ216" i="7"/>
  <c r="AG216" i="7"/>
  <c r="AI216" i="7"/>
  <c r="AL216" i="7"/>
  <c r="AO216" i="7"/>
  <c r="AH216" i="7"/>
  <c r="AN216" i="7"/>
  <c r="AP216" i="7"/>
  <c r="AM216" i="7"/>
  <c r="V85" i="7" l="1"/>
  <c r="V88" i="7" s="1"/>
  <c r="V215" i="7"/>
  <c r="V177" i="7"/>
  <c r="V120" i="7" l="1"/>
  <c r="V121" i="7" s="1"/>
  <c r="V126" i="7" s="1"/>
  <c r="V127" i="7" l="1"/>
  <c r="M405" i="7" l="1"/>
  <c r="M409" i="7" s="1"/>
  <c r="C314" i="7"/>
  <c r="B314" i="7" s="1" a="1"/>
  <c r="B314" i="7" s="1"/>
  <c r="AD178" i="7" l="1"/>
  <c r="AD179" i="7" s="1"/>
  <c r="AD208" i="7" s="1"/>
  <c r="AD210" i="7" s="1"/>
  <c r="AD216" i="7"/>
  <c r="AB178" i="7"/>
  <c r="AB179" i="7" s="1"/>
  <c r="AB208" i="7" s="1"/>
  <c r="AB210" i="7" s="1"/>
  <c r="AB216" i="7"/>
  <c r="AF178" i="7"/>
  <c r="AF179" i="7" s="1"/>
  <c r="AF208" i="7" s="1"/>
  <c r="AF210" i="7" s="1"/>
  <c r="AF216" i="7"/>
  <c r="AC178" i="7"/>
  <c r="AC179" i="7" s="1"/>
  <c r="AC208" i="7" s="1"/>
  <c r="AC210" i="7" s="1"/>
  <c r="AC216" i="7"/>
  <c r="AE178" i="7"/>
  <c r="AE179" i="7" s="1"/>
  <c r="AE208" i="7" s="1"/>
  <c r="AE210" i="7" s="1"/>
  <c r="AE216" i="7"/>
  <c r="AD139" i="7" l="1"/>
  <c r="AD217" i="7"/>
  <c r="AB217" i="7"/>
  <c r="AB139" i="7"/>
  <c r="AE139" i="7"/>
  <c r="AE217" i="7"/>
  <c r="AF217" i="7"/>
  <c r="AF139" i="7"/>
  <c r="AC139" i="7"/>
  <c r="AC217" i="7"/>
  <c r="B631" i="7" l="1"/>
  <c r="B622" i="7" l="1"/>
  <c r="N750" i="7"/>
  <c r="S101" i="7"/>
  <c r="S107" i="7" s="1"/>
  <c r="S113" i="7" s="1"/>
  <c r="O750" i="7"/>
  <c r="G750" i="7"/>
  <c r="B750" i="7"/>
  <c r="L750" i="7"/>
  <c r="J750" i="7"/>
  <c r="C750" i="7"/>
  <c r="H750" i="7"/>
  <c r="K750" i="7"/>
  <c r="Q750" i="7"/>
  <c r="M750" i="7"/>
  <c r="E750" i="7" l="1"/>
  <c r="F751" i="7" s="1"/>
  <c r="F176" i="7" s="1"/>
  <c r="S636" i="7"/>
  <c r="R750" i="7"/>
  <c r="S751" i="7" s="1"/>
  <c r="S176" i="7" s="1"/>
  <c r="D750" i="7"/>
  <c r="E751" i="7" s="1"/>
  <c r="E176" i="7" s="1"/>
  <c r="G636" i="7"/>
  <c r="F750" i="7"/>
  <c r="P750" i="7"/>
  <c r="Q751" i="7" s="1"/>
  <c r="Q214" i="7" s="1"/>
  <c r="T636" i="7"/>
  <c r="T101" i="7" s="1"/>
  <c r="T107" i="7" s="1"/>
  <c r="T113" i="7" s="1"/>
  <c r="S750" i="7"/>
  <c r="J636" i="7"/>
  <c r="I750" i="7"/>
  <c r="J751" i="7" s="1"/>
  <c r="J176" i="7" s="1"/>
  <c r="T751" i="7"/>
  <c r="T214" i="7" s="1"/>
  <c r="E636" i="7"/>
  <c r="E101" i="7" s="1"/>
  <c r="E107" i="7" s="1"/>
  <c r="E113" i="7" s="1"/>
  <c r="G751" i="7"/>
  <c r="G214" i="7" s="1"/>
  <c r="F636" i="7"/>
  <c r="F101" i="7" s="1"/>
  <c r="F107" i="7" s="1"/>
  <c r="F113" i="7" s="1"/>
  <c r="Q636" i="7"/>
  <c r="L636" i="7"/>
  <c r="L101" i="7" s="1"/>
  <c r="L107" i="7" s="1"/>
  <c r="L113" i="7" s="1"/>
  <c r="L751" i="7"/>
  <c r="C101" i="7"/>
  <c r="C107" i="7" s="1"/>
  <c r="C113" i="7" s="1"/>
  <c r="C751" i="7"/>
  <c r="N636" i="7"/>
  <c r="N751" i="7"/>
  <c r="I636" i="7"/>
  <c r="I101" i="7" s="1"/>
  <c r="I107" i="7" s="1"/>
  <c r="I113" i="7" s="1"/>
  <c r="I751" i="7"/>
  <c r="K636" i="7"/>
  <c r="K101" i="7" s="1"/>
  <c r="K107" i="7" s="1"/>
  <c r="K113" i="7" s="1"/>
  <c r="J101" i="7"/>
  <c r="J107" i="7" s="1"/>
  <c r="J113" i="7" s="1"/>
  <c r="K751" i="7"/>
  <c r="H636" i="7"/>
  <c r="H101" i="7" s="1"/>
  <c r="H107" i="7" s="1"/>
  <c r="H113" i="7" s="1"/>
  <c r="G101" i="7"/>
  <c r="G107" i="7" s="1"/>
  <c r="G113" i="7" s="1"/>
  <c r="H751" i="7"/>
  <c r="O636" i="7"/>
  <c r="N101" i="7"/>
  <c r="N107" i="7" s="1"/>
  <c r="N113" i="7" s="1"/>
  <c r="O751" i="7"/>
  <c r="R636" i="7"/>
  <c r="R101" i="7" s="1"/>
  <c r="R107" i="7" s="1"/>
  <c r="R113" i="7" s="1"/>
  <c r="Q101" i="7"/>
  <c r="Q107" i="7" s="1"/>
  <c r="Q113" i="7" s="1"/>
  <c r="R751" i="7"/>
  <c r="D636" i="7"/>
  <c r="D101" i="7" s="1"/>
  <c r="D107" i="7" s="1"/>
  <c r="D113" i="7" s="1"/>
  <c r="D751" i="7"/>
  <c r="M636" i="7"/>
  <c r="M101" i="7" s="1"/>
  <c r="M107" i="7" s="1"/>
  <c r="M113" i="7" s="1"/>
  <c r="M751" i="7"/>
  <c r="P636" i="7"/>
  <c r="P101" i="7" s="1"/>
  <c r="P107" i="7" s="1"/>
  <c r="P113" i="7" s="1"/>
  <c r="O101" i="7"/>
  <c r="O107" i="7" s="1"/>
  <c r="O113" i="7" s="1"/>
  <c r="P751" i="7"/>
  <c r="J84" i="7" l="1"/>
  <c r="J214" i="7"/>
  <c r="F84" i="7"/>
  <c r="Q176" i="7"/>
  <c r="E214" i="7"/>
  <c r="F214" i="7"/>
  <c r="Q84" i="7"/>
  <c r="E84" i="7"/>
  <c r="B101" i="7"/>
  <c r="B107" i="7" s="1"/>
  <c r="B113" i="7" s="1"/>
  <c r="B632" i="7" s="1"/>
  <c r="B623" i="7" s="1"/>
  <c r="T176" i="7"/>
  <c r="T84" i="7"/>
  <c r="G84" i="7"/>
  <c r="S84" i="7"/>
  <c r="G176" i="7"/>
  <c r="S214" i="7"/>
  <c r="M176" i="7"/>
  <c r="M214" i="7"/>
  <c r="M84" i="7"/>
  <c r="I214" i="7"/>
  <c r="I176" i="7"/>
  <c r="I84" i="7"/>
  <c r="L176" i="7"/>
  <c r="L84" i="7"/>
  <c r="L214" i="7"/>
  <c r="H214" i="7"/>
  <c r="H176" i="7"/>
  <c r="H84" i="7"/>
  <c r="K214" i="7"/>
  <c r="K176" i="7"/>
  <c r="K84" i="7"/>
  <c r="R176" i="7"/>
  <c r="R214" i="7"/>
  <c r="R84" i="7"/>
  <c r="O84" i="7"/>
  <c r="O214" i="7"/>
  <c r="O176" i="7"/>
  <c r="C214" i="7"/>
  <c r="C176" i="7"/>
  <c r="C84" i="7"/>
  <c r="P176" i="7"/>
  <c r="P84" i="7"/>
  <c r="P214" i="7"/>
  <c r="D176" i="7"/>
  <c r="D84" i="7"/>
  <c r="D214" i="7"/>
  <c r="N176" i="7"/>
  <c r="N214" i="7"/>
  <c r="N84" i="7"/>
  <c r="AP623" i="7" l="1"/>
  <c r="AJ623" i="7"/>
  <c r="AD632" i="7"/>
  <c r="X632" i="7"/>
  <c r="T623" i="7"/>
  <c r="P623" i="7"/>
  <c r="L623" i="7"/>
  <c r="J623" i="7"/>
  <c r="H623" i="7"/>
  <c r="AM623" i="7"/>
  <c r="AK623" i="7"/>
  <c r="AI632" i="7"/>
  <c r="AG623" i="7"/>
  <c r="AE623" i="7"/>
  <c r="AC632" i="7"/>
  <c r="AA632" i="7"/>
  <c r="Y623" i="7"/>
  <c r="W632" i="7"/>
  <c r="U632" i="7"/>
  <c r="S632" i="7"/>
  <c r="S627" i="7" s="1"/>
  <c r="S609" i="7" s="1"/>
  <c r="Q623" i="7"/>
  <c r="O632" i="7"/>
  <c r="O627" i="7" s="1"/>
  <c r="O609" i="7" s="1"/>
  <c r="M623" i="7"/>
  <c r="K623" i="7"/>
  <c r="I632" i="7"/>
  <c r="I627" i="7" s="1"/>
  <c r="I609" i="7" s="1"/>
  <c r="G632" i="7"/>
  <c r="G627" i="7" s="1"/>
  <c r="G609" i="7" s="1"/>
  <c r="E623" i="7"/>
  <c r="C623" i="7"/>
  <c r="AH623" i="7"/>
  <c r="AB623" i="7"/>
  <c r="R632" i="7"/>
  <c r="R627" i="7" s="1"/>
  <c r="R609" i="7" s="1"/>
  <c r="F632" i="7"/>
  <c r="F627" i="7" s="1"/>
  <c r="F609" i="7" s="1"/>
  <c r="AO623" i="7"/>
  <c r="AK632" i="7"/>
  <c r="AI623" i="7"/>
  <c r="AG632" i="7"/>
  <c r="AE632" i="7"/>
  <c r="AC623" i="7"/>
  <c r="AA623" i="7"/>
  <c r="Y632" i="7"/>
  <c r="W623" i="7"/>
  <c r="U623" i="7"/>
  <c r="S623" i="7"/>
  <c r="Q632" i="7"/>
  <c r="Q627" i="7" s="1"/>
  <c r="Q609" i="7" s="1"/>
  <c r="O623" i="7"/>
  <c r="M632" i="7"/>
  <c r="M627" i="7" s="1"/>
  <c r="M609" i="7" s="1"/>
  <c r="K632" i="7"/>
  <c r="K627" i="7" s="1"/>
  <c r="K609" i="7" s="1"/>
  <c r="I623" i="7"/>
  <c r="G623" i="7"/>
  <c r="E632" i="7"/>
  <c r="E627" i="7" s="1"/>
  <c r="E609" i="7" s="1"/>
  <c r="C632" i="7"/>
  <c r="C627" i="7" s="1"/>
  <c r="C609" i="7" s="1"/>
  <c r="AN632" i="7"/>
  <c r="AL632" i="7"/>
  <c r="AF632" i="7"/>
  <c r="Z623" i="7"/>
  <c r="V632" i="7"/>
  <c r="N623" i="7"/>
  <c r="D623" i="7"/>
  <c r="AO632" i="7"/>
  <c r="AM632" i="7"/>
  <c r="AP632" i="7"/>
  <c r="AN623" i="7"/>
  <c r="AL623" i="7"/>
  <c r="AJ632" i="7"/>
  <c r="AH632" i="7"/>
  <c r="AF623" i="7"/>
  <c r="AD623" i="7"/>
  <c r="AB632" i="7"/>
  <c r="Z632" i="7"/>
  <c r="X623" i="7"/>
  <c r="V623" i="7"/>
  <c r="T632" i="7"/>
  <c r="T627" i="7" s="1"/>
  <c r="T609" i="7" s="1"/>
  <c r="R623" i="7"/>
  <c r="P632" i="7"/>
  <c r="P627" i="7" s="1"/>
  <c r="P609" i="7" s="1"/>
  <c r="N632" i="7"/>
  <c r="N627" i="7" s="1"/>
  <c r="N609" i="7" s="1"/>
  <c r="L632" i="7"/>
  <c r="L627" i="7" s="1"/>
  <c r="L609" i="7" s="1"/>
  <c r="J632" i="7"/>
  <c r="J627" i="7" s="1"/>
  <c r="J609" i="7" s="1"/>
  <c r="H632" i="7"/>
  <c r="H627" i="7" s="1"/>
  <c r="H609" i="7" s="1"/>
  <c r="F623" i="7"/>
  <c r="D632" i="7"/>
  <c r="D627" i="7" s="1"/>
  <c r="D609" i="7" s="1"/>
  <c r="F20" i="1"/>
  <c r="F270" i="7"/>
  <c r="G270" i="7" s="1"/>
  <c r="G271" i="7" s="1"/>
  <c r="B273" i="7" s="1"/>
  <c r="F269" i="7"/>
  <c r="F268" i="7"/>
  <c r="F266" i="7"/>
  <c r="F17" i="1"/>
  <c r="F265" i="7"/>
  <c r="F267" i="7"/>
  <c r="AN544" i="7" l="1"/>
  <c r="AN545" i="7" s="1"/>
  <c r="AN131" i="7" s="1"/>
  <c r="AE544" i="7"/>
  <c r="AE545" i="7" s="1"/>
  <c r="AE131" i="7" s="1"/>
  <c r="AO544" i="7"/>
  <c r="AO545" i="7" s="1"/>
  <c r="AO131" i="7" s="1"/>
  <c r="S544" i="7"/>
  <c r="S545" i="7" s="1"/>
  <c r="S131" i="7" s="1"/>
  <c r="L544" i="7"/>
  <c r="L545" i="7" s="1"/>
  <c r="L131" i="7" s="1"/>
  <c r="X544" i="7"/>
  <c r="X545" i="7" s="1"/>
  <c r="X131" i="7" s="1"/>
  <c r="C544" i="7"/>
  <c r="C545" i="7" s="1"/>
  <c r="C131" i="7" s="1"/>
  <c r="P544" i="7"/>
  <c r="P545" i="7" s="1"/>
  <c r="P131" i="7" s="1"/>
  <c r="Y544" i="7"/>
  <c r="Y545" i="7" s="1"/>
  <c r="Y131" i="7" s="1"/>
  <c r="AA544" i="7"/>
  <c r="AA545" i="7" s="1"/>
  <c r="AA131" i="7" s="1"/>
  <c r="AC544" i="7"/>
  <c r="AC545" i="7" s="1"/>
  <c r="AC131" i="7" s="1"/>
  <c r="H544" i="7"/>
  <c r="H545" i="7" s="1"/>
  <c r="H131" i="7" s="1"/>
  <c r="R544" i="7"/>
  <c r="R545" i="7" s="1"/>
  <c r="R131" i="7" s="1"/>
  <c r="K544" i="7"/>
  <c r="K545" i="7" s="1"/>
  <c r="K131" i="7" s="1"/>
  <c r="V544" i="7"/>
  <c r="V545" i="7" s="1"/>
  <c r="V131" i="7" s="1"/>
  <c r="O544" i="7"/>
  <c r="O545" i="7" s="1"/>
  <c r="O131" i="7" s="1"/>
  <c r="AB544" i="7"/>
  <c r="AB545" i="7" s="1"/>
  <c r="AB131" i="7" s="1"/>
  <c r="F544" i="7"/>
  <c r="F545" i="7" s="1"/>
  <c r="F131" i="7" s="1"/>
  <c r="Q544" i="7"/>
  <c r="Q545" i="7" s="1"/>
  <c r="Q131" i="7" s="1"/>
  <c r="J544" i="7"/>
  <c r="J545" i="7" s="1"/>
  <c r="J131" i="7" s="1"/>
  <c r="T544" i="7"/>
  <c r="T545" i="7" s="1"/>
  <c r="T131" i="7" s="1"/>
  <c r="W544" i="7"/>
  <c r="W545" i="7" s="1"/>
  <c r="W131" i="7" s="1"/>
  <c r="N544" i="7"/>
  <c r="N545" i="7" s="1"/>
  <c r="N131" i="7" s="1"/>
  <c r="G544" i="7"/>
  <c r="G545" i="7" s="1"/>
  <c r="G131" i="7" s="1"/>
  <c r="I544" i="7"/>
  <c r="I545" i="7" s="1"/>
  <c r="I131" i="7" s="1"/>
  <c r="AP544" i="7"/>
  <c r="AP545" i="7" s="1"/>
  <c r="AP131" i="7" s="1"/>
  <c r="U544" i="7"/>
  <c r="U545" i="7" s="1"/>
  <c r="U131" i="7" s="1"/>
  <c r="M544" i="7"/>
  <c r="M545" i="7" s="1"/>
  <c r="M131" i="7" s="1"/>
  <c r="Z544" i="7"/>
  <c r="Z545" i="7" s="1"/>
  <c r="Z131" i="7" s="1"/>
  <c r="D544" i="7"/>
  <c r="D545" i="7" s="1"/>
  <c r="D131" i="7" s="1"/>
  <c r="AM544" i="7"/>
  <c r="AM545" i="7" s="1"/>
  <c r="AM131" i="7" s="1"/>
  <c r="AI544" i="7"/>
  <c r="AI545" i="7" s="1"/>
  <c r="AI131" i="7" s="1"/>
  <c r="AD544" i="7"/>
  <c r="AD545" i="7" s="1"/>
  <c r="AD131" i="7" s="1"/>
  <c r="AL544" i="7"/>
  <c r="AL545" i="7" s="1"/>
  <c r="AL131" i="7" s="1"/>
  <c r="AH544" i="7"/>
  <c r="AH545" i="7" s="1"/>
  <c r="AH131" i="7" s="1"/>
  <c r="E544" i="7"/>
  <c r="E545" i="7" s="1"/>
  <c r="E131" i="7" s="1"/>
  <c r="AK544" i="7"/>
  <c r="AK545" i="7" s="1"/>
  <c r="AK131" i="7" s="1"/>
  <c r="AG544" i="7"/>
  <c r="AG545" i="7" s="1"/>
  <c r="AG131" i="7" s="1"/>
  <c r="AJ544" i="7"/>
  <c r="AJ545" i="7" s="1"/>
  <c r="AJ131" i="7" s="1"/>
  <c r="AF544" i="7"/>
  <c r="AF545" i="7" s="1"/>
  <c r="AF131" i="7" s="1"/>
  <c r="B624" i="7"/>
  <c r="B612" i="7" s="1"/>
  <c r="F19" i="1" s="1"/>
  <c r="F21" i="1" s="1"/>
  <c r="F271" i="7"/>
  <c r="E218" i="7" l="1"/>
  <c r="E133" i="7"/>
  <c r="G218" i="7"/>
  <c r="G133" i="7"/>
  <c r="J218" i="7"/>
  <c r="J133" i="7"/>
  <c r="H218" i="7"/>
  <c r="H133" i="7"/>
  <c r="P218" i="7"/>
  <c r="P133" i="7"/>
  <c r="S218" i="7"/>
  <c r="S133" i="7"/>
  <c r="AJ218" i="7"/>
  <c r="AJ220" i="7" s="1"/>
  <c r="AJ249" i="7" s="1"/>
  <c r="AJ251" i="7" s="1"/>
  <c r="AJ133" i="7"/>
  <c r="AH218" i="7"/>
  <c r="AH220" i="7" s="1"/>
  <c r="AH249" i="7" s="1"/>
  <c r="AH251" i="7" s="1"/>
  <c r="AH133" i="7"/>
  <c r="AM218" i="7"/>
  <c r="AM220" i="7" s="1"/>
  <c r="AM249" i="7" s="1"/>
  <c r="AM251" i="7" s="1"/>
  <c r="AM133" i="7"/>
  <c r="U218" i="7"/>
  <c r="U133" i="7"/>
  <c r="N218" i="7"/>
  <c r="N133" i="7"/>
  <c r="Q218" i="7"/>
  <c r="Q133" i="7"/>
  <c r="V218" i="7"/>
  <c r="V133" i="7"/>
  <c r="AC218" i="7"/>
  <c r="AC220" i="7" s="1"/>
  <c r="AC249" i="7" s="1"/>
  <c r="AC251" i="7" s="1"/>
  <c r="AC133" i="7"/>
  <c r="C218" i="7"/>
  <c r="C133" i="7"/>
  <c r="AO218" i="7"/>
  <c r="AO220" i="7" s="1"/>
  <c r="AO249" i="7" s="1"/>
  <c r="AO251" i="7" s="1"/>
  <c r="AO133" i="7"/>
  <c r="AF218" i="7"/>
  <c r="AF220" i="7" s="1"/>
  <c r="AF249" i="7" s="1"/>
  <c r="AF251" i="7" s="1"/>
  <c r="AF133" i="7"/>
  <c r="M218" i="7"/>
  <c r="M133" i="7"/>
  <c r="O218" i="7"/>
  <c r="O133" i="7"/>
  <c r="AG218" i="7"/>
  <c r="AG220" i="7" s="1"/>
  <c r="AG249" i="7" s="1"/>
  <c r="AG251" i="7" s="1"/>
  <c r="AG133" i="7"/>
  <c r="AL218" i="7"/>
  <c r="AL220" i="7" s="1"/>
  <c r="AL249" i="7" s="1"/>
  <c r="AL251" i="7" s="1"/>
  <c r="AL133" i="7"/>
  <c r="D218" i="7"/>
  <c r="D133" i="7"/>
  <c r="AP218" i="7"/>
  <c r="AP220" i="7" s="1"/>
  <c r="AP249" i="7" s="1"/>
  <c r="AP251" i="7" s="1"/>
  <c r="AP133" i="7"/>
  <c r="W218" i="7"/>
  <c r="W133" i="7"/>
  <c r="F218" i="7"/>
  <c r="F133" i="7"/>
  <c r="K218" i="7"/>
  <c r="K133" i="7"/>
  <c r="AA218" i="7"/>
  <c r="AA133" i="7"/>
  <c r="X218" i="7"/>
  <c r="X133" i="7"/>
  <c r="AE218" i="7"/>
  <c r="AE220" i="7" s="1"/>
  <c r="AE249" i="7" s="1"/>
  <c r="AE251" i="7" s="1"/>
  <c r="AE133" i="7"/>
  <c r="AI218" i="7"/>
  <c r="AI220" i="7" s="1"/>
  <c r="AI249" i="7" s="1"/>
  <c r="AI251" i="7" s="1"/>
  <c r="AI133" i="7"/>
  <c r="AK218" i="7"/>
  <c r="AK220" i="7" s="1"/>
  <c r="AK249" i="7" s="1"/>
  <c r="AK251" i="7" s="1"/>
  <c r="AK133" i="7"/>
  <c r="AD218" i="7"/>
  <c r="AD220" i="7" s="1"/>
  <c r="AD249" i="7" s="1"/>
  <c r="AD251" i="7" s="1"/>
  <c r="AD133" i="7"/>
  <c r="Z218" i="7"/>
  <c r="Z133" i="7"/>
  <c r="I218" i="7"/>
  <c r="I133" i="7"/>
  <c r="T218" i="7"/>
  <c r="T133" i="7"/>
  <c r="AB218" i="7"/>
  <c r="AB220" i="7" s="1"/>
  <c r="AB249" i="7" s="1"/>
  <c r="AB251" i="7" s="1"/>
  <c r="AB133" i="7"/>
  <c r="R218" i="7"/>
  <c r="R133" i="7"/>
  <c r="Y218" i="7"/>
  <c r="Y133" i="7"/>
  <c r="L218" i="7"/>
  <c r="L133" i="7"/>
  <c r="AN218" i="7"/>
  <c r="AN220" i="7" s="1"/>
  <c r="AN249" i="7" s="1"/>
  <c r="AN251" i="7" s="1"/>
  <c r="AN133" i="7"/>
  <c r="B117" i="7"/>
  <c r="B118" i="7" s="1"/>
  <c r="C610" i="7"/>
  <c r="F18" i="1"/>
  <c r="H408" i="7"/>
  <c r="K408" i="7" s="1"/>
  <c r="L408" i="7" s="1"/>
  <c r="H270" i="7"/>
  <c r="H266" i="7"/>
  <c r="H269" i="7"/>
  <c r="I269" i="7" s="1"/>
  <c r="H265" i="7"/>
  <c r="H268" i="7"/>
  <c r="H267" i="7"/>
  <c r="H264" i="7"/>
  <c r="I264" i="7" s="1"/>
  <c r="H403" i="7"/>
  <c r="K403" i="7" s="1"/>
  <c r="L403" i="7" s="1"/>
  <c r="H402" i="7"/>
  <c r="H405" i="7"/>
  <c r="K405" i="7" s="1"/>
  <c r="L405" i="7" s="1"/>
  <c r="H407" i="7"/>
  <c r="H404" i="7"/>
  <c r="K404" i="7" s="1"/>
  <c r="L404" i="7" s="1"/>
  <c r="H406" i="7"/>
  <c r="K406" i="7" s="1"/>
  <c r="L406" i="7" s="1"/>
  <c r="B119" i="7" l="1"/>
  <c r="B125" i="7" s="1"/>
  <c r="B153" i="7" s="1"/>
  <c r="AN153" i="7"/>
  <c r="AN140" i="7"/>
  <c r="AN141" i="7" s="1"/>
  <c r="AN142" i="7" s="1"/>
  <c r="AB153" i="7"/>
  <c r="AB140" i="7"/>
  <c r="AB141" i="7" s="1"/>
  <c r="AB142" i="7" s="1"/>
  <c r="AD153" i="7"/>
  <c r="AD140" i="7"/>
  <c r="AD141" i="7" s="1"/>
  <c r="AD142" i="7" s="1"/>
  <c r="AI153" i="7"/>
  <c r="AI140" i="7"/>
  <c r="AI141" i="7" s="1"/>
  <c r="AI142" i="7" s="1"/>
  <c r="AG153" i="7"/>
  <c r="AG140" i="7"/>
  <c r="AG141" i="7" s="1"/>
  <c r="AG142" i="7" s="1"/>
  <c r="AO153" i="7"/>
  <c r="AO140" i="7"/>
  <c r="AO141" i="7" s="1"/>
  <c r="AO142" i="7" s="1"/>
  <c r="AC153" i="7"/>
  <c r="AC140" i="7"/>
  <c r="AC141" i="7" s="1"/>
  <c r="AC142" i="7" s="1"/>
  <c r="AH153" i="7"/>
  <c r="AH140" i="7"/>
  <c r="AH141" i="7" s="1"/>
  <c r="AH142" i="7" s="1"/>
  <c r="AK153" i="7"/>
  <c r="AK140" i="7"/>
  <c r="AK141" i="7" s="1"/>
  <c r="AK142" i="7" s="1"/>
  <c r="AE153" i="7"/>
  <c r="AE140" i="7"/>
  <c r="AE141" i="7" s="1"/>
  <c r="AE142" i="7" s="1"/>
  <c r="AP153" i="7"/>
  <c r="AP140" i="7"/>
  <c r="AP141" i="7" s="1"/>
  <c r="AP142" i="7" s="1"/>
  <c r="AL153" i="7"/>
  <c r="AL140" i="7"/>
  <c r="AL141" i="7" s="1"/>
  <c r="AL142" i="7" s="1"/>
  <c r="AF153" i="7"/>
  <c r="AF140" i="7"/>
  <c r="AF141" i="7" s="1"/>
  <c r="AF142" i="7" s="1"/>
  <c r="AM153" i="7"/>
  <c r="AM140" i="7"/>
  <c r="AM141" i="7" s="1"/>
  <c r="AM142" i="7" s="1"/>
  <c r="AJ153" i="7"/>
  <c r="AJ140" i="7"/>
  <c r="AJ141" i="7" s="1"/>
  <c r="AJ142" i="7" s="1"/>
  <c r="B121" i="7"/>
  <c r="B126" i="7" s="1"/>
  <c r="B127" i="7" s="1"/>
  <c r="B142" i="7" s="1"/>
  <c r="C85" i="7"/>
  <c r="C88" i="7" s="1"/>
  <c r="C215" i="7"/>
  <c r="C177" i="7"/>
  <c r="C611" i="7"/>
  <c r="K267" i="7"/>
  <c r="L267" i="7" s="1"/>
  <c r="I267" i="7"/>
  <c r="J267" i="7" s="1"/>
  <c r="M267" i="7" s="1"/>
  <c r="K268" i="7"/>
  <c r="L268" i="7" s="1"/>
  <c r="I268" i="7"/>
  <c r="J268" i="7" s="1"/>
  <c r="M268" i="7" s="1"/>
  <c r="K265" i="7"/>
  <c r="L265" i="7" s="1"/>
  <c r="I265" i="7"/>
  <c r="J265" i="7" s="1"/>
  <c r="M265" i="7" s="1"/>
  <c r="K266" i="7"/>
  <c r="L266" i="7" s="1"/>
  <c r="I266" i="7"/>
  <c r="J266" i="7" s="1"/>
  <c r="M266" i="7" s="1"/>
  <c r="K270" i="7"/>
  <c r="L270" i="7" s="1"/>
  <c r="I270" i="7"/>
  <c r="J270" i="7" s="1"/>
  <c r="M270" i="7" s="1"/>
  <c r="I408" i="7"/>
  <c r="J408" i="7" s="1"/>
  <c r="N270" i="7" s="1"/>
  <c r="H409" i="7"/>
  <c r="K407" i="7"/>
  <c r="L407" i="7" s="1"/>
  <c r="K269" i="7"/>
  <c r="L269" i="7" s="1"/>
  <c r="H271" i="7"/>
  <c r="K402" i="7"/>
  <c r="L402" i="7" s="1"/>
  <c r="J269" i="7"/>
  <c r="M269" i="7" s="1"/>
  <c r="J264" i="7"/>
  <c r="M264" i="7" s="1"/>
  <c r="I405" i="7"/>
  <c r="J405" i="7" s="1"/>
  <c r="N405" i="7" s="1"/>
  <c r="I407" i="7"/>
  <c r="J407" i="7" s="1"/>
  <c r="I403" i="7"/>
  <c r="J403" i="7" s="1"/>
  <c r="N403" i="7" s="1"/>
  <c r="I404" i="7"/>
  <c r="J404" i="7" s="1"/>
  <c r="N266" i="7" s="1"/>
  <c r="I402" i="7"/>
  <c r="J402" i="7" s="1"/>
  <c r="I406" i="7"/>
  <c r="J406" i="7" s="1"/>
  <c r="N268" i="7" s="1"/>
  <c r="O268" i="7" s="1"/>
  <c r="Q268" i="7" s="1"/>
  <c r="K264" i="7"/>
  <c r="L264" i="7" s="1"/>
  <c r="O266" i="7" l="1"/>
  <c r="Q266" i="7" s="1"/>
  <c r="M271" i="7"/>
  <c r="C120" i="7"/>
  <c r="C121" i="7" s="1"/>
  <c r="C126" i="7" s="1"/>
  <c r="C127" i="7" s="1"/>
  <c r="C612" i="7"/>
  <c r="I271" i="7"/>
  <c r="N408" i="7"/>
  <c r="L409" i="7"/>
  <c r="AP309" i="7"/>
  <c r="AL309" i="7"/>
  <c r="AH309" i="7"/>
  <c r="AD309" i="7"/>
  <c r="Z309" i="7"/>
  <c r="V309" i="7"/>
  <c r="R309" i="7"/>
  <c r="N309" i="7"/>
  <c r="J309" i="7"/>
  <c r="F309" i="7"/>
  <c r="P309" i="7"/>
  <c r="AO309" i="7"/>
  <c r="AK309" i="7"/>
  <c r="AG309" i="7"/>
  <c r="AC309" i="7"/>
  <c r="Y309" i="7"/>
  <c r="U309" i="7"/>
  <c r="Q309" i="7"/>
  <c r="M309" i="7"/>
  <c r="I309" i="7"/>
  <c r="E309" i="7"/>
  <c r="AN309" i="7"/>
  <c r="AJ309" i="7"/>
  <c r="AF309" i="7"/>
  <c r="AB309" i="7"/>
  <c r="X309" i="7"/>
  <c r="T309" i="7"/>
  <c r="L309" i="7"/>
  <c r="H309" i="7"/>
  <c r="D309" i="7"/>
  <c r="AM309" i="7"/>
  <c r="W309" i="7"/>
  <c r="G309" i="7"/>
  <c r="AA309" i="7"/>
  <c r="AI309" i="7"/>
  <c r="S309" i="7"/>
  <c r="C309" i="7"/>
  <c r="AE309" i="7"/>
  <c r="O309" i="7"/>
  <c r="K309" i="7"/>
  <c r="AP311" i="7"/>
  <c r="AL311" i="7"/>
  <c r="AH311" i="7"/>
  <c r="AD311" i="7"/>
  <c r="Z311" i="7"/>
  <c r="V311" i="7"/>
  <c r="R311" i="7"/>
  <c r="N311" i="7"/>
  <c r="J311" i="7"/>
  <c r="F311" i="7"/>
  <c r="AJ311" i="7"/>
  <c r="AB311" i="7"/>
  <c r="AO311" i="7"/>
  <c r="AK311" i="7"/>
  <c r="AG311" i="7"/>
  <c r="AC311" i="7"/>
  <c r="Y311" i="7"/>
  <c r="U311" i="7"/>
  <c r="Q311" i="7"/>
  <c r="M311" i="7"/>
  <c r="I311" i="7"/>
  <c r="E311" i="7"/>
  <c r="AN311" i="7"/>
  <c r="AF311" i="7"/>
  <c r="X311" i="7"/>
  <c r="P311" i="7"/>
  <c r="L311" i="7"/>
  <c r="H311" i="7"/>
  <c r="D311" i="7"/>
  <c r="AE311" i="7"/>
  <c r="S311" i="7"/>
  <c r="C311" i="7"/>
  <c r="T311" i="7"/>
  <c r="AA311" i="7"/>
  <c r="O311" i="7"/>
  <c r="AM311" i="7"/>
  <c r="W311" i="7"/>
  <c r="K311" i="7"/>
  <c r="AI311" i="7"/>
  <c r="G311" i="7"/>
  <c r="N269" i="7"/>
  <c r="O269" i="7" s="1"/>
  <c r="Q269" i="7" s="1"/>
  <c r="J409" i="7"/>
  <c r="J271" i="7"/>
  <c r="L271" i="7"/>
  <c r="N267" i="7"/>
  <c r="O267" i="7" s="1"/>
  <c r="Q267" i="7" s="1"/>
  <c r="N265" i="7"/>
  <c r="O265" i="7" s="1"/>
  <c r="Q265" i="7" s="1"/>
  <c r="N402" i="7"/>
  <c r="N264" i="7"/>
  <c r="O264" i="7" s="1"/>
  <c r="Q264" i="7" s="1"/>
  <c r="N407" i="7"/>
  <c r="N404" i="7"/>
  <c r="N406" i="7"/>
  <c r="D610" i="7" l="1"/>
  <c r="B309" i="7" a="1"/>
  <c r="B309" i="7" s="1"/>
  <c r="B311" i="7" a="1"/>
  <c r="B311" i="7" s="1"/>
  <c r="AM310" i="7"/>
  <c r="AI310" i="7"/>
  <c r="AE310" i="7"/>
  <c r="AA310" i="7"/>
  <c r="W310" i="7"/>
  <c r="S310" i="7"/>
  <c r="O310" i="7"/>
  <c r="K310" i="7"/>
  <c r="G310" i="7"/>
  <c r="C310" i="7"/>
  <c r="AF310" i="7"/>
  <c r="T310" i="7"/>
  <c r="H310" i="7"/>
  <c r="AP310" i="7"/>
  <c r="AL310" i="7"/>
  <c r="AH310" i="7"/>
  <c r="AD310" i="7"/>
  <c r="Z310" i="7"/>
  <c r="V310" i="7"/>
  <c r="R310" i="7"/>
  <c r="N310" i="7"/>
  <c r="J310" i="7"/>
  <c r="F310" i="7"/>
  <c r="AJ310" i="7"/>
  <c r="X310" i="7"/>
  <c r="L310" i="7"/>
  <c r="AO310" i="7"/>
  <c r="AK310" i="7"/>
  <c r="AG310" i="7"/>
  <c r="AC310" i="7"/>
  <c r="Y310" i="7"/>
  <c r="U310" i="7"/>
  <c r="Q310" i="7"/>
  <c r="M310" i="7"/>
  <c r="I310" i="7"/>
  <c r="E310" i="7"/>
  <c r="AN310" i="7"/>
  <c r="AB310" i="7"/>
  <c r="P310" i="7"/>
  <c r="D310" i="7"/>
  <c r="N271" i="7"/>
  <c r="AP308" i="7"/>
  <c r="AL308" i="7"/>
  <c r="AH308" i="7"/>
  <c r="AD308" i="7"/>
  <c r="Z308" i="7"/>
  <c r="V308" i="7"/>
  <c r="R308" i="7"/>
  <c r="N308" i="7"/>
  <c r="J308" i="7"/>
  <c r="F308" i="7"/>
  <c r="D308" i="7"/>
  <c r="AO308" i="7"/>
  <c r="AK308" i="7"/>
  <c r="AG308" i="7"/>
  <c r="AC308" i="7"/>
  <c r="Y308" i="7"/>
  <c r="U308" i="7"/>
  <c r="Q308" i="7"/>
  <c r="M308" i="7"/>
  <c r="I308" i="7"/>
  <c r="E308" i="7"/>
  <c r="AN308" i="7"/>
  <c r="AJ308" i="7"/>
  <c r="AF308" i="7"/>
  <c r="AB308" i="7"/>
  <c r="X308" i="7"/>
  <c r="T308" i="7"/>
  <c r="P308" i="7"/>
  <c r="L308" i="7"/>
  <c r="H308" i="7"/>
  <c r="AE308" i="7"/>
  <c r="O308" i="7"/>
  <c r="AI308" i="7"/>
  <c r="C308" i="7"/>
  <c r="AA308" i="7"/>
  <c r="K308" i="7"/>
  <c r="AM308" i="7"/>
  <c r="W308" i="7"/>
  <c r="G308" i="7"/>
  <c r="S308" i="7"/>
  <c r="AP312" i="7"/>
  <c r="AL312" i="7"/>
  <c r="AH312" i="7"/>
  <c r="AD312" i="7"/>
  <c r="Z312" i="7"/>
  <c r="V312" i="7"/>
  <c r="R312" i="7"/>
  <c r="N312" i="7"/>
  <c r="J312" i="7"/>
  <c r="F312" i="7"/>
  <c r="AO312" i="7"/>
  <c r="AK312" i="7"/>
  <c r="AG312" i="7"/>
  <c r="AC312" i="7"/>
  <c r="Y312" i="7"/>
  <c r="U312" i="7"/>
  <c r="Q312" i="7"/>
  <c r="M312" i="7"/>
  <c r="I312" i="7"/>
  <c r="E312" i="7"/>
  <c r="AN312" i="7"/>
  <c r="AF312" i="7"/>
  <c r="X312" i="7"/>
  <c r="P312" i="7"/>
  <c r="H312" i="7"/>
  <c r="AI312" i="7"/>
  <c r="AA312" i="7"/>
  <c r="K312" i="7"/>
  <c r="AM312" i="7"/>
  <c r="AE312" i="7"/>
  <c r="W312" i="7"/>
  <c r="O312" i="7"/>
  <c r="G312" i="7"/>
  <c r="AJ312" i="7"/>
  <c r="AB312" i="7"/>
  <c r="T312" i="7"/>
  <c r="L312" i="7"/>
  <c r="D312" i="7"/>
  <c r="S312" i="7"/>
  <c r="C312" i="7"/>
  <c r="N409" i="7"/>
  <c r="O270" i="7"/>
  <c r="Q270" i="7" s="1"/>
  <c r="C313" i="7" l="1"/>
  <c r="D313" i="7"/>
  <c r="E313" i="7"/>
  <c r="F313" i="7"/>
  <c r="G313" i="7"/>
  <c r="H313" i="7"/>
  <c r="I313" i="7"/>
  <c r="J313" i="7"/>
  <c r="K313" i="7"/>
  <c r="L313" i="7"/>
  <c r="M313" i="7"/>
  <c r="N313" i="7"/>
  <c r="O313" i="7"/>
  <c r="P313" i="7"/>
  <c r="Q313" i="7"/>
  <c r="R313" i="7"/>
  <c r="S313" i="7"/>
  <c r="T313" i="7"/>
  <c r="U313" i="7"/>
  <c r="V313" i="7"/>
  <c r="W313" i="7"/>
  <c r="X313" i="7"/>
  <c r="Y313" i="7"/>
  <c r="Z313" i="7"/>
  <c r="AA313" i="7"/>
  <c r="D611" i="7"/>
  <c r="D177" i="7"/>
  <c r="D215" i="7"/>
  <c r="D85" i="7"/>
  <c r="D88" i="7" s="1"/>
  <c r="B312" i="7" a="1"/>
  <c r="B312" i="7" s="1"/>
  <c r="B310" i="7" a="1"/>
  <c r="B310" i="7" s="1"/>
  <c r="B308" i="7" a="1"/>
  <c r="B308" i="7" s="1"/>
  <c r="O271" i="7"/>
  <c r="Q271" i="7"/>
  <c r="P402" i="7"/>
  <c r="B313" i="7" l="1" a="1"/>
  <c r="B313" i="7" s="1"/>
  <c r="D120" i="7"/>
  <c r="D121" i="7" s="1"/>
  <c r="D126" i="7" s="1"/>
  <c r="D127" i="7" s="1"/>
  <c r="D612" i="7"/>
  <c r="AP307" i="7"/>
  <c r="AP315" i="7" s="1"/>
  <c r="AL307" i="7"/>
  <c r="AL315" i="7" s="1"/>
  <c r="AH307" i="7"/>
  <c r="AH315" i="7" s="1"/>
  <c r="AD307" i="7"/>
  <c r="AD315" i="7" s="1"/>
  <c r="Z307" i="7"/>
  <c r="Z315" i="7" s="1"/>
  <c r="Z178" i="7" s="1"/>
  <c r="Z179" i="7" s="1"/>
  <c r="Z208" i="7" s="1"/>
  <c r="Z210" i="7" s="1"/>
  <c r="V307" i="7"/>
  <c r="V315" i="7" s="1"/>
  <c r="V178" i="7" s="1"/>
  <c r="V179" i="7" s="1"/>
  <c r="V208" i="7" s="1"/>
  <c r="V210" i="7" s="1"/>
  <c r="R307" i="7"/>
  <c r="R315" i="7" s="1"/>
  <c r="R178" i="7" s="1"/>
  <c r="N307" i="7"/>
  <c r="N315" i="7" s="1"/>
  <c r="N178" i="7" s="1"/>
  <c r="J307" i="7"/>
  <c r="J315" i="7" s="1"/>
  <c r="J178" i="7" s="1"/>
  <c r="F307" i="7"/>
  <c r="F315" i="7" s="1"/>
  <c r="F178" i="7" s="1"/>
  <c r="AJ307" i="7"/>
  <c r="AJ315" i="7" s="1"/>
  <c r="AO307" i="7"/>
  <c r="AO315" i="7" s="1"/>
  <c r="AK307" i="7"/>
  <c r="AK315" i="7" s="1"/>
  <c r="AG307" i="7"/>
  <c r="AG315" i="7" s="1"/>
  <c r="AC307" i="7"/>
  <c r="AC315" i="7" s="1"/>
  <c r="Y307" i="7"/>
  <c r="Y315" i="7" s="1"/>
  <c r="Y178" i="7" s="1"/>
  <c r="Y179" i="7" s="1"/>
  <c r="Y208" i="7" s="1"/>
  <c r="Y210" i="7" s="1"/>
  <c r="U307" i="7"/>
  <c r="U315" i="7" s="1"/>
  <c r="U178" i="7" s="1"/>
  <c r="U179" i="7" s="1"/>
  <c r="U208" i="7" s="1"/>
  <c r="U210" i="7" s="1"/>
  <c r="Q307" i="7"/>
  <c r="Q315" i="7" s="1"/>
  <c r="Q178" i="7" s="1"/>
  <c r="M307" i="7"/>
  <c r="M315" i="7" s="1"/>
  <c r="M178" i="7" s="1"/>
  <c r="I307" i="7"/>
  <c r="I315" i="7" s="1"/>
  <c r="I178" i="7" s="1"/>
  <c r="E307" i="7"/>
  <c r="E315" i="7" s="1"/>
  <c r="E178" i="7" s="1"/>
  <c r="AN307" i="7"/>
  <c r="AN315" i="7" s="1"/>
  <c r="AF307" i="7"/>
  <c r="AF315" i="7" s="1"/>
  <c r="AB307" i="7"/>
  <c r="AB315" i="7" s="1"/>
  <c r="X307" i="7"/>
  <c r="X315" i="7" s="1"/>
  <c r="X178" i="7" s="1"/>
  <c r="X179" i="7" s="1"/>
  <c r="X208" i="7" s="1"/>
  <c r="X210" i="7" s="1"/>
  <c r="T307" i="7"/>
  <c r="T315" i="7" s="1"/>
  <c r="T178" i="7" s="1"/>
  <c r="P307" i="7"/>
  <c r="P315" i="7" s="1"/>
  <c r="P178" i="7" s="1"/>
  <c r="L307" i="7"/>
  <c r="L315" i="7" s="1"/>
  <c r="L178" i="7" s="1"/>
  <c r="H307" i="7"/>
  <c r="H315" i="7" s="1"/>
  <c r="H178" i="7" s="1"/>
  <c r="D307" i="7"/>
  <c r="D315" i="7" s="1"/>
  <c r="AM307" i="7"/>
  <c r="AM315" i="7" s="1"/>
  <c r="W307" i="7"/>
  <c r="W315" i="7" s="1"/>
  <c r="W178" i="7" s="1"/>
  <c r="W179" i="7" s="1"/>
  <c r="W208" i="7" s="1"/>
  <c r="W210" i="7" s="1"/>
  <c r="G307" i="7"/>
  <c r="G315" i="7" s="1"/>
  <c r="G178" i="7" s="1"/>
  <c r="K307" i="7"/>
  <c r="K315" i="7" s="1"/>
  <c r="K178" i="7" s="1"/>
  <c r="AI307" i="7"/>
  <c r="AI315" i="7" s="1"/>
  <c r="S307" i="7"/>
  <c r="S315" i="7" s="1"/>
  <c r="S178" i="7" s="1"/>
  <c r="C307" i="7"/>
  <c r="AE307" i="7"/>
  <c r="AE315" i="7" s="1"/>
  <c r="O307" i="7"/>
  <c r="O315" i="7" s="1"/>
  <c r="O178" i="7" s="1"/>
  <c r="AA307" i="7"/>
  <c r="AA315" i="7" s="1"/>
  <c r="AA178" i="7" s="1"/>
  <c r="AA179" i="7" s="1"/>
  <c r="AA208" i="7" s="1"/>
  <c r="AA210" i="7" s="1"/>
  <c r="P409" i="7"/>
  <c r="C452" i="7" s="1"/>
  <c r="B452" i="7" s="1" a="1"/>
  <c r="B452" i="7" s="1"/>
  <c r="E610" i="7" l="1"/>
  <c r="C315" i="7"/>
  <c r="B307" i="7" a="1"/>
  <c r="B307" i="7" s="1"/>
  <c r="D178" i="7"/>
  <c r="D179" i="7" s="1"/>
  <c r="D208" i="7" s="1"/>
  <c r="D210" i="7" s="1"/>
  <c r="D139" i="7" s="1"/>
  <c r="Y217" i="7"/>
  <c r="Y139" i="7"/>
  <c r="V217" i="7"/>
  <c r="V139" i="7"/>
  <c r="U217" i="7"/>
  <c r="U139" i="7"/>
  <c r="W217" i="7"/>
  <c r="W139" i="7"/>
  <c r="X217" i="7"/>
  <c r="X139" i="7"/>
  <c r="Z217" i="7"/>
  <c r="Z139" i="7"/>
  <c r="AA217" i="7"/>
  <c r="AA139" i="7"/>
  <c r="E611" i="7" l="1"/>
  <c r="E85" i="7"/>
  <c r="E88" i="7" s="1"/>
  <c r="E177" i="7"/>
  <c r="E179" i="7" s="1"/>
  <c r="E208" i="7" s="1"/>
  <c r="E210" i="7" s="1"/>
  <c r="E215" i="7"/>
  <c r="B315" i="7" a="1"/>
  <c r="B315" i="7" s="1"/>
  <c r="C178" i="7"/>
  <c r="C179" i="7" s="1"/>
  <c r="C208" i="7" s="1"/>
  <c r="C210" i="7" s="1"/>
  <c r="C139" i="7" s="1"/>
  <c r="D217" i="7"/>
  <c r="C217" i="7" l="1"/>
  <c r="E217" i="7"/>
  <c r="E139" i="7"/>
  <c r="E120" i="7"/>
  <c r="E121" i="7" s="1"/>
  <c r="E126" i="7" s="1"/>
  <c r="E127" i="7" s="1"/>
  <c r="E612" i="7"/>
  <c r="F610" i="7" l="1"/>
  <c r="F611" i="7" l="1"/>
  <c r="F177" i="7"/>
  <c r="F179" i="7" s="1"/>
  <c r="F208" i="7" s="1"/>
  <c r="F210" i="7" s="1"/>
  <c r="F85" i="7"/>
  <c r="F88" i="7" s="1"/>
  <c r="F215" i="7"/>
  <c r="F217" i="7" l="1"/>
  <c r="F139" i="7"/>
  <c r="F120" i="7"/>
  <c r="F121" i="7" s="1"/>
  <c r="F126" i="7" s="1"/>
  <c r="F127" i="7" s="1"/>
  <c r="F612" i="7"/>
  <c r="G610" i="7" l="1"/>
  <c r="C148" i="7"/>
  <c r="G611" i="7" l="1"/>
  <c r="G85" i="7"/>
  <c r="G88" i="7" s="1"/>
  <c r="G215" i="7"/>
  <c r="G177" i="7"/>
  <c r="G179" i="7" s="1"/>
  <c r="G208" i="7" s="1"/>
  <c r="G210" i="7" s="1"/>
  <c r="G217" i="7" l="1"/>
  <c r="G139" i="7"/>
  <c r="G120" i="7"/>
  <c r="G121" i="7" s="1"/>
  <c r="G126" i="7" s="1"/>
  <c r="G127" i="7" s="1"/>
  <c r="G612" i="7"/>
  <c r="H610" i="7" l="1"/>
  <c r="H611" i="7" l="1"/>
  <c r="H215" i="7"/>
  <c r="H85" i="7"/>
  <c r="H88" i="7" s="1"/>
  <c r="H177" i="7"/>
  <c r="H179" i="7" s="1"/>
  <c r="H208" i="7" s="1"/>
  <c r="H210" i="7" s="1"/>
  <c r="H217" i="7" l="1"/>
  <c r="H139" i="7"/>
  <c r="H120" i="7"/>
  <c r="H121" i="7" s="1"/>
  <c r="H126" i="7" s="1"/>
  <c r="H127" i="7" s="1"/>
  <c r="H612" i="7"/>
  <c r="I610" i="7" l="1"/>
  <c r="I611" i="7" l="1"/>
  <c r="I85" i="7"/>
  <c r="I88" i="7" s="1"/>
  <c r="I177" i="7"/>
  <c r="I179" i="7" s="1"/>
  <c r="I208" i="7" s="1"/>
  <c r="I210" i="7" s="1"/>
  <c r="I215" i="7"/>
  <c r="I217" i="7" l="1"/>
  <c r="I139" i="7"/>
  <c r="I120" i="7"/>
  <c r="I121" i="7" s="1"/>
  <c r="I126" i="7" s="1"/>
  <c r="I127" i="7" s="1"/>
  <c r="I612" i="7"/>
  <c r="J610" i="7" l="1"/>
  <c r="J611" i="7" l="1"/>
  <c r="J85" i="7"/>
  <c r="J88" i="7" s="1"/>
  <c r="J215" i="7"/>
  <c r="J177" i="7"/>
  <c r="J179" i="7" s="1"/>
  <c r="J208" i="7" s="1"/>
  <c r="J210" i="7" s="1"/>
  <c r="J139" i="7" l="1"/>
  <c r="J217" i="7"/>
  <c r="J120" i="7"/>
  <c r="J121" i="7" s="1"/>
  <c r="J126" i="7" s="1"/>
  <c r="J127" i="7" s="1"/>
  <c r="J612" i="7"/>
  <c r="K610" i="7" l="1"/>
  <c r="K611" i="7" l="1"/>
  <c r="K177" i="7"/>
  <c r="K179" i="7" s="1"/>
  <c r="K208" i="7" s="1"/>
  <c r="K210" i="7" s="1"/>
  <c r="K215" i="7"/>
  <c r="K85" i="7"/>
  <c r="K88" i="7" s="1"/>
  <c r="K217" i="7" l="1"/>
  <c r="K139" i="7"/>
  <c r="K120" i="7"/>
  <c r="K121" i="7" s="1"/>
  <c r="K126" i="7" s="1"/>
  <c r="K127" i="7" s="1"/>
  <c r="K612" i="7"/>
  <c r="L610" i="7" l="1"/>
  <c r="L611" i="7" l="1"/>
  <c r="L85" i="7"/>
  <c r="L88" i="7" s="1"/>
  <c r="L215" i="7"/>
  <c r="L177" i="7"/>
  <c r="L179" i="7" s="1"/>
  <c r="L208" i="7" s="1"/>
  <c r="L210" i="7" s="1"/>
  <c r="L139" i="7" l="1"/>
  <c r="L217" i="7"/>
  <c r="L120" i="7"/>
  <c r="L121" i="7" s="1"/>
  <c r="L126" i="7" s="1"/>
  <c r="L127" i="7" s="1"/>
  <c r="L612" i="7"/>
  <c r="M610" i="7" l="1"/>
  <c r="M611" i="7" l="1"/>
  <c r="M85" i="7"/>
  <c r="M88" i="7" s="1"/>
  <c r="M177" i="7"/>
  <c r="M179" i="7" s="1"/>
  <c r="M208" i="7" s="1"/>
  <c r="M210" i="7" s="1"/>
  <c r="M215" i="7"/>
  <c r="M217" i="7" l="1"/>
  <c r="M139" i="7"/>
  <c r="M120" i="7"/>
  <c r="M121" i="7" s="1"/>
  <c r="M126" i="7" s="1"/>
  <c r="M127" i="7" s="1"/>
  <c r="M612" i="7"/>
  <c r="N610" i="7" l="1"/>
  <c r="N611" i="7" l="1"/>
  <c r="N177" i="7"/>
  <c r="N179" i="7" s="1"/>
  <c r="N208" i="7" s="1"/>
  <c r="N210" i="7" s="1"/>
  <c r="N85" i="7"/>
  <c r="N88" i="7" s="1"/>
  <c r="N215" i="7"/>
  <c r="N217" i="7" l="1"/>
  <c r="N139" i="7"/>
  <c r="N120" i="7"/>
  <c r="N121" i="7" s="1"/>
  <c r="N126" i="7" s="1"/>
  <c r="N127" i="7" s="1"/>
  <c r="N612" i="7"/>
  <c r="O610" i="7" l="1"/>
  <c r="F16" i="1"/>
  <c r="F405" i="7"/>
  <c r="O405" i="7" s="1"/>
  <c r="Q405" i="7" s="1"/>
  <c r="F407" i="7"/>
  <c r="O407" i="7" s="1"/>
  <c r="Q407" i="7" s="1"/>
  <c r="F403" i="7"/>
  <c r="O403" i="7" s="1"/>
  <c r="Q403" i="7" s="1"/>
  <c r="G446" i="7" s="1"/>
  <c r="F406" i="7"/>
  <c r="O406" i="7" s="1"/>
  <c r="Q406" i="7" s="1"/>
  <c r="F404" i="7"/>
  <c r="O404" i="7" s="1"/>
  <c r="Q404" i="7" s="1"/>
  <c r="F408" i="7"/>
  <c r="O408" i="7" s="1"/>
  <c r="Q408" i="7" s="1"/>
  <c r="F402" i="7"/>
  <c r="O402" i="7" s="1"/>
  <c r="Q402" i="7" s="1"/>
  <c r="S445" i="7" s="1"/>
  <c r="C451" i="7" l="1"/>
  <c r="D451" i="7"/>
  <c r="E451" i="7"/>
  <c r="F451" i="7"/>
  <c r="G451" i="7"/>
  <c r="H451" i="7"/>
  <c r="I451" i="7"/>
  <c r="J451" i="7"/>
  <c r="K451" i="7"/>
  <c r="L451" i="7"/>
  <c r="M451" i="7"/>
  <c r="N451" i="7"/>
  <c r="O451" i="7"/>
  <c r="P451" i="7"/>
  <c r="Q451" i="7"/>
  <c r="R451" i="7"/>
  <c r="S451" i="7"/>
  <c r="T451" i="7"/>
  <c r="U451" i="7"/>
  <c r="V451" i="7"/>
  <c r="W451" i="7"/>
  <c r="X451" i="7"/>
  <c r="Y451" i="7"/>
  <c r="Z451" i="7"/>
  <c r="AA451" i="7"/>
  <c r="O611" i="7"/>
  <c r="O177" i="7"/>
  <c r="O179" i="7" s="1"/>
  <c r="O208" i="7" s="1"/>
  <c r="O210" i="7" s="1"/>
  <c r="O85" i="7"/>
  <c r="O88" i="7" s="1"/>
  <c r="O215" i="7"/>
  <c r="AH445" i="7"/>
  <c r="AH453" i="7" s="1"/>
  <c r="F445" i="7"/>
  <c r="AL445" i="7"/>
  <c r="AL453" i="7" s="1"/>
  <c r="AP445" i="7"/>
  <c r="AP453" i="7" s="1"/>
  <c r="C445" i="7"/>
  <c r="O409" i="7"/>
  <c r="M447" i="7"/>
  <c r="AP447" i="7"/>
  <c r="J447" i="7"/>
  <c r="Y447" i="7"/>
  <c r="C447" i="7"/>
  <c r="AM447" i="7"/>
  <c r="AA447" i="7"/>
  <c r="AD447" i="7"/>
  <c r="V447" i="7"/>
  <c r="H447" i="7"/>
  <c r="P447" i="7"/>
  <c r="I450" i="7"/>
  <c r="AK450" i="7"/>
  <c r="X446" i="7"/>
  <c r="K446" i="7"/>
  <c r="O445" i="7"/>
  <c r="AA446" i="7"/>
  <c r="AK446" i="7"/>
  <c r="W445" i="7"/>
  <c r="I446" i="7"/>
  <c r="D446" i="7"/>
  <c r="Q445" i="7"/>
  <c r="F409" i="7"/>
  <c r="AJ445" i="7"/>
  <c r="AJ453" i="7" s="1"/>
  <c r="AD445" i="7"/>
  <c r="AD453" i="7" s="1"/>
  <c r="E445" i="7"/>
  <c r="AN445" i="7"/>
  <c r="AN453" i="7" s="1"/>
  <c r="AI445" i="7"/>
  <c r="AI453" i="7" s="1"/>
  <c r="N445" i="7"/>
  <c r="AL446" i="7"/>
  <c r="AG447" i="7"/>
  <c r="D447" i="7"/>
  <c r="Q447" i="7"/>
  <c r="Z450" i="7"/>
  <c r="AN450" i="7"/>
  <c r="AJ447" i="7"/>
  <c r="C450" i="7"/>
  <c r="O447" i="7"/>
  <c r="AH446" i="7"/>
  <c r="M445" i="7"/>
  <c r="AE446" i="7"/>
  <c r="AH447" i="7"/>
  <c r="K447" i="7"/>
  <c r="J445" i="7"/>
  <c r="Z447" i="7"/>
  <c r="AP446" i="7"/>
  <c r="U447" i="7"/>
  <c r="AA450" i="7"/>
  <c r="AI447" i="7"/>
  <c r="N447" i="7"/>
  <c r="S447" i="7"/>
  <c r="P445" i="7"/>
  <c r="I447" i="7"/>
  <c r="AE445" i="7"/>
  <c r="AE453" i="7" s="1"/>
  <c r="R447" i="7"/>
  <c r="AG446" i="7"/>
  <c r="X449" i="7"/>
  <c r="F449" i="7"/>
  <c r="S449" i="7"/>
  <c r="AG449" i="7"/>
  <c r="AL449" i="7"/>
  <c r="P449" i="7"/>
  <c r="M449" i="7"/>
  <c r="AF449" i="7"/>
  <c r="R449" i="7"/>
  <c r="T449" i="7"/>
  <c r="K449" i="7"/>
  <c r="AB449" i="7"/>
  <c r="N449" i="7"/>
  <c r="W449" i="7"/>
  <c r="AD449" i="7"/>
  <c r="AP449" i="7"/>
  <c r="AN449" i="7"/>
  <c r="L449" i="7"/>
  <c r="C449" i="7"/>
  <c r="E449" i="7"/>
  <c r="AK449" i="7"/>
  <c r="AA449" i="7"/>
  <c r="G449" i="7"/>
  <c r="V449" i="7"/>
  <c r="AJ449" i="7"/>
  <c r="AO449" i="7"/>
  <c r="AE449" i="7"/>
  <c r="I449" i="7"/>
  <c r="AH449" i="7"/>
  <c r="Z449" i="7"/>
  <c r="AM449" i="7"/>
  <c r="D449" i="7"/>
  <c r="AI449" i="7"/>
  <c r="J449" i="7"/>
  <c r="Y449" i="7"/>
  <c r="O449" i="7"/>
  <c r="AC449" i="7"/>
  <c r="Q449" i="7"/>
  <c r="U449" i="7"/>
  <c r="H449" i="7"/>
  <c r="T448" i="7"/>
  <c r="D448" i="7"/>
  <c r="L448" i="7"/>
  <c r="AM448" i="7"/>
  <c r="Z448" i="7"/>
  <c r="Y448" i="7"/>
  <c r="AI448" i="7"/>
  <c r="G448" i="7"/>
  <c r="E448" i="7"/>
  <c r="AK448" i="7"/>
  <c r="N448" i="7"/>
  <c r="AN448" i="7"/>
  <c r="AJ448" i="7"/>
  <c r="V448" i="7"/>
  <c r="O448" i="7"/>
  <c r="AP448" i="7"/>
  <c r="Q448" i="7"/>
  <c r="X448" i="7"/>
  <c r="U448" i="7"/>
  <c r="AL448" i="7"/>
  <c r="AG448" i="7"/>
  <c r="AE448" i="7"/>
  <c r="AH448" i="7"/>
  <c r="AO448" i="7"/>
  <c r="W448" i="7"/>
  <c r="J448" i="7"/>
  <c r="K448" i="7"/>
  <c r="AF448" i="7"/>
  <c r="AA448" i="7"/>
  <c r="C448" i="7"/>
  <c r="P448" i="7"/>
  <c r="I448" i="7"/>
  <c r="S448" i="7"/>
  <c r="H448" i="7"/>
  <c r="AB448" i="7"/>
  <c r="AC448" i="7"/>
  <c r="M448" i="7"/>
  <c r="AD448" i="7"/>
  <c r="F448" i="7"/>
  <c r="R448" i="7"/>
  <c r="Q409" i="7"/>
  <c r="X450" i="7"/>
  <c r="L450" i="7"/>
  <c r="AD446" i="7"/>
  <c r="AF450" i="7"/>
  <c r="E450" i="7"/>
  <c r="G445" i="7"/>
  <c r="V445" i="7"/>
  <c r="AK445" i="7"/>
  <c r="AK453" i="7" s="1"/>
  <c r="AO447" i="7"/>
  <c r="Y446" i="7"/>
  <c r="M450" i="7"/>
  <c r="Y450" i="7"/>
  <c r="F447" i="7"/>
  <c r="N446" i="7"/>
  <c r="AJ446" i="7"/>
  <c r="H450" i="7"/>
  <c r="G450" i="7"/>
  <c r="AL450" i="7"/>
  <c r="Q450" i="7"/>
  <c r="AG450" i="7"/>
  <c r="AB446" i="7"/>
  <c r="AP450" i="7"/>
  <c r="X445" i="7"/>
  <c r="AB445" i="7"/>
  <c r="AB453" i="7" s="1"/>
  <c r="T450" i="7"/>
  <c r="W446" i="7"/>
  <c r="AO450" i="7"/>
  <c r="G447" i="7"/>
  <c r="Z446" i="7"/>
  <c r="F450" i="7"/>
  <c r="P450" i="7"/>
  <c r="R445" i="7"/>
  <c r="L445" i="7"/>
  <c r="AM445" i="7"/>
  <c r="AM453" i="7" s="1"/>
  <c r="AA445" i="7"/>
  <c r="AF447" i="7"/>
  <c r="E447" i="7"/>
  <c r="AF446" i="7"/>
  <c r="H446" i="7"/>
  <c r="O450" i="7"/>
  <c r="AJ450" i="7"/>
  <c r="AH450" i="7"/>
  <c r="R450" i="7"/>
  <c r="R446" i="7"/>
  <c r="Y445" i="7"/>
  <c r="H445" i="7"/>
  <c r="S446" i="7"/>
  <c r="T446" i="7"/>
  <c r="I445" i="7"/>
  <c r="AC447" i="7"/>
  <c r="P446" i="7"/>
  <c r="AF445" i="7"/>
  <c r="AF453" i="7" s="1"/>
  <c r="W447" i="7"/>
  <c r="AI450" i="7"/>
  <c r="L447" i="7"/>
  <c r="E446" i="7"/>
  <c r="AB447" i="7"/>
  <c r="AN447" i="7"/>
  <c r="Q446" i="7"/>
  <c r="O446" i="7"/>
  <c r="N450" i="7"/>
  <c r="V450" i="7"/>
  <c r="M446" i="7"/>
  <c r="AN446" i="7"/>
  <c r="J450" i="7"/>
  <c r="U450" i="7"/>
  <c r="Z445" i="7"/>
  <c r="AB450" i="7"/>
  <c r="T447" i="7"/>
  <c r="AM446" i="7"/>
  <c r="J446" i="7"/>
  <c r="AM450" i="7"/>
  <c r="D450" i="7"/>
  <c r="AG445" i="7"/>
  <c r="AG453" i="7" s="1"/>
  <c r="K445" i="7"/>
  <c r="U446" i="7"/>
  <c r="AC445" i="7"/>
  <c r="AC453" i="7" s="1"/>
  <c r="U445" i="7"/>
  <c r="D445" i="7"/>
  <c r="AK447" i="7"/>
  <c r="AL447" i="7"/>
  <c r="AO446" i="7"/>
  <c r="F446" i="7"/>
  <c r="AC450" i="7"/>
  <c r="S450" i="7"/>
  <c r="W450" i="7"/>
  <c r="C446" i="7"/>
  <c r="AC446" i="7"/>
  <c r="AE450" i="7"/>
  <c r="AD450" i="7"/>
  <c r="X447" i="7"/>
  <c r="L446" i="7"/>
  <c r="K450" i="7"/>
  <c r="AO445" i="7"/>
  <c r="AO453" i="7" s="1"/>
  <c r="V446" i="7"/>
  <c r="T445" i="7"/>
  <c r="AE447" i="7"/>
  <c r="AI446" i="7"/>
  <c r="T453" i="7" l="1"/>
  <c r="T216" i="7" s="1"/>
  <c r="D453" i="7"/>
  <c r="D216" i="7" s="1"/>
  <c r="D220" i="7" s="1"/>
  <c r="D249" i="7" s="1"/>
  <c r="D251" i="7" s="1"/>
  <c r="D153" i="7" s="1"/>
  <c r="K453" i="7"/>
  <c r="K216" i="7" s="1"/>
  <c r="K220" i="7" s="1"/>
  <c r="K249" i="7" s="1"/>
  <c r="K251" i="7" s="1"/>
  <c r="K140" i="7" s="1"/>
  <c r="K141" i="7" s="1"/>
  <c r="K142" i="7" s="1"/>
  <c r="Z453" i="7"/>
  <c r="Z216" i="7" s="1"/>
  <c r="Z220" i="7" s="1"/>
  <c r="Z249" i="7" s="1"/>
  <c r="Z251" i="7" s="1"/>
  <c r="Z140" i="7" s="1"/>
  <c r="Z141" i="7" s="1"/>
  <c r="Z142" i="7" s="1"/>
  <c r="S453" i="7"/>
  <c r="S216" i="7" s="1"/>
  <c r="AA453" i="7"/>
  <c r="AA216" i="7" s="1"/>
  <c r="AA220" i="7" s="1"/>
  <c r="AA249" i="7" s="1"/>
  <c r="AA251" i="7" s="1"/>
  <c r="AA153" i="7" s="1"/>
  <c r="I453" i="7"/>
  <c r="I216" i="7" s="1"/>
  <c r="I220" i="7" s="1"/>
  <c r="I249" i="7" s="1"/>
  <c r="I251" i="7" s="1"/>
  <c r="I153" i="7" s="1"/>
  <c r="X453" i="7"/>
  <c r="X216" i="7" s="1"/>
  <c r="X220" i="7" s="1"/>
  <c r="X249" i="7" s="1"/>
  <c r="X251" i="7" s="1"/>
  <c r="V453" i="7"/>
  <c r="V216" i="7" s="1"/>
  <c r="V220" i="7" s="1"/>
  <c r="V249" i="7" s="1"/>
  <c r="V251" i="7" s="1"/>
  <c r="W453" i="7"/>
  <c r="W216" i="7" s="1"/>
  <c r="W220" i="7" s="1"/>
  <c r="W249" i="7" s="1"/>
  <c r="W251" i="7" s="1"/>
  <c r="C453" i="7"/>
  <c r="C216" i="7" s="1"/>
  <c r="C220" i="7" s="1"/>
  <c r="C249" i="7" s="1"/>
  <c r="C251" i="7" s="1"/>
  <c r="U453" i="7"/>
  <c r="U216" i="7" s="1"/>
  <c r="U220" i="7" s="1"/>
  <c r="U249" i="7" s="1"/>
  <c r="U251" i="7" s="1"/>
  <c r="H453" i="7"/>
  <c r="H216" i="7" s="1"/>
  <c r="H220" i="7" s="1"/>
  <c r="H249" i="7" s="1"/>
  <c r="H251" i="7" s="1"/>
  <c r="G453" i="7"/>
  <c r="G216" i="7" s="1"/>
  <c r="G220" i="7" s="1"/>
  <c r="G249" i="7" s="1"/>
  <c r="G251" i="7" s="1"/>
  <c r="P453" i="7"/>
  <c r="P216" i="7" s="1"/>
  <c r="J453" i="7"/>
  <c r="J216" i="7" s="1"/>
  <c r="J220" i="7" s="1"/>
  <c r="J249" i="7" s="1"/>
  <c r="J251" i="7" s="1"/>
  <c r="M453" i="7"/>
  <c r="M216" i="7" s="1"/>
  <c r="M220" i="7" s="1"/>
  <c r="M249" i="7" s="1"/>
  <c r="M251" i="7" s="1"/>
  <c r="E453" i="7"/>
  <c r="E216" i="7" s="1"/>
  <c r="E220" i="7" s="1"/>
  <c r="E249" i="7" s="1"/>
  <c r="E251" i="7" s="1"/>
  <c r="Q453" i="7"/>
  <c r="Q216" i="7" s="1"/>
  <c r="Y453" i="7"/>
  <c r="Y216" i="7" s="1"/>
  <c r="Y220" i="7" s="1"/>
  <c r="Y249" i="7" s="1"/>
  <c r="Y251" i="7" s="1"/>
  <c r="L453" i="7"/>
  <c r="L216" i="7" s="1"/>
  <c r="L220" i="7" s="1"/>
  <c r="L249" i="7" s="1"/>
  <c r="L251" i="7" s="1"/>
  <c r="N453" i="7"/>
  <c r="N216" i="7" s="1"/>
  <c r="N220" i="7" s="1"/>
  <c r="N249" i="7" s="1"/>
  <c r="N251" i="7" s="1"/>
  <c r="O217" i="7"/>
  <c r="O139" i="7"/>
  <c r="R453" i="7"/>
  <c r="R216" i="7" s="1"/>
  <c r="O453" i="7"/>
  <c r="O216" i="7" s="1"/>
  <c r="F453" i="7"/>
  <c r="F216" i="7" s="1"/>
  <c r="F220" i="7" s="1"/>
  <c r="F249" i="7" s="1"/>
  <c r="F251" i="7" s="1"/>
  <c r="O120" i="7"/>
  <c r="O121" i="7" s="1"/>
  <c r="O126" i="7" s="1"/>
  <c r="O127" i="7" s="1"/>
  <c r="O612" i="7"/>
  <c r="B447" i="7" a="1"/>
  <c r="B447" i="7" s="1"/>
  <c r="B448" i="7" a="1"/>
  <c r="B448" i="7" s="1"/>
  <c r="B445" i="7" a="1"/>
  <c r="B445" i="7" s="1"/>
  <c r="B449" i="7" a="1"/>
  <c r="B449" i="7" s="1"/>
  <c r="B446" i="7" a="1"/>
  <c r="B446" i="7" s="1"/>
  <c r="AA140" i="7" l="1"/>
  <c r="AA141" i="7" s="1"/>
  <c r="AA142" i="7" s="1"/>
  <c r="D140" i="7"/>
  <c r="D141" i="7" s="1"/>
  <c r="D142" i="7" s="1"/>
  <c r="I140" i="7"/>
  <c r="I141" i="7" s="1"/>
  <c r="I142" i="7" s="1"/>
  <c r="K153" i="7"/>
  <c r="Z153" i="7"/>
  <c r="B453" i="7" a="1"/>
  <c r="B453" i="7" s="1"/>
  <c r="O220" i="7"/>
  <c r="O249" i="7" s="1"/>
  <c r="O251" i="7" s="1"/>
  <c r="O153" i="7" s="1"/>
  <c r="F140" i="7"/>
  <c r="F141" i="7" s="1"/>
  <c r="F142" i="7" s="1"/>
  <c r="F153" i="7"/>
  <c r="L153" i="7"/>
  <c r="L140" i="7"/>
  <c r="L141" i="7" s="1"/>
  <c r="L142" i="7" s="1"/>
  <c r="E153" i="7"/>
  <c r="E140" i="7"/>
  <c r="E141" i="7" s="1"/>
  <c r="E142" i="7" s="1"/>
  <c r="G153" i="7"/>
  <c r="G140" i="7"/>
  <c r="G141" i="7" s="1"/>
  <c r="G142" i="7" s="1"/>
  <c r="C153" i="7"/>
  <c r="C140" i="7"/>
  <c r="C141" i="7" s="1"/>
  <c r="C142" i="7" s="1"/>
  <c r="V140" i="7"/>
  <c r="V141" i="7" s="1"/>
  <c r="V142" i="7" s="1"/>
  <c r="V153" i="7"/>
  <c r="Y140" i="7"/>
  <c r="Y141" i="7" s="1"/>
  <c r="Y142" i="7" s="1"/>
  <c r="Y153" i="7"/>
  <c r="M140" i="7"/>
  <c r="M141" i="7" s="1"/>
  <c r="M142" i="7" s="1"/>
  <c r="M153" i="7"/>
  <c r="H140" i="7"/>
  <c r="H141" i="7" s="1"/>
  <c r="H142" i="7" s="1"/>
  <c r="H153" i="7"/>
  <c r="X153" i="7"/>
  <c r="X140" i="7"/>
  <c r="X141" i="7" s="1"/>
  <c r="X142" i="7" s="1"/>
  <c r="P610" i="7"/>
  <c r="N153" i="7"/>
  <c r="N140" i="7"/>
  <c r="N141" i="7" s="1"/>
  <c r="N142" i="7" s="1"/>
  <c r="J153" i="7"/>
  <c r="J140" i="7"/>
  <c r="J141" i="7" s="1"/>
  <c r="J142" i="7" s="1"/>
  <c r="U140" i="7"/>
  <c r="U141" i="7" s="1"/>
  <c r="U142" i="7" s="1"/>
  <c r="U153" i="7"/>
  <c r="W140" i="7"/>
  <c r="W141" i="7" s="1"/>
  <c r="W142" i="7" s="1"/>
  <c r="W153" i="7"/>
  <c r="F148" i="7"/>
  <c r="D146" i="7" l="1"/>
  <c r="O140" i="7"/>
  <c r="O141" i="7" s="1"/>
  <c r="O142" i="7" s="1"/>
  <c r="C146" i="7"/>
  <c r="K146" i="7"/>
  <c r="G146" i="7"/>
  <c r="M146" i="7"/>
  <c r="L146" i="7"/>
  <c r="F146" i="7"/>
  <c r="N146" i="7"/>
  <c r="O146" i="7"/>
  <c r="H146" i="7"/>
  <c r="J146" i="7"/>
  <c r="I146" i="7"/>
  <c r="E146" i="7"/>
  <c r="P611" i="7"/>
  <c r="P85" i="7"/>
  <c r="P88" i="7" s="1"/>
  <c r="P215" i="7"/>
  <c r="P177" i="7"/>
  <c r="P179" i="7" s="1"/>
  <c r="P208" i="7" s="1"/>
  <c r="P210" i="7" s="1"/>
  <c r="Q148" i="7"/>
  <c r="U148" i="7"/>
  <c r="AF148" i="7"/>
  <c r="K148" i="7"/>
  <c r="AI148" i="7"/>
  <c r="AP148" i="7"/>
  <c r="AO148" i="7"/>
  <c r="Z148" i="7"/>
  <c r="AM148" i="7"/>
  <c r="AL148" i="7"/>
  <c r="G148" i="7"/>
  <c r="S148" i="7"/>
  <c r="O148" i="7"/>
  <c r="P148" i="7"/>
  <c r="X148" i="7"/>
  <c r="AA148" i="7"/>
  <c r="AD148" i="7"/>
  <c r="W148" i="7"/>
  <c r="AC148" i="7"/>
  <c r="Y148" i="7"/>
  <c r="AH148" i="7"/>
  <c r="AN148" i="7"/>
  <c r="J148" i="7"/>
  <c r="V148" i="7"/>
  <c r="AJ148" i="7"/>
  <c r="AB148" i="7"/>
  <c r="AK148" i="7"/>
  <c r="N148" i="7"/>
  <c r="R148" i="7"/>
  <c r="AG148" i="7"/>
  <c r="I148" i="7"/>
  <c r="M148" i="7"/>
  <c r="T148" i="7"/>
  <c r="AE148" i="7"/>
  <c r="D147" i="7" l="1"/>
  <c r="D148" i="7" s="1"/>
  <c r="F147" i="7"/>
  <c r="P120" i="7"/>
  <c r="P121" i="7" s="1"/>
  <c r="P126" i="7" s="1"/>
  <c r="P127" i="7" s="1"/>
  <c r="P612" i="7"/>
  <c r="P139" i="7"/>
  <c r="P217" i="7"/>
  <c r="P220" i="7" s="1"/>
  <c r="P249" i="7" s="1"/>
  <c r="P251" i="7" s="1"/>
  <c r="P140" i="7" s="1"/>
  <c r="C147" i="7"/>
  <c r="E147" i="7"/>
  <c r="E148" i="7" s="1"/>
  <c r="H147" i="7"/>
  <c r="J147" i="7"/>
  <c r="G147" i="7"/>
  <c r="H148" i="7" s="1"/>
  <c r="I147" i="7"/>
  <c r="K147" i="7"/>
  <c r="L147" i="7"/>
  <c r="L148" i="7" s="1"/>
  <c r="O147" i="7"/>
  <c r="N147" i="7"/>
  <c r="M147" i="7"/>
  <c r="B148" i="7" l="1"/>
  <c r="F15" i="1" s="1"/>
  <c r="F14" i="1" s="1"/>
  <c r="P141" i="7"/>
  <c r="P142" i="7" s="1"/>
  <c r="P146" i="7" s="1"/>
  <c r="Q610" i="7"/>
  <c r="P153" i="7"/>
  <c r="P147" i="7" l="1"/>
  <c r="Q611" i="7"/>
  <c r="Q85" i="7"/>
  <c r="Q88" i="7" s="1"/>
  <c r="Q215" i="7"/>
  <c r="Q177" i="7"/>
  <c r="Q179" i="7" s="1"/>
  <c r="Q208" i="7" s="1"/>
  <c r="Q210" i="7" s="1"/>
  <c r="Q217" i="7" l="1"/>
  <c r="Q220" i="7" s="1"/>
  <c r="Q249" i="7" s="1"/>
  <c r="Q251" i="7" s="1"/>
  <c r="Q140" i="7" s="1"/>
  <c r="Q139" i="7"/>
  <c r="Q120" i="7"/>
  <c r="Q121" i="7" s="1"/>
  <c r="Q126" i="7" s="1"/>
  <c r="Q127" i="7" s="1"/>
  <c r="Q612" i="7"/>
  <c r="Q141" i="7" l="1"/>
  <c r="Q142" i="7" s="1"/>
  <c r="Q146" i="7" s="1"/>
  <c r="Q153" i="7"/>
  <c r="R610" i="7"/>
  <c r="Q147" i="7" l="1"/>
  <c r="R611" i="7"/>
  <c r="R85" i="7"/>
  <c r="R88" i="7" s="1"/>
  <c r="R177" i="7"/>
  <c r="R179" i="7" s="1"/>
  <c r="R208" i="7" s="1"/>
  <c r="R210" i="7" s="1"/>
  <c r="R215" i="7"/>
  <c r="R120" i="7" l="1"/>
  <c r="R121" i="7" s="1"/>
  <c r="R126" i="7" s="1"/>
  <c r="R127" i="7" s="1"/>
  <c r="R612" i="7"/>
  <c r="R139" i="7"/>
  <c r="R217" i="7"/>
  <c r="R220" i="7" s="1"/>
  <c r="R249" i="7" s="1"/>
  <c r="R251" i="7" s="1"/>
  <c r="R140" i="7" s="1"/>
  <c r="R141" i="7" l="1"/>
  <c r="R142" i="7" s="1"/>
  <c r="R153" i="7"/>
  <c r="S610" i="7"/>
  <c r="S611" i="7" l="1"/>
  <c r="S85" i="7"/>
  <c r="S88" i="7" s="1"/>
  <c r="S215" i="7"/>
  <c r="S177" i="7"/>
  <c r="S179" i="7" s="1"/>
  <c r="S208" i="7" s="1"/>
  <c r="S210" i="7" s="1"/>
  <c r="R146" i="7"/>
  <c r="S139" i="7" l="1"/>
  <c r="S217" i="7"/>
  <c r="S220" i="7" s="1"/>
  <c r="S249" i="7" s="1"/>
  <c r="S251" i="7" s="1"/>
  <c r="S140" i="7" s="1"/>
  <c r="R147" i="7"/>
  <c r="S120" i="7"/>
  <c r="S121" i="7" s="1"/>
  <c r="S126" i="7" s="1"/>
  <c r="S127" i="7" s="1"/>
  <c r="S612" i="7"/>
  <c r="S141" i="7" l="1"/>
  <c r="S142" i="7" s="1"/>
  <c r="S146" i="7" s="1"/>
  <c r="S153" i="7"/>
  <c r="T610" i="7"/>
  <c r="T611" i="7" l="1"/>
  <c r="T85" i="7"/>
  <c r="T88" i="7" s="1"/>
  <c r="T177" i="7"/>
  <c r="T179" i="7" s="1"/>
  <c r="T208" i="7" s="1"/>
  <c r="T210" i="7" s="1"/>
  <c r="T215" i="7"/>
  <c r="S147" i="7"/>
  <c r="T217" i="7" l="1"/>
  <c r="T220" i="7" s="1"/>
  <c r="T249" i="7" s="1"/>
  <c r="T251" i="7" s="1"/>
  <c r="T139" i="7"/>
  <c r="T120" i="7"/>
  <c r="T121" i="7" s="1"/>
  <c r="T126" i="7" s="1"/>
  <c r="T127" i="7" s="1"/>
  <c r="T612" i="7"/>
  <c r="U612" i="7" s="1"/>
  <c r="V612" i="7" s="1"/>
  <c r="W612" i="7" s="1"/>
  <c r="X612" i="7" s="1"/>
  <c r="Y612" i="7" s="1"/>
  <c r="Z612" i="7" s="1"/>
  <c r="AA612" i="7" s="1"/>
  <c r="AB612" i="7" s="1"/>
  <c r="AC612" i="7" s="1"/>
  <c r="AD612" i="7" s="1"/>
  <c r="AE612" i="7" s="1"/>
  <c r="AF612" i="7" s="1"/>
  <c r="AG612" i="7" s="1"/>
  <c r="AH612" i="7" s="1"/>
  <c r="AI612" i="7" s="1"/>
  <c r="AJ612" i="7" s="1"/>
  <c r="AK612" i="7" s="1"/>
  <c r="AL612" i="7" s="1"/>
  <c r="AM612" i="7" s="1"/>
  <c r="AN612" i="7" s="1"/>
  <c r="AO612" i="7" s="1"/>
  <c r="AP612" i="7" s="1"/>
  <c r="T140" i="7" l="1"/>
  <c r="T141" i="7" s="1"/>
  <c r="T142" i="7" s="1"/>
  <c r="T153" i="7"/>
  <c r="B157" i="7" s="1"/>
  <c r="B159" i="7" s="1"/>
  <c r="F12" i="1" s="1"/>
  <c r="AA146" i="7" l="1"/>
  <c r="AN146" i="7"/>
  <c r="AH146" i="7"/>
  <c r="AK146" i="7"/>
  <c r="AB146" i="7"/>
  <c r="AI146" i="7"/>
  <c r="U146" i="7"/>
  <c r="AL146" i="7"/>
  <c r="AJ146" i="7"/>
  <c r="AF146" i="7"/>
  <c r="AE146" i="7"/>
  <c r="V146" i="7"/>
  <c r="AD146" i="7"/>
  <c r="AG146" i="7"/>
  <c r="T146" i="7"/>
  <c r="T147" i="7" s="1"/>
  <c r="Y146" i="7"/>
  <c r="AC146" i="7"/>
  <c r="AM146" i="7"/>
  <c r="AP146" i="7"/>
  <c r="X146" i="7"/>
  <c r="Z146" i="7"/>
  <c r="W146" i="7"/>
  <c r="AO146" i="7"/>
  <c r="B150" i="7"/>
  <c r="F13" i="1" s="1"/>
  <c r="AO147" i="7" l="1"/>
  <c r="W147" i="7"/>
  <c r="Z147" i="7"/>
  <c r="X147" i="7"/>
  <c r="Y147" i="7"/>
  <c r="V147" i="7"/>
  <c r="AL147" i="7"/>
  <c r="AK147" i="7"/>
  <c r="AP147" i="7"/>
  <c r="AE147" i="7"/>
  <c r="U147" i="7"/>
  <c r="AH147" i="7"/>
  <c r="AM147" i="7"/>
  <c r="AG147" i="7"/>
  <c r="AF147" i="7"/>
  <c r="AI147" i="7"/>
  <c r="AN147" i="7"/>
  <c r="AC147" i="7"/>
  <c r="AD147" i="7"/>
  <c r="AJ147" i="7"/>
  <c r="AB147" i="7"/>
  <c r="AA147" i="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<sst xmlns="http://schemas.openxmlformats.org/spreadsheetml/2006/main" count="832" uniqueCount="463">
  <si>
    <t>Property Tax</t>
  </si>
  <si>
    <t>Operating Year</t>
  </si>
  <si>
    <t>Investment Tax Credit</t>
  </si>
  <si>
    <t>Amount</t>
  </si>
  <si>
    <t>Federal</t>
  </si>
  <si>
    <t>State</t>
  </si>
  <si>
    <t>Production Tax Credit</t>
  </si>
  <si>
    <t>%</t>
  </si>
  <si>
    <t>Maximum</t>
  </si>
  <si>
    <t>Amount ($/kWh)</t>
  </si>
  <si>
    <t>Price  (¢/kWh)</t>
  </si>
  <si>
    <t>Capacity (DC kW)</t>
  </si>
  <si>
    <t>Fixed Cost ($/DC kW-yr)</t>
  </si>
  <si>
    <t>Total</t>
  </si>
  <si>
    <t>Generation (AC-MWh)</t>
  </si>
  <si>
    <t>Variable Cost ($/AC-MWh)</t>
  </si>
  <si>
    <t>Investment Based Incentive (IBI)</t>
  </si>
  <si>
    <t>Yes</t>
  </si>
  <si>
    <t>No</t>
  </si>
  <si>
    <t>Total Expenses</t>
  </si>
  <si>
    <t>Production Based Incentive (included if available for debt service)</t>
  </si>
  <si>
    <t>Total PBI</t>
  </si>
  <si>
    <t>Debt</t>
  </si>
  <si>
    <t>Funding</t>
  </si>
  <si>
    <t>Repayment</t>
  </si>
  <si>
    <t>Principal</t>
  </si>
  <si>
    <t>Interest</t>
  </si>
  <si>
    <t>Total P&amp;I</t>
  </si>
  <si>
    <t>Taxes</t>
  </si>
  <si>
    <t>EBITDA</t>
  </si>
  <si>
    <t>Federal Income Taxes</t>
  </si>
  <si>
    <t>Production Based Incentive (PBI)</t>
  </si>
  <si>
    <t>Incentive ($/kWh)</t>
  </si>
  <si>
    <t>Capacity Based Incentive (CBI)</t>
  </si>
  <si>
    <t>State Income Taxes</t>
  </si>
  <si>
    <t>Insurance</t>
  </si>
  <si>
    <t>5-yr MACRS</t>
  </si>
  <si>
    <t>15-yr MACRS</t>
  </si>
  <si>
    <t>5-yr SL</t>
  </si>
  <si>
    <t>15-yr SL</t>
  </si>
  <si>
    <t>20-yr SL</t>
  </si>
  <si>
    <t>39-yr SL</t>
  </si>
  <si>
    <t>Salvage Value</t>
  </si>
  <si>
    <t>Applicable %</t>
  </si>
  <si>
    <t>State ITC</t>
  </si>
  <si>
    <t>ITC Qualifying Costs</t>
  </si>
  <si>
    <t>% of ITC Qualifying Costs</t>
  </si>
  <si>
    <t>ITC as Fixed Amount</t>
  </si>
  <si>
    <t>Production Tax Credit (PTC)</t>
  </si>
  <si>
    <t>Cash Flows from Investing Activities</t>
  </si>
  <si>
    <t>Cash Flows from Financing Activities</t>
  </si>
  <si>
    <t>Reserve Accounts</t>
  </si>
  <si>
    <t>Funding (through operations)</t>
  </si>
  <si>
    <t>Timing</t>
  </si>
  <si>
    <t>Year</t>
  </si>
  <si>
    <t>Tax Benefit/(Liability)</t>
  </si>
  <si>
    <t>State Depreciation Amounts</t>
  </si>
  <si>
    <t>Federal Depreciation Amounts</t>
  </si>
  <si>
    <t>Total Revenue</t>
  </si>
  <si>
    <t>Cash Flow: Project</t>
  </si>
  <si>
    <t>KEY</t>
  </si>
  <si>
    <t>First Year Bonus Depreciation</t>
  </si>
  <si>
    <t>Major Equipment Replacement 1</t>
  </si>
  <si>
    <t>Major Equipment Replacement 2</t>
  </si>
  <si>
    <t>Major Equipment Replacement 3</t>
  </si>
  <si>
    <t>http://www.irs.gov/pub/irs-pdf/p946.pdf</t>
  </si>
  <si>
    <t>State PTC</t>
  </si>
  <si>
    <t>SYSTEM COSTS</t>
  </si>
  <si>
    <t>SYSTEM DESIGN</t>
  </si>
  <si>
    <t>FINANCIAL PARAMETERS</t>
  </si>
  <si>
    <t>IRR Target</t>
  </si>
  <si>
    <t>Target year</t>
  </si>
  <si>
    <t>Analysis Parameters</t>
  </si>
  <si>
    <t>Tax and Insurance Rates</t>
  </si>
  <si>
    <t>Federal income tax rate (%/year)</t>
  </si>
  <si>
    <t>State income tax rate (%/year)</t>
  </si>
  <si>
    <t>Insurance rate (annual, % of installed cost)</t>
  </si>
  <si>
    <t>PPA price escalation (%/year)</t>
  </si>
  <si>
    <t>Analysis period (years, 40 max)</t>
  </si>
  <si>
    <t>Inflation rate (%/year)</t>
  </si>
  <si>
    <t>Nominal discount rate (%/year)</t>
  </si>
  <si>
    <t>Real discount rate (%/year)</t>
  </si>
  <si>
    <t>Assessed percentage (% of total installed cost)</t>
  </si>
  <si>
    <t>Annual decline (%/year)</t>
  </si>
  <si>
    <t>Assesed value ($)</t>
  </si>
  <si>
    <t>Property tax rate (%/year)</t>
  </si>
  <si>
    <t>Property tax net assessed value</t>
  </si>
  <si>
    <t>O&amp;M production-based expense</t>
  </si>
  <si>
    <t>O&amp;M capacity-based expense</t>
  </si>
  <si>
    <t>PROJECT TERM DEBT</t>
  </si>
  <si>
    <t>Tenor (years)</t>
  </si>
  <si>
    <t>Annual all-in interest rate (%)</t>
  </si>
  <si>
    <t>Debt closing costs ($)</t>
  </si>
  <si>
    <t>Up-front fee (% of total debt)</t>
  </si>
  <si>
    <t>COST OF ACQUIRING FINANCING</t>
  </si>
  <si>
    <t>Loan 1</t>
  </si>
  <si>
    <t>Loan 2</t>
  </si>
  <si>
    <t>Loan 3</t>
  </si>
  <si>
    <t>Loan 4</t>
  </si>
  <si>
    <t>Loan 5</t>
  </si>
  <si>
    <t>Percent of installed cost</t>
  </si>
  <si>
    <t>Up-front fee (% of principal)</t>
  </si>
  <si>
    <t>Months prior to operation</t>
  </si>
  <si>
    <t>Annual interest rate (%)</t>
  </si>
  <si>
    <t>Total construction financing cost</t>
  </si>
  <si>
    <t>Totals:</t>
  </si>
  <si>
    <t>CONSTRUCTION FINANCING</t>
  </si>
  <si>
    <t>RESERVE ACCOUNTS</t>
  </si>
  <si>
    <t>Interest on reserves (%/year)</t>
  </si>
  <si>
    <t>Debt service reserve account (months of P&amp;I payments)</t>
  </si>
  <si>
    <t>Major equipment replacement reserve accounts</t>
  </si>
  <si>
    <t>Replacement  reserve 1</t>
  </si>
  <si>
    <t>Replacement  reserve 3</t>
  </si>
  <si>
    <t>Replacement  reserve 2</t>
  </si>
  <si>
    <t>Year 1 dollars</t>
  </si>
  <si>
    <t>Replacement frequency (years)</t>
  </si>
  <si>
    <t>Depreciation treatment for replacement reserves</t>
  </si>
  <si>
    <t>Working capital reserve (months of operating costs)</t>
  </si>
  <si>
    <t>TAX CREDITS</t>
  </si>
  <si>
    <t>DIRECT CASH INCENTIVES</t>
  </si>
  <si>
    <t>As fixed amount</t>
  </si>
  <si>
    <t>Federal ($)</t>
  </si>
  <si>
    <t>State ($)</t>
  </si>
  <si>
    <t>Federal (% of total installed cost)</t>
  </si>
  <si>
    <t>State (% of total installed cost)</t>
  </si>
  <si>
    <t>As percentage</t>
  </si>
  <si>
    <t>Sales tax (% of total direct cost)</t>
  </si>
  <si>
    <t>Total installed cost ($)</t>
  </si>
  <si>
    <t>OPERATION AND MAINTENANCE COSTS</t>
  </si>
  <si>
    <t>Fixed annual cost ($/yr)</t>
  </si>
  <si>
    <t>Variable cost by generation ($/MWh)</t>
  </si>
  <si>
    <t>Utility ($)</t>
  </si>
  <si>
    <t>Other ($)</t>
  </si>
  <si>
    <t>Utility (% of total installed cost)</t>
  </si>
  <si>
    <t>Other (% of total installed cost)</t>
  </si>
  <si>
    <t>Federal ($/W)</t>
  </si>
  <si>
    <t>State ($/W)</t>
  </si>
  <si>
    <t>Utility ($/W)</t>
  </si>
  <si>
    <t>Other ($/W)</t>
  </si>
  <si>
    <t>Amount ($/W)</t>
  </si>
  <si>
    <t>Federal ($/kWh)</t>
  </si>
  <si>
    <t>State ($/kWh)</t>
  </si>
  <si>
    <t>Utility ($/kWh)</t>
  </si>
  <si>
    <t>Other ($/kWh)</t>
  </si>
  <si>
    <t>Maximum ($)</t>
  </si>
  <si>
    <t>Classes</t>
  </si>
  <si>
    <t>DEPRECIATION</t>
  </si>
  <si>
    <t>Calculated</t>
  </si>
  <si>
    <t>Input from SAM</t>
  </si>
  <si>
    <t>End of analysis period value ($)</t>
  </si>
  <si>
    <t>Net salvage value (% of total installed cost)</t>
  </si>
  <si>
    <t>Total construction financing cost ($)</t>
  </si>
  <si>
    <t>Escalation (% above inflation)</t>
  </si>
  <si>
    <t>Utility</t>
  </si>
  <si>
    <t>Other</t>
  </si>
  <si>
    <t>For additional information on depreciation schedules, see IRS publication 946.</t>
  </si>
  <si>
    <t>Plus: PBI (if not included above)</t>
  </si>
  <si>
    <t>Principal payment</t>
  </si>
  <si>
    <t>Interest payment</t>
  </si>
  <si>
    <t>Replacement cost ($/W)</t>
  </si>
  <si>
    <t>Nameplate capacity (kW)</t>
  </si>
  <si>
    <t>Non-depreciable</t>
  </si>
  <si>
    <t>Capital Costs</t>
  </si>
  <si>
    <t>Total installed cost</t>
  </si>
  <si>
    <t>Construction financing</t>
  </si>
  <si>
    <t xml:space="preserve">Reserve Accounts (Increase)/Decrease </t>
  </si>
  <si>
    <t>METRICS</t>
  </si>
  <si>
    <t>IRR Year</t>
  </si>
  <si>
    <t>PPA price escalation (%/yr)</t>
  </si>
  <si>
    <r>
      <t>PPA price, year 1 (</t>
    </r>
    <r>
      <rPr>
        <sz val="10"/>
        <color theme="1"/>
        <rFont val="Calibri"/>
        <family val="2"/>
      </rPr>
      <t>¢</t>
    </r>
    <r>
      <rPr>
        <sz val="9"/>
        <color theme="1"/>
        <rFont val="Calibri"/>
        <family val="2"/>
      </rPr>
      <t>/kWh)</t>
    </r>
  </si>
  <si>
    <t>NPV ($)</t>
  </si>
  <si>
    <t>Equity ($)</t>
  </si>
  <si>
    <t>NPV of annual generation (kWh)</t>
  </si>
  <si>
    <t>NPV of annual costs ($)</t>
  </si>
  <si>
    <t>Annual costs ($)</t>
  </si>
  <si>
    <t>Total purchase of property</t>
  </si>
  <si>
    <t>Cumulative after-tax IRR (%)</t>
  </si>
  <si>
    <t>Year target IRR reached</t>
  </si>
  <si>
    <t>Incentive Amounts</t>
  </si>
  <si>
    <t>NPV of after-tax returns</t>
  </si>
  <si>
    <t>Single Owner Cash Flow</t>
  </si>
  <si>
    <t>Annual PPA revenues ($)</t>
  </si>
  <si>
    <t>NPV of annual PPA revenues ($)</t>
  </si>
  <si>
    <t>Escalation (%/year)</t>
  </si>
  <si>
    <t>Amount ($)</t>
  </si>
  <si>
    <t>Term (years)</t>
  </si>
  <si>
    <t>Allocations (%)</t>
  </si>
  <si>
    <t>CONSTRUCTION FINANCING CALCULATION (provided here for reference, only total financing cost above is input to cash flow)</t>
  </si>
  <si>
    <t>Debt principal payment</t>
  </si>
  <si>
    <t>Issuance of equity</t>
  </si>
  <si>
    <t>Incentives and size of debt</t>
  </si>
  <si>
    <t>Size of debt</t>
  </si>
  <si>
    <t>NPV and IRR</t>
  </si>
  <si>
    <t>Annual usage (kWh)</t>
  </si>
  <si>
    <t>Cost ($/MMBtu)</t>
  </si>
  <si>
    <t>Escalation (%/year above inflation)</t>
  </si>
  <si>
    <t>Single Owner Inputs</t>
  </si>
  <si>
    <t>Depreciation Schedules (Half Year)</t>
  </si>
  <si>
    <t>Operation and maintenance (O&amp;M)</t>
  </si>
  <si>
    <t>Fixed</t>
  </si>
  <si>
    <t>Capacity</t>
  </si>
  <si>
    <t>Variable</t>
  </si>
  <si>
    <t>Biomass feedstock (Biopower only)</t>
  </si>
  <si>
    <t>Coal feedstock (Biopower only)</t>
  </si>
  <si>
    <t>IRR at end of project (%)</t>
  </si>
  <si>
    <t>PPA price ($/kWh)</t>
  </si>
  <si>
    <t>IRR (%)</t>
  </si>
  <si>
    <t>Avail. for debt svc.</t>
  </si>
  <si>
    <t>Federal taxable</t>
  </si>
  <si>
    <t>State taxable</t>
  </si>
  <si>
    <t>Red. fed. depr. &amp; ITC</t>
  </si>
  <si>
    <t>Red. st. depr. &amp; ITC</t>
  </si>
  <si>
    <t>Qual. for fed. ITC</t>
  </si>
  <si>
    <t>Qual. for state ITC</t>
  </si>
  <si>
    <t>Federal bonus</t>
  </si>
  <si>
    <t>State bonus</t>
  </si>
  <si>
    <t>Reduces depreciation basis</t>
  </si>
  <si>
    <t>Heat rate (MMBtu/MWh)</t>
  </si>
  <si>
    <t>Operating Expenses</t>
  </si>
  <si>
    <t>Cash Flows from Operating Activities</t>
  </si>
  <si>
    <t>Reserve Capital Spending</t>
  </si>
  <si>
    <r>
      <t>Levelized PPA price (</t>
    </r>
    <r>
      <rPr>
        <sz val="10"/>
        <color theme="1"/>
        <rFont val="Calibri"/>
        <family val="2"/>
      </rPr>
      <t>¢</t>
    </r>
    <r>
      <rPr>
        <sz val="10"/>
        <color theme="1"/>
        <rFont val="Calibri"/>
        <family val="2"/>
        <scheme val="minor"/>
      </rPr>
      <t>/kWh)</t>
    </r>
  </si>
  <si>
    <t>Levelized PPA price nominal  (¢/kWh)</t>
  </si>
  <si>
    <t>Debt Parameters</t>
  </si>
  <si>
    <t>Value depends on option in SAM</t>
  </si>
  <si>
    <t>Debt service coverage ratio</t>
  </si>
  <si>
    <t>Ending balance</t>
  </si>
  <si>
    <t>Size of debt calculation</t>
  </si>
  <si>
    <t>Up-front fee amount ($, from SAM results)</t>
  </si>
  <si>
    <t>Debt closing costs</t>
  </si>
  <si>
    <t>Debt up-front fee</t>
  </si>
  <si>
    <t>Financing cost</t>
  </si>
  <si>
    <t>Cash available for debt service (CAFDS)</t>
  </si>
  <si>
    <t>Present value of CAFDS</t>
  </si>
  <si>
    <t>CAFDS</t>
  </si>
  <si>
    <t>Present value debt interest factor</t>
  </si>
  <si>
    <t>Total IBI</t>
  </si>
  <si>
    <t>Total CBI</t>
  </si>
  <si>
    <t>Plus: Interest earned on reserve accounts</t>
  </si>
  <si>
    <t>Less: Debt interest payment</t>
  </si>
  <si>
    <t>Project Returns</t>
  </si>
  <si>
    <t>Project Returns: Pre-Tax</t>
  </si>
  <si>
    <t>Project Returns: After-Tax</t>
  </si>
  <si>
    <t>Total capital cost ($)</t>
  </si>
  <si>
    <t>Size of debt ($)</t>
  </si>
  <si>
    <t>Operation and maintenance costs specified as annual values</t>
  </si>
  <si>
    <t>Production Based Incentive (PBI) specified as annual values</t>
  </si>
  <si>
    <t>Production Tax Credit (PTC) specified as annual values</t>
  </si>
  <si>
    <t>Unadjusted PTC ($/kWh)</t>
  </si>
  <si>
    <t>Adjusted PTC ($/MWh)</t>
  </si>
  <si>
    <t>Income tax rates specified as annual values</t>
  </si>
  <si>
    <t>Debt sizing and payment schedule</t>
  </si>
  <si>
    <t>Moratorium (years)</t>
  </si>
  <si>
    <t>Equal payments</t>
  </si>
  <si>
    <t>Constant DSCR (sculpted payments)</t>
  </si>
  <si>
    <t>Payment calculation</t>
  </si>
  <si>
    <t>P&amp;I for constant DSCR equal payments</t>
  </si>
  <si>
    <t>P&amp;I for mortgage style equal payments</t>
  </si>
  <si>
    <t>Principal for mortgage style fixed principal</t>
  </si>
  <si>
    <t>Working capital reserve</t>
  </si>
  <si>
    <t>Debt service reserve</t>
  </si>
  <si>
    <t>Beginning balance</t>
  </si>
  <si>
    <t>Release of funds</t>
  </si>
  <si>
    <t>Major equipment replacement reserve 1</t>
  </si>
  <si>
    <t>Timing of funding</t>
  </si>
  <si>
    <t>Cost of each occurrence</t>
  </si>
  <si>
    <t>Funding of each occurence</t>
  </si>
  <si>
    <t>Interest on reserves</t>
  </si>
  <si>
    <t>Total reserves</t>
  </si>
  <si>
    <t>Major equipment replacement reserve 2</t>
  </si>
  <si>
    <t>Major equipment replacement reserve 3</t>
  </si>
  <si>
    <t>Receivables reserve</t>
  </si>
  <si>
    <t>Major equipment reserve 1</t>
  </si>
  <si>
    <t>Major equipment reserve 2</t>
  </si>
  <si>
    <t>Major equipment reserve 3</t>
  </si>
  <si>
    <t>Major equipment spending 1</t>
  </si>
  <si>
    <t>Major equipment spending 2</t>
  </si>
  <si>
    <t>Major equipment spending 3</t>
  </si>
  <si>
    <t>Less: Receivables and replacement reserve funding</t>
  </si>
  <si>
    <t>Battery replacement</t>
  </si>
  <si>
    <t>Funding ($)</t>
  </si>
  <si>
    <t>Disbursement ($)</t>
  </si>
  <si>
    <t>Balance ($)</t>
  </si>
  <si>
    <t>Annual values from SAM</t>
  </si>
  <si>
    <t>Purchase of electricity for battery charging and inverter nighttime consumption</t>
  </si>
  <si>
    <t>Electricity purchase</t>
  </si>
  <si>
    <t>Custom</t>
  </si>
  <si>
    <t>Depreciation</t>
  </si>
  <si>
    <t>Custom allocation (%/year)</t>
  </si>
  <si>
    <t>* Note custom schedule is defined on Inputs sheet around Row 180</t>
  </si>
  <si>
    <t>PPA price is modifed by TOD multipliers</t>
  </si>
  <si>
    <t>Solution Mode and PPA Price</t>
  </si>
  <si>
    <t>Net production (AC kWh)</t>
  </si>
  <si>
    <t>Salvage value</t>
  </si>
  <si>
    <t>Federal income tax rate in Year 1 (%/year)</t>
  </si>
  <si>
    <t>State income tax rate in Year 1 (%/year)</t>
  </si>
  <si>
    <t>Pre-tax cash flow</t>
  </si>
  <si>
    <t>Energy</t>
  </si>
  <si>
    <t>Revenue</t>
  </si>
  <si>
    <t>PPA revenue</t>
  </si>
  <si>
    <t>Other revenue</t>
  </si>
  <si>
    <t>Curtailment payments</t>
  </si>
  <si>
    <t>Capacity payments</t>
  </si>
  <si>
    <t>Variable Cost in $/MWh</t>
  </si>
  <si>
    <t>ANNUAL VALUES IMPORTED FROM SAM</t>
  </si>
  <si>
    <t>PPA price by year ($/kWh)</t>
  </si>
  <si>
    <t>Fixed in $/year</t>
  </si>
  <si>
    <t>Fixed Cost in $/kW-year</t>
  </si>
  <si>
    <t>Fuel cell fixed</t>
  </si>
  <si>
    <t>Fuel cell capacity-based</t>
  </si>
  <si>
    <t>Battery fixed</t>
  </si>
  <si>
    <t>Battery capacity-based</t>
  </si>
  <si>
    <t>Fuel cell replacement</t>
  </si>
  <si>
    <t>Expenses Specific to Fuel Cell Systems</t>
  </si>
  <si>
    <t>Operating expenses specific to fuel cell systems</t>
  </si>
  <si>
    <t>Fuel</t>
  </si>
  <si>
    <t>NPV of annual storage costs ($)</t>
  </si>
  <si>
    <t>NPV of annual storage energy discharge (kWh)</t>
  </si>
  <si>
    <t>Annual storage costs ($)</t>
  </si>
  <si>
    <t>Storage costs ($)</t>
  </si>
  <si>
    <t>Operating expenses specific to battery systems</t>
  </si>
  <si>
    <t>Battery variable</t>
  </si>
  <si>
    <t>Fuel costs</t>
  </si>
  <si>
    <t>Biomass feedstock</t>
  </si>
  <si>
    <t>Biomass coal feedstock</t>
  </si>
  <si>
    <t>Geothermal recapitalization</t>
  </si>
  <si>
    <t>Recapitalization</t>
  </si>
  <si>
    <t>Estimates for levelized cost of storage (LCOS) calculations</t>
  </si>
  <si>
    <t>Fuel cell variable</t>
  </si>
  <si>
    <t>Electricity to grid (AC kWh)</t>
  </si>
  <si>
    <t>Electricity from grid (AC kWh)</t>
  </si>
  <si>
    <t>Expenses Specific to Battery Systems</t>
  </si>
  <si>
    <t>Annual electricity to grid (kWh)</t>
  </si>
  <si>
    <t>Electricity to grid (MWh)</t>
  </si>
  <si>
    <t>Electricity to grid (kWh)</t>
  </si>
  <si>
    <t>LAND LEASE</t>
  </si>
  <si>
    <t>Annual land lease cost ($/acre)</t>
  </si>
  <si>
    <t>Land area estimate (acres)</t>
  </si>
  <si>
    <t>Land lease escalation rate (% above inflation)</t>
  </si>
  <si>
    <t>Land lease</t>
  </si>
  <si>
    <t>Land lease payments ($)</t>
  </si>
  <si>
    <t>Land Lease</t>
  </si>
  <si>
    <t>Electricity to grid (kWh/year)</t>
  </si>
  <si>
    <t>Electricity from grid (kWh/year)</t>
  </si>
  <si>
    <t>Electricity generated without storage (kWh/year)</t>
  </si>
  <si>
    <t>Electricity to grid net (kWh/year)</t>
  </si>
  <si>
    <t>Battery annual energy discharged (kWh/year)</t>
  </si>
  <si>
    <t>Fuel cell annual energy discharged (kWh/year)</t>
  </si>
  <si>
    <t>Electricity to grid net (AC kWh)</t>
  </si>
  <si>
    <t>Electricity generated without storage (AC kWh)</t>
  </si>
  <si>
    <t>Battery annual energy discharged (AC kWh)</t>
  </si>
  <si>
    <t>Fuel cell annual energy discharged (AC kWh)</t>
  </si>
  <si>
    <t>Fuel cell fuel</t>
  </si>
  <si>
    <t>Fuel (CSP, generic only)</t>
  </si>
  <si>
    <t>Levelized COE and PPA Price (Nominal)</t>
  </si>
  <si>
    <t>Annual payment schedule (for mortgage style debt only)</t>
  </si>
  <si>
    <t>Debt service coverage ratio ("Calculated" for mortgage style)</t>
  </si>
  <si>
    <t>Limit debt fraction (for sculpted payments only)</t>
  </si>
  <si>
    <t>Adjusted for size of debt limit</t>
  </si>
  <si>
    <t>Debt percent (%) ("Calculated" for sculpted payments)</t>
  </si>
  <si>
    <t>Maximum debt percent (%) (for sculpted payments only)</t>
  </si>
  <si>
    <t>LCOE, nominal  (¢/kWh)</t>
  </si>
  <si>
    <t>Size of debt ($) ("N/A" for sculpted payments)</t>
  </si>
  <si>
    <t>N/A</t>
  </si>
  <si>
    <t>Debt fraction (%)</t>
  </si>
  <si>
    <t>Levelized Cost of Storage (Nominal)</t>
  </si>
  <si>
    <t>LCOS (¢/kWh)</t>
  </si>
  <si>
    <r>
      <t>LCOE (</t>
    </r>
    <r>
      <rPr>
        <sz val="10"/>
        <color theme="1"/>
        <rFont val="Calibri"/>
        <family val="2"/>
      </rPr>
      <t>¢</t>
    </r>
    <r>
      <rPr>
        <sz val="10"/>
        <color theme="1"/>
        <rFont val="Calibri"/>
        <family val="2"/>
        <scheme val="minor"/>
      </rPr>
      <t>/kWh)</t>
    </r>
  </si>
  <si>
    <t>FUEL COSTS (CSP AND GENERIC SYSTEMS ONLY)</t>
  </si>
  <si>
    <t>Annual storage energy discharged (kWh)</t>
  </si>
  <si>
    <t>Storage energy discharged (kWh)</t>
  </si>
  <si>
    <t>PPA revenue (TOD multipliers may apply)</t>
  </si>
  <si>
    <t>Receivables reserve (months of total revenue)</t>
  </si>
  <si>
    <t>Thermal revenue (fuel cell only)</t>
  </si>
  <si>
    <t>Minimum debt service coverage ratio</t>
  </si>
  <si>
    <t>Fixed cost by capacity ($/kW-yr)</t>
  </si>
  <si>
    <t>Investment Tax Credit (ITC) specified as annual values</t>
  </si>
  <si>
    <t>Federal ITC as percentage maximum amount</t>
  </si>
  <si>
    <t>State ITC as percentage maximum amount</t>
  </si>
  <si>
    <t>State ITC as fixed amount</t>
  </si>
  <si>
    <t>Federal ITC as fixed amount</t>
  </si>
  <si>
    <t>Federal ITC  percentage (%)</t>
  </si>
  <si>
    <t>State ITC percentage (%)</t>
  </si>
  <si>
    <t>ITC as fixed amount</t>
  </si>
  <si>
    <t>ITC as percentage maximum</t>
  </si>
  <si>
    <t>ITC as percentage amount</t>
  </si>
  <si>
    <t>ITC  percentage (%)</t>
  </si>
  <si>
    <t>ITC percentage (%)</t>
  </si>
  <si>
    <t>Investment Tax Credit (ITC)</t>
  </si>
  <si>
    <t>Depreciation and ITC Basis Calculations</t>
  </si>
  <si>
    <t>Total basis reduction for IBI as percentage</t>
  </si>
  <si>
    <t>Total basis reduction for IBI as fixed amount</t>
  </si>
  <si>
    <t>Total basis reduction for CBI</t>
  </si>
  <si>
    <t>Basis Reduction for IBI</t>
  </si>
  <si>
    <t>Basis Reduction for CBI</t>
  </si>
  <si>
    <t>Gross Basis Allocations</t>
  </si>
  <si>
    <t>Basis Reduction for IBI and CBI</t>
  </si>
  <si>
    <t>Basis After IBI and CBI Reductions</t>
  </si>
  <si>
    <t>Red. for ITC as Fixed Amt.</t>
  </si>
  <si>
    <t>ITC as Percentage Amount</t>
  </si>
  <si>
    <t>Basis Reduction for ITC</t>
  </si>
  <si>
    <t>Basis After ITC Reduction</t>
  </si>
  <si>
    <t>Federal ITC Reduction</t>
  </si>
  <si>
    <t>State ITC Reduction</t>
  </si>
  <si>
    <t>State depreciation allocations</t>
  </si>
  <si>
    <t>Basis Reduction for ITC as % of Qualifying Costs</t>
  </si>
  <si>
    <t>Bonus</t>
  </si>
  <si>
    <t>Bonus Depreciation Reduction</t>
  </si>
  <si>
    <t>State Depreciable Basis</t>
  </si>
  <si>
    <t>Deprecation of property purchased for installation</t>
  </si>
  <si>
    <t>Depreciation of major equipment replacement</t>
  </si>
  <si>
    <t>Depreciation method</t>
  </si>
  <si>
    <t>Depreciation percentage (%)</t>
  </si>
  <si>
    <t>50 % Basis Reduction for ITC as %</t>
  </si>
  <si>
    <t>50% Basis Reduction for ITC as Fixed Amt.</t>
  </si>
  <si>
    <t>State Depreciation and ITC</t>
  </si>
  <si>
    <t>Federal Depreciation and ITC</t>
  </si>
  <si>
    <t>Federal Depreciable Basis</t>
  </si>
  <si>
    <t>Depreciation Allocation</t>
  </si>
  <si>
    <t>Federal depreciation allocations</t>
  </si>
  <si>
    <t>State ITC qualifying costs</t>
  </si>
  <si>
    <t>Federal ITC qualifying costs</t>
  </si>
  <si>
    <t>50% Basis Reduction for ITC as Fixed Amount</t>
  </si>
  <si>
    <t>50% Basis Reduction for ITC as %</t>
  </si>
  <si>
    <t>Taxable income before incentives</t>
  </si>
  <si>
    <t>Plus: Interest earned</t>
  </si>
  <si>
    <t>Less: Interest payment</t>
  </si>
  <si>
    <t>Less: Tax depreciation</t>
  </si>
  <si>
    <t>Total taxable incentives</t>
  </si>
  <si>
    <t>Taxable income after Incentives</t>
  </si>
  <si>
    <t>State tax rate (%/year)</t>
  </si>
  <si>
    <t>State tax benefit/(liability)</t>
  </si>
  <si>
    <t>State Tax benefit/(liability)</t>
  </si>
  <si>
    <t>Taxable income prior to incentives</t>
  </si>
  <si>
    <t>Taxable income including incentives</t>
  </si>
  <si>
    <t>Federal tax rate (%/year)</t>
  </si>
  <si>
    <t>Federal tax benefit/(liability)</t>
  </si>
  <si>
    <t>Income from Taxable Incentives</t>
  </si>
  <si>
    <t>Other financing cost</t>
  </si>
  <si>
    <t>Depreciable Basis Reduction for Income from Incentives</t>
  </si>
  <si>
    <t>Other financing cost ($)</t>
  </si>
  <si>
    <t>Depreciable basis prior to allocation</t>
  </si>
  <si>
    <t>ITC basis prior to qualification</t>
  </si>
  <si>
    <t>Basis for State and Federal Depreciation and ITC</t>
  </si>
  <si>
    <t>% of Basis Prior to Allocation</t>
  </si>
  <si>
    <t>Percent of energy revenue retained</t>
  </si>
  <si>
    <t>Owner share of non-energy revenue</t>
  </si>
  <si>
    <t>Operating expenses specific to non-energy revenues</t>
  </si>
  <si>
    <t>Owner share of non-energy expenses</t>
  </si>
  <si>
    <t>Percent of energy expenses paid</t>
  </si>
  <si>
    <t>Energy revenue</t>
  </si>
  <si>
    <t>Energy revenue retained</t>
  </si>
  <si>
    <t>Total energy expenses</t>
  </si>
  <si>
    <t>Energy expenses paid</t>
  </si>
  <si>
    <t>Percent of energy expenses paid (%)</t>
  </si>
  <si>
    <t>Percent of energy revenue retained (%)</t>
  </si>
  <si>
    <t>Owner share of non-energy revenue (included if available for debt service)</t>
  </si>
  <si>
    <t>Owner share of non-energy expenses (included if available for debt service)</t>
  </si>
  <si>
    <t>Less: Owner share of non-energy expenses (if not included above)</t>
  </si>
  <si>
    <t>Plus: Owner share of non-energy revenue (if not included above)</t>
  </si>
  <si>
    <t>NON-ENERGY REVENUES</t>
  </si>
  <si>
    <t>Non-energy revenue available for debt service?</t>
  </si>
  <si>
    <t>Non-energy expenses impact debt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</si>
</sst>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_);_(* \(#,##0\);_(* &quot;-&quot;_);_(@_)"/>
    <numFmt numFmtId="165" formatCode="_(&quot;$&quot;* #,##0.00_);_(&quot;$&quot;* \(#,##0.00\);_(&quot;$&quot;* &quot;-&quot;??_);_(@_)"/>
    <numFmt numFmtId="166" formatCode="_(* #,##0.00_);_(* \(#,##0.00\);_(* &quot;-&quot;??_);_(@_)"/>
    <numFmt numFmtId="167" formatCode="0_);[Red]\(0\)"/>
    <numFmt numFmtId="168" formatCode="_(* #,##0.000_);_(* \(#,##0.000\);_(* &quot;-&quot;??_);_(@_)"/>
    <numFmt numFmtId="169" formatCode="_(* #,##0.000_);_(* \(#,##0.000\);_(* &quot;-&quot;???_);_(@_)"/>
    <numFmt numFmtId="170" formatCode="0.0%"/>
    <numFmt numFmtId="171" formatCode="_(* #,##0.00_);_(* \(#,##0.00\);_(* &quot;-&quot;_);_(@_)"/>
    <numFmt numFmtId="172" formatCode="0.0"/>
    <numFmt numFmtId="173" formatCode="#,##0.0"/>
    <numFmt numFmtId="174" formatCode="0_);\(0\)"/>
    <numFmt numFmtId="175" formatCode="#,##0.000"/>
    <numFmt numFmtId="176" formatCode="0.000"/>
  </numFmts>
  <fonts count="15"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sz val="10"/>
      <color rgb="FF0000CC"/>
      <name val="Calibri"/>
      <family val="2"/>
      <scheme val="minor"/>
    </font>
    <font>
      <b/>
      <sz val="10"/>
      <color rgb="FFFF0000"/>
      <name val="Calibri"/>
      <family val="2"/>
      <scheme val="minor"/>
    </font>
    <font>
      <sz val="10"/>
      <color theme="1"/>
      <name val="Calibri"/>
      <family val="2"/>
    </font>
    <font>
      <sz val="11"/>
      <name val="Calibri"/>
      <family val="2"/>
      <scheme val="minor"/>
    </font>
    <font>
      <sz val="9"/>
      <color theme="1"/>
      <name val="Calibri"/>
      <family val="2"/>
    </font>
    <font>
      <sz val="10"/>
      <name val="Arial"/>
      <family val="2"/>
    </font>
    <font>
      <b/>
      <sz val="14"/>
      <color theme="0"/>
      <name val="Segoe UI"/>
      <family val="2"/>
    </font>
    <font>
      <b/>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64"/>
      </patternFill>
    </fill>
    <fill>
      <patternFill patternType="solid">
        <fgColor theme="9" tint="0.59999389629810485"/>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s>
  <cellStyleXfs count="7">
    <xf numFmtId="0" fontId="0" fillId="0" borderId="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1" fillId="0" borderId="0"/>
    <xf numFmtId="9" fontId="11" fillId="0" borderId="0" applyFont="0" applyFill="0" applyBorder="0" applyAlignment="0" applyProtection="0"/>
    <xf numFmtId="0" fontId="14" fillId="0" borderId="0" applyNumberFormat="0" applyFill="0" applyBorder="0" applyAlignment="0" applyProtection="0"/>
  </cellStyleXfs>
  <cellXfs count="346">
    <xf numFmtId="0" fontId="0" fillId="0" borderId="0" xfId="0"/>
    <xf numFmtId="0" fontId="3" fillId="0" borderId="0" xfId="0" applyFont="1"/>
    <xf numFmtId="0" fontId="3" fillId="0" borderId="4" xfId="0" applyFont="1" applyBorder="1" applyAlignment="1">
      <alignment horizontal="center"/>
    </xf>
    <xf numFmtId="0" fontId="2" fillId="0" borderId="3" xfId="0" applyFont="1" applyBorder="1" applyAlignment="1">
      <alignment horizontal="center"/>
    </xf>
    <xf numFmtId="0" fontId="4" fillId="0" borderId="0" xfId="0" applyFont="1"/>
    <xf numFmtId="0" fontId="5" fillId="2" borderId="16" xfId="0" applyFont="1" applyFill="1" applyBorder="1"/>
    <xf numFmtId="0" fontId="4" fillId="2" borderId="17" xfId="0" applyFont="1" applyFill="1" applyBorder="1"/>
    <xf numFmtId="0" fontId="4" fillId="2" borderId="18" xfId="0" applyFont="1" applyFill="1" applyBorder="1"/>
    <xf numFmtId="0" fontId="4" fillId="0" borderId="7" xfId="0" applyFont="1" applyBorder="1" applyAlignment="1">
      <alignment horizontal="center"/>
    </xf>
    <xf numFmtId="0" fontId="4" fillId="0" borderId="22" xfId="0" applyFont="1" applyBorder="1"/>
    <xf numFmtId="0" fontId="3" fillId="0" borderId="15" xfId="0" applyFont="1" applyBorder="1" applyAlignment="1">
      <alignment horizontal="center"/>
    </xf>
    <xf numFmtId="169" fontId="3" fillId="0" borderId="0" xfId="0" applyNumberFormat="1" applyFont="1"/>
    <xf numFmtId="166" fontId="3" fillId="0" borderId="0" xfId="0" applyNumberFormat="1" applyFont="1"/>
    <xf numFmtId="0" fontId="3" fillId="0" borderId="7" xfId="0" applyFont="1" applyBorder="1" applyAlignment="1">
      <alignment horizontal="center"/>
    </xf>
    <xf numFmtId="164" fontId="4" fillId="0" borderId="0" xfId="0" applyNumberFormat="1" applyFont="1"/>
    <xf numFmtId="167" fontId="5" fillId="2" borderId="2" xfId="0" applyNumberFormat="1" applyFont="1" applyFill="1" applyBorder="1" applyAlignment="1">
      <alignment horizontal="center"/>
    </xf>
    <xf numFmtId="167" fontId="4" fillId="0" borderId="0" xfId="0" applyNumberFormat="1" applyFont="1" applyAlignment="1">
      <alignment horizontal="center"/>
    </xf>
    <xf numFmtId="0" fontId="4" fillId="0" borderId="0" xfId="0" applyFont="1" applyAlignment="1">
      <alignment horizontal="left"/>
    </xf>
    <xf numFmtId="10" fontId="4" fillId="0" borderId="0" xfId="1" applyNumberFormat="1" applyFont="1"/>
    <xf numFmtId="0" fontId="5" fillId="0" borderId="0" xfId="0" applyFont="1"/>
    <xf numFmtId="171" fontId="4" fillId="0" borderId="0" xfId="0" applyNumberFormat="1" applyFont="1"/>
    <xf numFmtId="0" fontId="4" fillId="0" borderId="0" xfId="0" applyFont="1" applyAlignment="1">
      <alignment horizontal="left" indent="2"/>
    </xf>
    <xf numFmtId="0" fontId="4" fillId="0" borderId="0" xfId="0" applyFont="1" applyAlignment="1">
      <alignment horizontal="left" indent="4"/>
    </xf>
    <xf numFmtId="170" fontId="4" fillId="0" borderId="0" xfId="1" applyNumberFormat="1" applyFont="1" applyBorder="1"/>
    <xf numFmtId="0" fontId="4" fillId="0" borderId="0" xfId="0" applyFont="1" applyAlignment="1">
      <alignment horizontal="right"/>
    </xf>
    <xf numFmtId="170" fontId="4" fillId="0" borderId="0" xfId="1" applyNumberFormat="1" applyFont="1"/>
    <xf numFmtId="0" fontId="5" fillId="0" borderId="16" xfId="0" applyFont="1" applyBorder="1"/>
    <xf numFmtId="0" fontId="4" fillId="0" borderId="18" xfId="0" applyFont="1" applyBorder="1"/>
    <xf numFmtId="0" fontId="4" fillId="0" borderId="17" xfId="0" applyFont="1" applyBorder="1"/>
    <xf numFmtId="164" fontId="3" fillId="0" borderId="0" xfId="0" applyNumberFormat="1" applyFont="1"/>
    <xf numFmtId="0" fontId="3" fillId="0" borderId="12" xfId="0" applyFont="1" applyBorder="1"/>
    <xf numFmtId="10" fontId="3" fillId="0" borderId="0" xfId="1" applyNumberFormat="1" applyFont="1" applyFill="1" applyBorder="1"/>
    <xf numFmtId="0" fontId="4" fillId="0" borderId="0" xfId="0" applyFont="1" applyAlignment="1">
      <alignment horizontal="center"/>
    </xf>
    <xf numFmtId="0" fontId="4" fillId="3" borderId="15" xfId="0" applyFont="1" applyFill="1" applyBorder="1"/>
    <xf numFmtId="0" fontId="4" fillId="0" borderId="15" xfId="0" applyFont="1" applyBorder="1"/>
    <xf numFmtId="0" fontId="4" fillId="0" borderId="15" xfId="0" applyFont="1" applyBorder="1" applyAlignment="1">
      <alignment horizontal="left" indent="1"/>
    </xf>
    <xf numFmtId="0" fontId="4" fillId="0" borderId="15" xfId="0" applyFont="1" applyBorder="1" applyAlignment="1">
      <alignment horizontal="left" indent="3"/>
    </xf>
    <xf numFmtId="0" fontId="4" fillId="0" borderId="16" xfId="0" applyFont="1" applyBorder="1" applyAlignment="1">
      <alignment horizontal="left" indent="1"/>
    </xf>
    <xf numFmtId="0" fontId="4" fillId="0" borderId="16" xfId="0" applyFont="1" applyBorder="1" applyAlignment="1">
      <alignment horizontal="right"/>
    </xf>
    <xf numFmtId="9" fontId="3" fillId="0" borderId="16" xfId="0" applyNumberFormat="1" applyFont="1" applyBorder="1"/>
    <xf numFmtId="9" fontId="4" fillId="0" borderId="17" xfId="1" applyFont="1" applyBorder="1"/>
    <xf numFmtId="166" fontId="4" fillId="3" borderId="17" xfId="3" applyFont="1" applyFill="1" applyBorder="1"/>
    <xf numFmtId="166" fontId="4" fillId="3" borderId="15" xfId="0" applyNumberFormat="1" applyFont="1" applyFill="1" applyBorder="1"/>
    <xf numFmtId="166" fontId="5" fillId="3" borderId="15" xfId="0" applyNumberFormat="1" applyFont="1" applyFill="1" applyBorder="1"/>
    <xf numFmtId="11" fontId="3" fillId="0" borderId="15" xfId="0" applyNumberFormat="1" applyFont="1" applyBorder="1"/>
    <xf numFmtId="0" fontId="4" fillId="0" borderId="15" xfId="0" applyFont="1" applyBorder="1" applyAlignment="1">
      <alignment horizontal="left" indent="2"/>
    </xf>
    <xf numFmtId="0" fontId="4" fillId="0" borderId="15" xfId="0" applyFont="1" applyBorder="1" applyAlignment="1">
      <alignment horizontal="left" indent="4"/>
    </xf>
    <xf numFmtId="0" fontId="4" fillId="0" borderId="13" xfId="0" applyFont="1" applyBorder="1" applyAlignment="1">
      <alignment horizontal="left" indent="1"/>
    </xf>
    <xf numFmtId="0" fontId="4" fillId="0" borderId="21" xfId="0" applyFont="1" applyBorder="1"/>
    <xf numFmtId="0" fontId="3" fillId="0" borderId="13" xfId="0" applyFont="1" applyBorder="1"/>
    <xf numFmtId="0" fontId="3" fillId="0" borderId="13" xfId="0" applyFont="1" applyBorder="1" applyAlignment="1">
      <alignment horizontal="center"/>
    </xf>
    <xf numFmtId="0" fontId="3" fillId="0" borderId="17" xfId="0" applyFont="1" applyBorder="1"/>
    <xf numFmtId="0" fontId="3" fillId="0" borderId="22" xfId="0" applyFont="1" applyBorder="1" applyAlignment="1">
      <alignment horizontal="center"/>
    </xf>
    <xf numFmtId="0" fontId="3" fillId="0" borderId="16" xfId="0" applyFont="1" applyBorder="1"/>
    <xf numFmtId="0" fontId="3" fillId="0" borderId="6" xfId="0" applyFont="1" applyBorder="1" applyAlignment="1">
      <alignment horizontal="center"/>
    </xf>
    <xf numFmtId="0" fontId="3" fillId="0" borderId="21" xfId="0" applyFont="1" applyBorder="1" applyAlignment="1">
      <alignment horizontal="center"/>
    </xf>
    <xf numFmtId="0" fontId="4" fillId="0" borderId="19" xfId="0" applyFont="1" applyBorder="1"/>
    <xf numFmtId="0" fontId="4" fillId="0" borderId="22" xfId="0" applyFont="1" applyBorder="1" applyAlignment="1">
      <alignment horizontal="left" indent="1"/>
    </xf>
    <xf numFmtId="0" fontId="3" fillId="0" borderId="0" xfId="0" applyFont="1" applyAlignment="1">
      <alignment horizontal="center"/>
    </xf>
    <xf numFmtId="168" fontId="3" fillId="0" borderId="0" xfId="0" applyNumberFormat="1" applyFont="1"/>
    <xf numFmtId="0" fontId="3" fillId="0" borderId="15" xfId="0" applyFont="1" applyBorder="1"/>
    <xf numFmtId="0" fontId="3" fillId="0" borderId="23" xfId="0" applyFont="1" applyBorder="1" applyAlignment="1">
      <alignment horizontal="center"/>
    </xf>
    <xf numFmtId="0" fontId="3" fillId="0" borderId="17" xfId="0" applyFont="1" applyBorder="1" applyAlignment="1">
      <alignment horizontal="center"/>
    </xf>
    <xf numFmtId="0" fontId="4" fillId="0" borderId="15" xfId="0" applyFont="1" applyBorder="1" applyAlignment="1">
      <alignment horizontal="center"/>
    </xf>
    <xf numFmtId="0" fontId="3" fillId="0" borderId="16" xfId="0" applyFont="1" applyBorder="1" applyAlignment="1">
      <alignment horizontal="center"/>
    </xf>
    <xf numFmtId="0" fontId="6" fillId="0" borderId="0" xfId="0" applyFont="1" applyAlignment="1">
      <alignment horizontal="center"/>
    </xf>
    <xf numFmtId="0" fontId="3" fillId="0" borderId="18" xfId="0" applyFont="1" applyBorder="1"/>
    <xf numFmtId="0" fontId="3" fillId="0" borderId="18" xfId="0" applyFont="1" applyBorder="1" applyAlignment="1">
      <alignment horizontal="center"/>
    </xf>
    <xf numFmtId="0" fontId="7" fillId="0" borderId="0" xfId="0" applyFont="1"/>
    <xf numFmtId="166" fontId="4" fillId="0" borderId="0" xfId="0" applyNumberFormat="1" applyFont="1"/>
    <xf numFmtId="0" fontId="4" fillId="0" borderId="13" xfId="0" applyFont="1" applyBorder="1" applyAlignment="1">
      <alignment horizontal="center"/>
    </xf>
    <xf numFmtId="0" fontId="4" fillId="0" borderId="13" xfId="0" applyFont="1" applyBorder="1" applyAlignment="1">
      <alignment horizontal="left" indent="2"/>
    </xf>
    <xf numFmtId="0" fontId="4" fillId="0" borderId="22" xfId="0" applyFont="1" applyBorder="1" applyAlignment="1">
      <alignment horizontal="left" indent="4"/>
    </xf>
    <xf numFmtId="0" fontId="5" fillId="0" borderId="4" xfId="0" applyFont="1" applyBorder="1"/>
    <xf numFmtId="0" fontId="4" fillId="0" borderId="23" xfId="0" applyFont="1" applyBorder="1" applyAlignment="1">
      <alignment horizontal="left" indent="4"/>
    </xf>
    <xf numFmtId="0" fontId="5" fillId="0" borderId="13" xfId="0" applyFont="1" applyBorder="1"/>
    <xf numFmtId="0" fontId="4" fillId="0" borderId="13" xfId="0" applyFont="1" applyBorder="1" applyAlignment="1">
      <alignment horizontal="center" wrapText="1"/>
    </xf>
    <xf numFmtId="0" fontId="4" fillId="0" borderId="23" xfId="0" applyFont="1" applyBorder="1" applyAlignment="1">
      <alignment horizontal="left" indent="2"/>
    </xf>
    <xf numFmtId="0" fontId="4" fillId="0" borderId="0" xfId="0" applyFont="1" applyAlignment="1">
      <alignment horizontal="left" indent="5"/>
    </xf>
    <xf numFmtId="0" fontId="2" fillId="0" borderId="0" xfId="0" applyFont="1"/>
    <xf numFmtId="0" fontId="5" fillId="2" borderId="15" xfId="0" applyFont="1" applyFill="1" applyBorder="1"/>
    <xf numFmtId="0" fontId="4" fillId="0" borderId="4" xfId="0" applyFont="1" applyBorder="1" applyAlignment="1">
      <alignment horizontal="right"/>
    </xf>
    <xf numFmtId="10" fontId="4" fillId="0" borderId="0" xfId="0" applyNumberFormat="1" applyFont="1"/>
    <xf numFmtId="10" fontId="4" fillId="0" borderId="0" xfId="0" applyNumberFormat="1" applyFont="1" applyAlignment="1">
      <alignment horizontal="right"/>
    </xf>
    <xf numFmtId="0" fontId="4" fillId="0" borderId="3" xfId="0" applyFont="1" applyBorder="1" applyAlignment="1">
      <alignment horizontal="left"/>
    </xf>
    <xf numFmtId="0" fontId="4" fillId="0" borderId="3" xfId="0" applyFont="1" applyBorder="1" applyAlignment="1">
      <alignment horizontal="left" indent="1"/>
    </xf>
    <xf numFmtId="0" fontId="4" fillId="0" borderId="0" xfId="0" applyFont="1" applyAlignment="1">
      <alignment horizontal="left" indent="1"/>
    </xf>
    <xf numFmtId="0" fontId="4" fillId="0" borderId="0" xfId="0" applyFont="1" applyAlignment="1">
      <alignment horizontal="left" indent="3"/>
    </xf>
    <xf numFmtId="0" fontId="5" fillId="0" borderId="0" xfId="0" applyFont="1" applyAlignment="1">
      <alignment horizontal="center"/>
    </xf>
    <xf numFmtId="10" fontId="4" fillId="0" borderId="0" xfId="1" applyNumberFormat="1" applyFont="1" applyFill="1" applyBorder="1"/>
    <xf numFmtId="10" fontId="4" fillId="0" borderId="0" xfId="1" applyNumberFormat="1" applyFont="1" applyBorder="1"/>
    <xf numFmtId="0" fontId="9" fillId="0" borderId="0" xfId="0" applyFont="1"/>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164" fontId="3" fillId="0" borderId="15" xfId="0" applyNumberFormat="1" applyFont="1" applyBorder="1" applyAlignment="1">
      <alignment horizontal="center"/>
    </xf>
    <xf numFmtId="2" fontId="3" fillId="0" borderId="15" xfId="1" applyNumberFormat="1" applyFont="1" applyFill="1" applyBorder="1"/>
    <xf numFmtId="2" fontId="4" fillId="0" borderId="0" xfId="0" applyNumberFormat="1" applyFont="1"/>
    <xf numFmtId="4" fontId="3" fillId="0" borderId="0" xfId="3" applyNumberFormat="1" applyFont="1" applyFill="1" applyBorder="1"/>
    <xf numFmtId="4" fontId="4" fillId="2" borderId="17" xfId="3" applyNumberFormat="1" applyFont="1" applyFill="1" applyBorder="1"/>
    <xf numFmtId="4" fontId="3" fillId="0" borderId="15" xfId="3" applyNumberFormat="1" applyFont="1" applyFill="1" applyBorder="1"/>
    <xf numFmtId="4" fontId="4" fillId="0" borderId="0" xfId="3" applyNumberFormat="1" applyFont="1"/>
    <xf numFmtId="4" fontId="3" fillId="0" borderId="3" xfId="0" applyNumberFormat="1" applyFont="1" applyBorder="1"/>
    <xf numFmtId="4" fontId="3" fillId="0" borderId="3" xfId="1" applyNumberFormat="1" applyFont="1" applyBorder="1"/>
    <xf numFmtId="4" fontId="2" fillId="2" borderId="17" xfId="0" applyNumberFormat="1" applyFont="1" applyFill="1" applyBorder="1"/>
    <xf numFmtId="4" fontId="3" fillId="0" borderId="15" xfId="0" applyNumberFormat="1" applyFont="1" applyBorder="1"/>
    <xf numFmtId="4" fontId="4" fillId="0" borderId="15" xfId="0" applyNumberFormat="1" applyFont="1" applyBorder="1"/>
    <xf numFmtId="4" fontId="4" fillId="2" borderId="17" xfId="0" applyNumberFormat="1" applyFont="1" applyFill="1" applyBorder="1"/>
    <xf numFmtId="4" fontId="4" fillId="0" borderId="0" xfId="0" applyNumberFormat="1" applyFont="1"/>
    <xf numFmtId="4" fontId="3" fillId="0" borderId="0" xfId="1" applyNumberFormat="1" applyFont="1" applyBorder="1"/>
    <xf numFmtId="4" fontId="3" fillId="0" borderId="15" xfId="1" applyNumberFormat="1" applyFont="1" applyBorder="1"/>
    <xf numFmtId="4" fontId="4" fillId="0" borderId="17" xfId="0" applyNumberFormat="1" applyFont="1" applyBorder="1"/>
    <xf numFmtId="4" fontId="3" fillId="0" borderId="17" xfId="0" applyNumberFormat="1" applyFont="1" applyBorder="1"/>
    <xf numFmtId="4" fontId="4" fillId="0" borderId="15" xfId="1" applyNumberFormat="1" applyFont="1" applyFill="1" applyBorder="1"/>
    <xf numFmtId="4" fontId="3" fillId="3" borderId="15" xfId="1" applyNumberFormat="1" applyFont="1" applyFill="1" applyBorder="1"/>
    <xf numFmtId="4" fontId="3" fillId="0" borderId="15" xfId="1" applyNumberFormat="1" applyFont="1" applyFill="1" applyBorder="1"/>
    <xf numFmtId="4" fontId="4" fillId="0" borderId="15" xfId="1" applyNumberFormat="1" applyFont="1" applyBorder="1"/>
    <xf numFmtId="4" fontId="3" fillId="0" borderId="0" xfId="0" applyNumberFormat="1" applyFont="1"/>
    <xf numFmtId="2" fontId="3" fillId="0" borderId="6" xfId="1" applyNumberFormat="1" applyFont="1" applyFill="1" applyBorder="1"/>
    <xf numFmtId="3" fontId="4" fillId="0" borderId="0" xfId="0" applyNumberFormat="1" applyFont="1"/>
    <xf numFmtId="3" fontId="4" fillId="0" borderId="1" xfId="0" applyNumberFormat="1" applyFont="1" applyBorder="1"/>
    <xf numFmtId="3" fontId="4" fillId="0" borderId="12" xfId="0" applyNumberFormat="1" applyFont="1" applyBorder="1"/>
    <xf numFmtId="3" fontId="4" fillId="0" borderId="19" xfId="0" applyNumberFormat="1" applyFont="1" applyBorder="1"/>
    <xf numFmtId="3" fontId="4" fillId="0" borderId="4" xfId="0" applyNumberFormat="1" applyFont="1" applyBorder="1"/>
    <xf numFmtId="3" fontId="4" fillId="0" borderId="13" xfId="0" applyNumberFormat="1" applyFont="1" applyBorder="1"/>
    <xf numFmtId="3" fontId="4" fillId="0" borderId="20" xfId="0" applyNumberFormat="1" applyFont="1" applyBorder="1"/>
    <xf numFmtId="3" fontId="4" fillId="0" borderId="21" xfId="0" applyNumberFormat="1" applyFont="1" applyBorder="1"/>
    <xf numFmtId="3" fontId="4" fillId="0" borderId="22" xfId="0" applyNumberFormat="1" applyFont="1" applyBorder="1"/>
    <xf numFmtId="3" fontId="4" fillId="0" borderId="5" xfId="0" applyNumberFormat="1" applyFont="1" applyBorder="1"/>
    <xf numFmtId="1" fontId="4" fillId="0" borderId="0" xfId="1" applyNumberFormat="1" applyFont="1" applyFill="1" applyBorder="1"/>
    <xf numFmtId="1" fontId="4" fillId="0" borderId="18" xfId="1" applyNumberFormat="1" applyFont="1" applyFill="1" applyBorder="1"/>
    <xf numFmtId="173" fontId="4" fillId="0" borderId="20" xfId="1" applyNumberFormat="1" applyFont="1" applyFill="1" applyBorder="1"/>
    <xf numFmtId="173" fontId="4" fillId="0" borderId="0" xfId="1" applyNumberFormat="1" applyFont="1" applyFill="1" applyBorder="1"/>
    <xf numFmtId="3" fontId="4" fillId="0" borderId="7" xfId="0" applyNumberFormat="1" applyFont="1" applyBorder="1"/>
    <xf numFmtId="3" fontId="4" fillId="0" borderId="16" xfId="0" applyNumberFormat="1" applyFont="1" applyBorder="1"/>
    <xf numFmtId="173" fontId="4" fillId="0" borderId="18" xfId="1" applyNumberFormat="1" applyFont="1" applyFill="1" applyBorder="1"/>
    <xf numFmtId="3" fontId="4" fillId="0" borderId="18" xfId="0" applyNumberFormat="1" applyFont="1" applyBorder="1"/>
    <xf numFmtId="3" fontId="4" fillId="0" borderId="17" xfId="0" applyNumberFormat="1" applyFont="1" applyBorder="1"/>
    <xf numFmtId="4" fontId="3" fillId="0" borderId="16" xfId="0" applyNumberFormat="1" applyFont="1" applyBorder="1"/>
    <xf numFmtId="1" fontId="3" fillId="0" borderId="16" xfId="0" applyNumberFormat="1" applyFont="1" applyBorder="1"/>
    <xf numFmtId="37" fontId="3" fillId="0" borderId="16" xfId="0" applyNumberFormat="1" applyFont="1" applyBorder="1"/>
    <xf numFmtId="37" fontId="3" fillId="0" borderId="19" xfId="0" applyNumberFormat="1" applyFont="1" applyBorder="1"/>
    <xf numFmtId="2" fontId="3" fillId="0" borderId="23" xfId="1" applyNumberFormat="1" applyFont="1" applyFill="1" applyBorder="1"/>
    <xf numFmtId="4" fontId="3" fillId="0" borderId="23" xfId="0" applyNumberFormat="1" applyFont="1" applyBorder="1"/>
    <xf numFmtId="1" fontId="3" fillId="0" borderId="15" xfId="0" applyNumberFormat="1" applyFont="1" applyBorder="1"/>
    <xf numFmtId="3" fontId="4" fillId="0" borderId="2" xfId="0" applyNumberFormat="1" applyFont="1" applyBorder="1"/>
    <xf numFmtId="3" fontId="4" fillId="0" borderId="3" xfId="0" applyNumberFormat="1" applyFont="1" applyBorder="1"/>
    <xf numFmtId="2" fontId="3" fillId="3" borderId="16" xfId="1" applyNumberFormat="1" applyFont="1" applyFill="1" applyBorder="1"/>
    <xf numFmtId="2" fontId="4" fillId="0" borderId="1" xfId="0" applyNumberFormat="1" applyFont="1" applyBorder="1"/>
    <xf numFmtId="1" fontId="4" fillId="0" borderId="0" xfId="0" applyNumberFormat="1" applyFont="1"/>
    <xf numFmtId="173" fontId="4" fillId="0" borderId="0" xfId="0" applyNumberFormat="1" applyFont="1"/>
    <xf numFmtId="3" fontId="4" fillId="0" borderId="8" xfId="0" applyNumberFormat="1" applyFont="1" applyBorder="1"/>
    <xf numFmtId="1" fontId="4" fillId="0" borderId="3" xfId="0" applyNumberFormat="1" applyFont="1" applyBorder="1"/>
    <xf numFmtId="1" fontId="4" fillId="0" borderId="15" xfId="0" applyNumberFormat="1" applyFont="1" applyBorder="1"/>
    <xf numFmtId="3" fontId="3" fillId="0" borderId="0" xfId="0" applyNumberFormat="1" applyFont="1"/>
    <xf numFmtId="0" fontId="4" fillId="0" borderId="4" xfId="0" applyFont="1" applyBorder="1"/>
    <xf numFmtId="37" fontId="4" fillId="0" borderId="0" xfId="0" applyNumberFormat="1" applyFont="1"/>
    <xf numFmtId="37" fontId="4" fillId="0" borderId="1" xfId="0" applyNumberFormat="1" applyFont="1" applyBorder="1"/>
    <xf numFmtId="37" fontId="4" fillId="0" borderId="18" xfId="0" applyNumberFormat="1" applyFont="1" applyBorder="1"/>
    <xf numFmtId="37" fontId="4" fillId="0" borderId="2" xfId="0" applyNumberFormat="1" applyFont="1" applyBorder="1"/>
    <xf numFmtId="2" fontId="3" fillId="0" borderId="9" xfId="0" applyNumberFormat="1" applyFont="1" applyBorder="1"/>
    <xf numFmtId="2" fontId="3" fillId="0" borderId="10" xfId="0" applyNumberFormat="1" applyFont="1" applyBorder="1" applyAlignment="1">
      <alignment horizontal="right"/>
    </xf>
    <xf numFmtId="2" fontId="3" fillId="0" borderId="10" xfId="0" applyNumberFormat="1" applyFont="1" applyBorder="1"/>
    <xf numFmtId="2" fontId="3" fillId="0" borderId="11" xfId="0" applyNumberFormat="1" applyFont="1" applyBorder="1"/>
    <xf numFmtId="172" fontId="4" fillId="0" borderId="9" xfId="0" applyNumberFormat="1" applyFont="1" applyBorder="1"/>
    <xf numFmtId="172" fontId="4" fillId="0" borderId="0" xfId="1" applyNumberFormat="1" applyFont="1" applyBorder="1"/>
    <xf numFmtId="2" fontId="3" fillId="0" borderId="9" xfId="2" applyNumberFormat="1" applyFont="1" applyFill="1" applyBorder="1"/>
    <xf numFmtId="2" fontId="3" fillId="0" borderId="10" xfId="2" applyNumberFormat="1" applyFont="1" applyFill="1" applyBorder="1"/>
    <xf numFmtId="172" fontId="4" fillId="0" borderId="15" xfId="0" applyNumberFormat="1" applyFont="1" applyBorder="1"/>
    <xf numFmtId="172" fontId="4" fillId="0" borderId="0" xfId="1" applyNumberFormat="1" applyFont="1"/>
    <xf numFmtId="174" fontId="4" fillId="0" borderId="0" xfId="0" applyNumberFormat="1" applyFont="1"/>
    <xf numFmtId="37" fontId="4" fillId="0" borderId="3" xfId="0" applyNumberFormat="1" applyFont="1" applyBorder="1"/>
    <xf numFmtId="37" fontId="4" fillId="0" borderId="7" xfId="0" applyNumberFormat="1" applyFont="1" applyBorder="1"/>
    <xf numFmtId="37" fontId="4" fillId="0" borderId="4" xfId="0" applyNumberFormat="1" applyFont="1" applyBorder="1"/>
    <xf numFmtId="3" fontId="4" fillId="0" borderId="9" xfId="0" applyNumberFormat="1" applyFont="1" applyBorder="1"/>
    <xf numFmtId="3" fontId="4" fillId="0" borderId="15" xfId="0" applyNumberFormat="1" applyFont="1" applyBorder="1"/>
    <xf numFmtId="37" fontId="4" fillId="0" borderId="15" xfId="0" applyNumberFormat="1" applyFont="1" applyBorder="1"/>
    <xf numFmtId="3" fontId="3" fillId="0" borderId="15" xfId="0" applyNumberFormat="1" applyFont="1" applyBorder="1"/>
    <xf numFmtId="166" fontId="4" fillId="0" borderId="4" xfId="0" applyNumberFormat="1" applyFont="1" applyBorder="1"/>
    <xf numFmtId="3" fontId="4" fillId="0" borderId="0" xfId="0" applyNumberFormat="1" applyFont="1" applyAlignment="1">
      <alignment horizontal="center"/>
    </xf>
    <xf numFmtId="173" fontId="3" fillId="0" borderId="0" xfId="0" applyNumberFormat="1" applyFont="1"/>
    <xf numFmtId="3" fontId="4" fillId="0" borderId="0" xfId="0" applyNumberFormat="1" applyFont="1" applyAlignment="1">
      <alignment horizontal="right"/>
    </xf>
    <xf numFmtId="173" fontId="4" fillId="0" borderId="0" xfId="0" applyNumberFormat="1" applyFont="1" applyAlignment="1">
      <alignment horizontal="right"/>
    </xf>
    <xf numFmtId="3" fontId="4" fillId="0" borderId="0" xfId="0" quotePrefix="1" applyNumberFormat="1" applyFont="1"/>
    <xf numFmtId="2" fontId="3" fillId="0" borderId="15" xfId="0" applyNumberFormat="1" applyFont="1" applyBorder="1"/>
    <xf numFmtId="2" fontId="3" fillId="0" borderId="22" xfId="0" applyNumberFormat="1" applyFont="1" applyBorder="1"/>
    <xf numFmtId="2" fontId="4" fillId="0" borderId="15" xfId="0" applyNumberFormat="1" applyFont="1" applyBorder="1"/>
    <xf numFmtId="2" fontId="4" fillId="0" borderId="22" xfId="0" applyNumberFormat="1" applyFont="1" applyBorder="1"/>
    <xf numFmtId="1" fontId="4" fillId="0" borderId="22" xfId="0" applyNumberFormat="1" applyFont="1" applyBorder="1"/>
    <xf numFmtId="2" fontId="4" fillId="0" borderId="15" xfId="1" applyNumberFormat="1" applyFont="1" applyBorder="1"/>
    <xf numFmtId="2" fontId="4" fillId="0" borderId="22" xfId="1" applyNumberFormat="1" applyFont="1" applyBorder="1"/>
    <xf numFmtId="0" fontId="4" fillId="0" borderId="20" xfId="0" applyFont="1" applyBorder="1"/>
    <xf numFmtId="2" fontId="4" fillId="0" borderId="15" xfId="1" applyNumberFormat="1" applyFont="1" applyFill="1" applyBorder="1" applyAlignment="1">
      <alignment horizontal="right"/>
    </xf>
    <xf numFmtId="3" fontId="4" fillId="0" borderId="0" xfId="0" applyNumberFormat="1" applyFont="1" applyAlignment="1">
      <alignment horizontal="left"/>
    </xf>
    <xf numFmtId="0" fontId="3" fillId="0" borderId="0" xfId="0" applyFont="1" applyAlignment="1">
      <alignment horizontal="right"/>
    </xf>
    <xf numFmtId="3" fontId="5" fillId="2" borderId="15" xfId="0" applyNumberFormat="1" applyFont="1" applyFill="1" applyBorder="1" applyAlignment="1">
      <alignment horizontal="left"/>
    </xf>
    <xf numFmtId="3" fontId="5" fillId="2" borderId="15" xfId="0" quotePrefix="1" applyNumberFormat="1" applyFont="1" applyFill="1" applyBorder="1" applyAlignment="1">
      <alignment horizontal="center"/>
    </xf>
    <xf numFmtId="3" fontId="4" fillId="0" borderId="15" xfId="0" applyNumberFormat="1" applyFont="1" applyBorder="1" applyAlignment="1">
      <alignment horizontal="left"/>
    </xf>
    <xf numFmtId="175" fontId="4" fillId="0" borderId="0" xfId="0" applyNumberFormat="1" applyFont="1"/>
    <xf numFmtId="3" fontId="4" fillId="5" borderId="15" xfId="0" applyNumberFormat="1" applyFont="1" applyFill="1" applyBorder="1"/>
    <xf numFmtId="4" fontId="3" fillId="5" borderId="15" xfId="0" applyNumberFormat="1" applyFont="1" applyFill="1" applyBorder="1"/>
    <xf numFmtId="176" fontId="4" fillId="5" borderId="15" xfId="0" applyNumberFormat="1" applyFont="1" applyFill="1" applyBorder="1"/>
    <xf numFmtId="0" fontId="4" fillId="0" borderId="18" xfId="0" applyFont="1" applyBorder="1" applyAlignment="1">
      <alignment horizontal="left"/>
    </xf>
    <xf numFmtId="0" fontId="4" fillId="0" borderId="20" xfId="0" applyFont="1" applyBorder="1" applyAlignment="1">
      <alignment horizontal="left"/>
    </xf>
    <xf numFmtId="0" fontId="4" fillId="0" borderId="14" xfId="0" applyFont="1" applyBorder="1"/>
    <xf numFmtId="0" fontId="5" fillId="0" borderId="18" xfId="0" applyFont="1" applyBorder="1"/>
    <xf numFmtId="0" fontId="4" fillId="0" borderId="18" xfId="0" applyFont="1" applyBorder="1" applyAlignment="1">
      <alignment horizontal="left" indent="1"/>
    </xf>
    <xf numFmtId="4" fontId="4" fillId="0" borderId="3" xfId="0" applyNumberFormat="1" applyFont="1" applyBorder="1"/>
    <xf numFmtId="2" fontId="4" fillId="0" borderId="7" xfId="1" applyNumberFormat="1" applyFont="1" applyFill="1" applyBorder="1"/>
    <xf numFmtId="4" fontId="4" fillId="0" borderId="4" xfId="1" applyNumberFormat="1" applyFont="1" applyFill="1" applyBorder="1"/>
    <xf numFmtId="4" fontId="4" fillId="0" borderId="7" xfId="1" applyNumberFormat="1" applyFont="1" applyFill="1" applyBorder="1"/>
    <xf numFmtId="10" fontId="4" fillId="2" borderId="18" xfId="1" applyNumberFormat="1" applyFont="1" applyFill="1" applyBorder="1"/>
    <xf numFmtId="164" fontId="4" fillId="2" borderId="18" xfId="0" applyNumberFormat="1" applyFont="1" applyFill="1" applyBorder="1"/>
    <xf numFmtId="0" fontId="4" fillId="0" borderId="15" xfId="0" applyFont="1" applyBorder="1" applyAlignment="1">
      <alignment horizontal="center" wrapText="1"/>
    </xf>
    <xf numFmtId="164" fontId="3" fillId="0" borderId="15" xfId="0" applyNumberFormat="1" applyFont="1" applyBorder="1" applyAlignment="1">
      <alignment horizontal="center" wrapText="1"/>
    </xf>
    <xf numFmtId="0" fontId="12" fillId="6" borderId="26" xfId="4" applyFont="1" applyFill="1" applyBorder="1" applyAlignment="1">
      <alignment horizontal="center"/>
    </xf>
    <xf numFmtId="0" fontId="5" fillId="2" borderId="19" xfId="0" applyFont="1" applyFill="1" applyBorder="1"/>
    <xf numFmtId="4" fontId="4" fillId="2" borderId="21" xfId="0" applyNumberFormat="1" applyFont="1" applyFill="1" applyBorder="1"/>
    <xf numFmtId="4" fontId="3" fillId="0" borderId="13" xfId="0" applyNumberFormat="1" applyFont="1" applyBorder="1"/>
    <xf numFmtId="0" fontId="3" fillId="4" borderId="22" xfId="0" applyFont="1" applyFill="1" applyBorder="1"/>
    <xf numFmtId="0" fontId="12" fillId="6" borderId="26" xfId="4" applyFont="1" applyFill="1" applyBorder="1" applyAlignment="1">
      <alignment horizontal="left"/>
    </xf>
    <xf numFmtId="0" fontId="3" fillId="6" borderId="2" xfId="0" applyFont="1" applyFill="1" applyBorder="1" applyAlignment="1">
      <alignment horizontal="left"/>
    </xf>
    <xf numFmtId="164" fontId="3" fillId="6" borderId="2" xfId="2" applyNumberFormat="1" applyFont="1" applyFill="1" applyBorder="1" applyAlignment="1">
      <alignment horizontal="left"/>
    </xf>
    <xf numFmtId="0" fontId="5" fillId="0" borderId="7" xfId="0" applyFont="1" applyBorder="1"/>
    <xf numFmtId="4" fontId="3" fillId="0" borderId="6" xfId="0" applyNumberFormat="1" applyFont="1" applyBorder="1"/>
    <xf numFmtId="0" fontId="3" fillId="0" borderId="16" xfId="0" applyFont="1" applyBorder="1" applyAlignment="1">
      <alignment horizontal="right"/>
    </xf>
    <xf numFmtId="0" fontId="4" fillId="0" borderId="16" xfId="0" applyFont="1" applyBorder="1" applyAlignment="1">
      <alignment horizontal="center" wrapText="1"/>
    </xf>
    <xf numFmtId="164" fontId="3" fillId="0" borderId="16" xfId="0" applyNumberFormat="1" applyFont="1" applyBorder="1"/>
    <xf numFmtId="0" fontId="4" fillId="0" borderId="7" xfId="0" applyFont="1" applyBorder="1"/>
    <xf numFmtId="0" fontId="4" fillId="0" borderId="6" xfId="0" applyFont="1" applyBorder="1"/>
    <xf numFmtId="0" fontId="4" fillId="0" borderId="12" xfId="0" applyFont="1" applyBorder="1" applyAlignment="1">
      <alignment horizontal="center"/>
    </xf>
    <xf numFmtId="0" fontId="4" fillId="0" borderId="12" xfId="0" applyFont="1" applyBorder="1"/>
    <xf numFmtId="0" fontId="4" fillId="2" borderId="20" xfId="0" applyFont="1" applyFill="1" applyBorder="1"/>
    <xf numFmtId="0" fontId="4" fillId="2" borderId="21" xfId="0" applyFont="1" applyFill="1" applyBorder="1"/>
    <xf numFmtId="0" fontId="3" fillId="0" borderId="7" xfId="0" applyFont="1" applyBorder="1"/>
    <xf numFmtId="0" fontId="3" fillId="0" borderId="1" xfId="0" applyFont="1" applyBorder="1"/>
    <xf numFmtId="0" fontId="3" fillId="0" borderId="6" xfId="0" applyFont="1" applyBorder="1"/>
    <xf numFmtId="0" fontId="3" fillId="0" borderId="29" xfId="0" applyFont="1" applyBorder="1" applyAlignment="1">
      <alignment horizontal="center"/>
    </xf>
    <xf numFmtId="11" fontId="3" fillId="0" borderId="23" xfId="0" applyNumberFormat="1" applyFont="1" applyBorder="1"/>
    <xf numFmtId="4" fontId="3" fillId="7" borderId="15" xfId="0" applyNumberFormat="1" applyFont="1" applyFill="1" applyBorder="1"/>
    <xf numFmtId="0" fontId="4" fillId="7" borderId="27" xfId="0" applyFont="1" applyFill="1" applyBorder="1" applyAlignment="1">
      <alignment horizontal="left" indent="1"/>
    </xf>
    <xf numFmtId="4" fontId="3" fillId="7" borderId="28" xfId="0" applyNumberFormat="1" applyFont="1" applyFill="1" applyBorder="1"/>
    <xf numFmtId="0" fontId="4" fillId="7" borderId="24" xfId="0" applyFont="1" applyFill="1" applyBorder="1" applyAlignment="1">
      <alignment horizontal="left" indent="1"/>
    </xf>
    <xf numFmtId="4" fontId="3" fillId="7" borderId="25" xfId="0" applyNumberFormat="1" applyFont="1" applyFill="1" applyBorder="1"/>
    <xf numFmtId="4" fontId="3" fillId="3" borderId="15" xfId="0" applyNumberFormat="1" applyFont="1" applyFill="1" applyBorder="1"/>
    <xf numFmtId="0" fontId="3" fillId="0" borderId="2" xfId="0" applyFont="1" applyBorder="1" applyAlignment="1">
      <alignment horizontal="left"/>
    </xf>
    <xf numFmtId="0" fontId="3" fillId="0" borderId="0" xfId="0" applyFont="1" applyAlignment="1">
      <alignment horizontal="left"/>
    </xf>
    <xf numFmtId="0" fontId="2" fillId="0" borderId="15" xfId="0" applyFont="1" applyBorder="1" applyAlignment="1">
      <alignment horizontal="center"/>
    </xf>
    <xf numFmtId="0" fontId="12" fillId="0" borderId="0" xfId="4" applyFont="1" applyAlignment="1">
      <alignment horizontal="center"/>
    </xf>
    <xf numFmtId="0" fontId="12" fillId="6" borderId="30" xfId="4" applyFont="1" applyFill="1" applyBorder="1" applyAlignment="1">
      <alignment horizontal="center"/>
    </xf>
    <xf numFmtId="0" fontId="5" fillId="2" borderId="18" xfId="0" applyFont="1" applyFill="1" applyBorder="1" applyAlignment="1">
      <alignment horizontal="center" vertical="center"/>
    </xf>
    <xf numFmtId="0" fontId="4" fillId="4" borderId="15" xfId="0" applyFont="1" applyFill="1" applyBorder="1"/>
    <xf numFmtId="0" fontId="4" fillId="5" borderId="15" xfId="0" applyFont="1" applyFill="1" applyBorder="1"/>
    <xf numFmtId="3" fontId="5" fillId="0" borderId="16" xfId="0" applyNumberFormat="1" applyFont="1" applyBorder="1"/>
    <xf numFmtId="0" fontId="4" fillId="4" borderId="13" xfId="0" applyFont="1" applyFill="1" applyBorder="1"/>
    <xf numFmtId="0" fontId="4" fillId="5" borderId="13" xfId="0" applyFont="1" applyFill="1" applyBorder="1"/>
    <xf numFmtId="0" fontId="4" fillId="4" borderId="18" xfId="0" applyFont="1" applyFill="1" applyBorder="1"/>
    <xf numFmtId="0" fontId="4" fillId="4" borderId="17" xfId="0" applyFont="1" applyFill="1" applyBorder="1"/>
    <xf numFmtId="0" fontId="4" fillId="4" borderId="22" xfId="0" applyFont="1" applyFill="1" applyBorder="1"/>
    <xf numFmtId="0" fontId="4" fillId="5" borderId="22" xfId="0" applyFont="1" applyFill="1" applyBorder="1"/>
    <xf numFmtId="2" fontId="3" fillId="0" borderId="16" xfId="1" applyNumberFormat="1" applyFont="1" applyFill="1" applyBorder="1"/>
    <xf numFmtId="0" fontId="3" fillId="0" borderId="13" xfId="0" applyFont="1" applyBorder="1" applyAlignment="1">
      <alignment horizontal="center" wrapText="1"/>
    </xf>
    <xf numFmtId="0" fontId="3" fillId="0" borderId="7" xfId="0" applyFont="1" applyBorder="1" applyAlignment="1">
      <alignment horizontal="center" wrapText="1"/>
    </xf>
    <xf numFmtId="2" fontId="3" fillId="0" borderId="23" xfId="1" applyNumberFormat="1" applyFont="1" applyBorder="1"/>
    <xf numFmtId="0" fontId="5" fillId="0" borderId="31" xfId="0" applyFont="1" applyBorder="1"/>
    <xf numFmtId="4" fontId="3" fillId="0" borderId="32" xfId="0" applyNumberFormat="1" applyFont="1" applyBorder="1"/>
    <xf numFmtId="0" fontId="2" fillId="0" borderId="16" xfId="0" applyFont="1" applyBorder="1" applyAlignment="1">
      <alignment horizontal="left"/>
    </xf>
    <xf numFmtId="0" fontId="3" fillId="0" borderId="15" xfId="0" applyFont="1" applyBorder="1" applyAlignment="1">
      <alignment horizontal="left" indent="1"/>
    </xf>
    <xf numFmtId="4" fontId="3" fillId="0" borderId="21" xfId="0" applyNumberFormat="1" applyFont="1" applyBorder="1"/>
    <xf numFmtId="0" fontId="3" fillId="0" borderId="16" xfId="0" applyFont="1" applyBorder="1" applyAlignment="1">
      <alignment horizontal="left" indent="1"/>
    </xf>
    <xf numFmtId="0" fontId="3" fillId="4" borderId="15" xfId="4" applyFont="1" applyFill="1" applyBorder="1" applyAlignment="1">
      <alignment horizontal="right"/>
    </xf>
    <xf numFmtId="2" fontId="4" fillId="0" borderId="0" xfId="1" applyNumberFormat="1" applyFont="1" applyFill="1" applyBorder="1"/>
    <xf numFmtId="3" fontId="4" fillId="0" borderId="6" xfId="0" applyNumberFormat="1" applyFont="1" applyBorder="1"/>
    <xf numFmtId="0" fontId="13" fillId="0" borderId="0" xfId="0" applyFont="1"/>
    <xf numFmtId="4" fontId="3" fillId="5" borderId="15" xfId="1" applyNumberFormat="1" applyFont="1" applyFill="1" applyBorder="1"/>
    <xf numFmtId="0" fontId="4" fillId="7" borderId="15" xfId="0" applyFont="1" applyFill="1" applyBorder="1" applyAlignment="1">
      <alignment horizontal="left" indent="1"/>
    </xf>
    <xf numFmtId="3" fontId="3" fillId="0" borderId="15" xfId="1" applyNumberFormat="1" applyFont="1" applyFill="1" applyBorder="1"/>
    <xf numFmtId="0" fontId="4" fillId="7" borderId="15" xfId="0" applyFont="1" applyFill="1" applyBorder="1" applyAlignment="1">
      <alignment horizontal="left"/>
    </xf>
    <xf numFmtId="3" fontId="4" fillId="0" borderId="22" xfId="0" applyNumberFormat="1" applyFont="1" applyBorder="1" applyAlignment="1">
      <alignment horizontal="left" indent="1"/>
    </xf>
    <xf numFmtId="3" fontId="4" fillId="0" borderId="19" xfId="0" applyNumberFormat="1" applyFont="1" applyBorder="1" applyAlignment="1">
      <alignment horizontal="left" indent="1"/>
    </xf>
    <xf numFmtId="3" fontId="5" fillId="0" borderId="22" xfId="0" applyNumberFormat="1" applyFont="1" applyBorder="1"/>
    <xf numFmtId="0" fontId="14" fillId="0" borderId="0" xfId="6" applyFill="1" applyBorder="1"/>
    <xf numFmtId="0" fontId="5" fillId="0" borderId="15" xfId="0" applyFont="1" applyBorder="1"/>
    <xf numFmtId="0" fontId="3" fillId="0" borderId="0" xfId="4" applyFont="1" applyAlignment="1">
      <alignment horizontal="left"/>
    </xf>
    <xf numFmtId="0" fontId="3" fillId="0" borderId="0" xfId="5" applyNumberFormat="1" applyFont="1" applyFill="1" applyBorder="1" applyAlignment="1">
      <alignment horizontal="left"/>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3" fontId="5" fillId="0" borderId="19" xfId="0" applyNumberFormat="1" applyFont="1" applyBorder="1"/>
    <xf numFmtId="176" fontId="4" fillId="0" borderId="16" xfId="0" applyNumberFormat="1" applyFont="1" applyBorder="1"/>
    <xf numFmtId="176" fontId="4" fillId="0" borderId="18" xfId="0" applyNumberFormat="1" applyFont="1" applyBorder="1"/>
    <xf numFmtId="176" fontId="4" fillId="0" borderId="17" xfId="0" applyNumberFormat="1" applyFont="1" applyBorder="1"/>
    <xf numFmtId="173" fontId="4" fillId="0" borderId="1" xfId="0" applyNumberFormat="1" applyFont="1" applyBorder="1"/>
    <xf numFmtId="0" fontId="4" fillId="7" borderId="33" xfId="0" applyFont="1" applyFill="1" applyBorder="1" applyAlignment="1">
      <alignment horizontal="left" indent="1"/>
    </xf>
    <xf numFmtId="4" fontId="3" fillId="7" borderId="34" xfId="0" applyNumberFormat="1" applyFont="1" applyFill="1" applyBorder="1"/>
    <xf numFmtId="173" fontId="4" fillId="0" borderId="0" xfId="3" applyNumberFormat="1" applyFont="1"/>
    <xf numFmtId="173" fontId="4" fillId="0" borderId="15" xfId="0" applyNumberFormat="1" applyFont="1" applyBorder="1"/>
    <xf numFmtId="175" fontId="3" fillId="7" borderId="15" xfId="0" applyNumberFormat="1" applyFont="1" applyFill="1" applyBorder="1" applyAlignment="1">
      <alignment horizontal="left"/>
    </xf>
    <xf numFmtId="175" fontId="3" fillId="0" borderId="15" xfId="0" applyNumberFormat="1" applyFont="1" applyBorder="1"/>
    <xf numFmtId="0" fontId="3" fillId="0" borderId="19" xfId="0" applyFont="1" applyBorder="1" applyAlignment="1">
      <alignment horizontal="left" indent="1"/>
    </xf>
    <xf numFmtId="4" fontId="3" fillId="5" borderId="22" xfId="0" applyNumberFormat="1" applyFont="1" applyFill="1" applyBorder="1"/>
    <xf numFmtId="0" fontId="3" fillId="0" borderId="7" xfId="0" applyFont="1" applyBorder="1" applyAlignment="1">
      <alignment horizontal="left" indent="1"/>
    </xf>
    <xf numFmtId="4" fontId="3" fillId="5" borderId="13" xfId="0" applyNumberFormat="1" applyFont="1" applyFill="1" applyBorder="1"/>
    <xf numFmtId="0" fontId="2" fillId="4" borderId="16" xfId="0" applyFont="1" applyFill="1" applyBorder="1" applyAlignment="1">
      <alignment horizontal="left"/>
    </xf>
    <xf numFmtId="4" fontId="3" fillId="4" borderId="18" xfId="0" applyNumberFormat="1" applyFont="1" applyFill="1" applyBorder="1"/>
    <xf numFmtId="4" fontId="3" fillId="4" borderId="17" xfId="0" applyNumberFormat="1" applyFont="1" applyFill="1" applyBorder="1"/>
    <xf numFmtId="0" fontId="4" fillId="0" borderId="19" xfId="0" applyFont="1" applyBorder="1" applyAlignment="1">
      <alignment horizontal="left" indent="1"/>
    </xf>
    <xf numFmtId="0" fontId="4" fillId="0" borderId="7" xfId="0" applyFont="1" applyBorder="1" applyAlignment="1">
      <alignment horizontal="left" indent="1"/>
    </xf>
    <xf numFmtId="3" fontId="3" fillId="5" borderId="22" xfId="0" applyNumberFormat="1" applyFont="1" applyFill="1" applyBorder="1"/>
    <xf numFmtId="3" fontId="4" fillId="0" borderId="0" xfId="0" applyNumberFormat="1" applyFont="1" applyAlignment="1">
      <alignment horizontal="left" indent="1"/>
    </xf>
    <xf numFmtId="0" fontId="4" fillId="0" borderId="5" xfId="0" applyFont="1" applyBorder="1"/>
    <xf numFmtId="0" fontId="5" fillId="2" borderId="35" xfId="0" applyFont="1" applyFill="1" applyBorder="1"/>
    <xf numFmtId="164" fontId="4" fillId="2" borderId="36" xfId="0" applyNumberFormat="1" applyFont="1" applyFill="1" applyBorder="1"/>
    <xf numFmtId="11" fontId="4" fillId="0" borderId="0" xfId="0" applyNumberFormat="1" applyFont="1"/>
    <xf numFmtId="11" fontId="4" fillId="5" borderId="13" xfId="0" applyNumberFormat="1" applyFont="1" applyFill="1" applyBorder="1"/>
    <xf numFmtId="3" fontId="4" fillId="0" borderId="35" xfId="0" applyNumberFormat="1" applyFont="1" applyBorder="1"/>
    <xf numFmtId="0" fontId="4" fillId="0" borderId="19" xfId="0" applyFont="1" applyBorder="1" applyAlignment="1">
      <alignment horizontal="center" wrapText="1"/>
    </xf>
    <xf numFmtId="0" fontId="4" fillId="0" borderId="36" xfId="0" applyFont="1" applyBorder="1" applyAlignment="1">
      <alignment horizontal="center" wrapText="1"/>
    </xf>
    <xf numFmtId="0" fontId="4" fillId="0" borderId="20" xfId="0" applyFont="1" applyBorder="1" applyAlignment="1">
      <alignment horizontal="center" wrapText="1"/>
    </xf>
    <xf numFmtId="3" fontId="4" fillId="0" borderId="36" xfId="0" applyNumberFormat="1" applyFont="1" applyBorder="1"/>
    <xf numFmtId="37" fontId="4" fillId="0" borderId="20" xfId="0" applyNumberFormat="1" applyFont="1" applyBorder="1"/>
    <xf numFmtId="0" fontId="5" fillId="0" borderId="35" xfId="0" applyFont="1" applyBorder="1" applyAlignment="1">
      <alignment horizontal="center"/>
    </xf>
    <xf numFmtId="0" fontId="4" fillId="0" borderId="35" xfId="0" applyFont="1" applyBorder="1" applyAlignment="1">
      <alignment horizontal="center" wrapText="1"/>
    </xf>
    <xf numFmtId="0" fontId="4" fillId="0" borderId="35" xfId="0" applyFont="1" applyBorder="1" applyAlignment="1">
      <alignment horizontal="left" indent="1"/>
    </xf>
    <xf numFmtId="2" fontId="4" fillId="0" borderId="1" xfId="1" applyNumberFormat="1" applyFont="1" applyFill="1" applyBorder="1"/>
    <xf numFmtId="0" fontId="4" fillId="0" borderId="22" xfId="0" applyFont="1" applyBorder="1" applyAlignment="1">
      <alignment horizontal="left" indent="2"/>
    </xf>
    <xf numFmtId="0" fontId="4" fillId="0" borderId="12" xfId="0" applyFont="1" applyBorder="1" applyAlignment="1">
      <alignment horizontal="left" indent="2"/>
    </xf>
    <xf numFmtId="0" fontId="4" fillId="0" borderId="35" xfId="0" applyFont="1" applyBorder="1" applyAlignment="1">
      <alignment horizontal="left" indent="2"/>
    </xf>
    <xf numFmtId="0" fontId="5" fillId="0" borderId="35" xfId="0" applyFont="1" applyBorder="1" applyAlignment="1">
      <alignment horizontal="left"/>
    </xf>
    <xf numFmtId="0" fontId="4" fillId="0" borderId="17" xfId="0" applyFont="1" applyBorder="1" applyAlignment="1">
      <alignment horizontal="center" wrapText="1"/>
    </xf>
    <xf numFmtId="0" fontId="5" fillId="0" borderId="35" xfId="0" applyFont="1" applyBorder="1"/>
    <xf numFmtId="37" fontId="4" fillId="0" borderId="35" xfId="0" applyNumberFormat="1" applyFont="1" applyBorder="1"/>
    <xf numFmtId="4" fontId="4" fillId="0" borderId="0" xfId="1" applyNumberFormat="1" applyFont="1" applyFill="1" applyBorder="1"/>
    <xf numFmtId="0" fontId="4" fillId="0" borderId="16" xfId="0" applyFont="1" applyBorder="1" applyAlignment="1">
      <alignment horizontal="center"/>
    </xf>
    <xf numFmtId="0" fontId="4" fillId="0" borderId="17" xfId="0" applyFont="1" applyBorder="1" applyAlignment="1">
      <alignment horizontal="center"/>
    </xf>
    <xf numFmtId="0" fontId="5" fillId="0" borderId="22" xfId="0" applyFont="1" applyBorder="1" applyAlignment="1">
      <alignment horizontal="center" wrapText="1"/>
    </xf>
    <xf numFmtId="0" fontId="5" fillId="0" borderId="13" xfId="0" applyFont="1" applyBorder="1" applyAlignment="1">
      <alignment horizontal="center" wrapText="1"/>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164" fontId="5" fillId="0" borderId="19" xfId="0" applyNumberFormat="1" applyFont="1" applyBorder="1" applyAlignment="1">
      <alignment horizontal="center"/>
    </xf>
    <xf numFmtId="164" fontId="5" fillId="0" borderId="21" xfId="0" applyNumberFormat="1" applyFont="1" applyBorder="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5" fillId="0" borderId="36" xfId="0" applyFont="1" applyBorder="1" applyAlignment="1">
      <alignment horizontal="center"/>
    </xf>
    <xf numFmtId="11" fontId="4" fillId="5" borderId="15" xfId="0" applyNumberFormat="1" applyFont="1" applyFill="1" applyBorder="1"/>
  </cellXfs>
  <cellStyles count="7">
    <cellStyle name="Comma" xfId="3" builtinId="3"/>
    <cellStyle name="Currency" xfId="2" builtinId="4"/>
    <cellStyle name="Hyperlink" xfId="6" builtinId="8"/>
    <cellStyle name="Normal" xfId="0" builtinId="0"/>
    <cellStyle name="Normal 2" xfId="4" xr:uid="{00000000-0005-0000-0000-000003000000}"/>
    <cellStyle name="Percent" xfId="1" builtinId="5"/>
    <cellStyle name="Percent 2 2" xfId="5" xr:uid="{00000000-0005-0000-0000-000005000000}"/>
  </cellStyles>
  <dxfs count="0"/>
  <tableStyles count="0" defaultTableStyle="TableStyleMedium9" defaultPivotStyle="PivotStyleLight16"/>
  <colors>
    <mruColors>
      <color rgb="FFFF0000"/>
      <color rgb="FF0000CC"/>
      <color rgb="FF0000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63501</xdr:colOff>
      <xdr:row>57</xdr:row>
      <xdr:rowOff>0</xdr:rowOff>
    </xdr:from>
    <xdr:to>
      <xdr:col>5</xdr:col>
      <xdr:colOff>21168</xdr:colOff>
      <xdr:row>74</xdr:row>
      <xdr:rowOff>31751</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99668" y="9387417"/>
          <a:ext cx="3429000" cy="2741084"/>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latin typeface="+mn-lt"/>
              <a:ea typeface="+mn-ea"/>
              <a:cs typeface="+mn-cs"/>
            </a:rPr>
            <a:t>Mortgage-style size of debt is the product of the debt fraction and total capital cost. The total capital cost includes debt service reserve funding and debt up-front costs, which are both calculated from the size of debt value. To calculate the value, SAM uses a two-step iteration that is not possible to replicate in this workbook using static formulas.</a:t>
          </a: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Sculpted debt sizes</a:t>
          </a:r>
          <a:r>
            <a:rPr lang="en-US" sz="1100" baseline="0">
              <a:solidFill>
                <a:schemeClr val="dk1"/>
              </a:solidFill>
              <a:latin typeface="+mn-lt"/>
              <a:ea typeface="+mn-ea"/>
              <a:cs typeface="+mn-cs"/>
            </a:rPr>
            <a:t> debt based on EBITDA to maintain a constant DSCR from year to year.</a:t>
          </a:r>
          <a:endParaRPr lang="en-US" sz="1100">
            <a:solidFill>
              <a:schemeClr val="dk1"/>
            </a:solidFill>
            <a:latin typeface="+mn-lt"/>
            <a:ea typeface="+mn-ea"/>
            <a:cs typeface="+mn-cs"/>
          </a:endParaRP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"Equal payments" for the annual payment schedule indicates a standard amortization with constant total annual P&amp;I payments. "Fixed principal" indicates fixed principal with declining interest annual payments.</a:t>
          </a:r>
        </a:p>
      </xdr:txBody>
    </xdr:sp>
    <xdr:clientData/>
  </xdr:twoCellAnchor>
  <xdr:twoCellAnchor>
    <xdr:from>
      <xdr:col>1</xdr:col>
      <xdr:colOff>116414</xdr:colOff>
      <xdr:row>14</xdr:row>
      <xdr:rowOff>42335</xdr:rowOff>
    </xdr:from>
    <xdr:to>
      <xdr:col>3</xdr:col>
      <xdr:colOff>635000</xdr:colOff>
      <xdr:row>16</xdr:row>
      <xdr:rowOff>158750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349247" y="2370668"/>
          <a:ext cx="6021920" cy="497415"/>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effectLst/>
              <a:latin typeface="+mn-lt"/>
              <a:ea typeface="+mn-ea"/>
              <a:cs typeface="+mn-cs"/>
            </a:rPr>
            <a:t>'N/A' indicates O&amp;M or land lease  costs entered as annual values. See "ANNUAL VALUES" below. </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Additional operation and maintenance and fuel costs are listed below under "ANNUAL VALUES."</a:t>
          </a:r>
        </a:p>
        <a:p>
          <a:pPr marL="0" indent="0"/>
          <a:endParaRPr lang="en-US" sz="1100">
            <a:solidFill>
              <a:schemeClr val="dk1"/>
            </a:solidFill>
            <a:effectLst/>
            <a:latin typeface="+mn-lt"/>
            <a:ea typeface="+mn-ea"/>
            <a:cs typeface="+mn-cs"/>
          </a:endParaRPr>
        </a:p>
      </xdr:txBody>
    </xdr:sp>
    <xdr:clientData/>
  </xdr:twoCellAnchor>
  <xdr:oneCellAnchor>
    <xdr:from>
      <xdr:col>3</xdr:col>
      <xdr:colOff>582083</xdr:colOff>
      <xdr:row>25</xdr:row>
      <xdr:rowOff>10584</xdr:rowOff>
    </xdr:from>
    <xdr:ext cx="184731" cy="26456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18250" y="43074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5</xdr:col>
      <xdr:colOff>31747</xdr:colOff>
      <xdr:row>107</xdr:row>
      <xdr:rowOff>42334</xdr:rowOff>
    </xdr:from>
    <xdr:to>
      <xdr:col>7</xdr:col>
      <xdr:colOff>444497</xdr:colOff>
      <xdr:row>110</xdr:row>
      <xdr:rowOff>43604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239247" y="17547167"/>
          <a:ext cx="3429000" cy="488104"/>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or PTC amount indicates amounts entered as annual values. </a:t>
          </a:r>
          <a:r>
            <a:rPr lang="en-US" sz="1100" baseline="0"/>
            <a:t>See "ANNUAL VALUES" below.</a:t>
          </a:r>
          <a:endParaRPr lang="en-US" sz="1100"/>
        </a:p>
      </xdr:txBody>
    </xdr:sp>
    <xdr:clientData/>
  </xdr:twoCellAnchor>
  <xdr:twoCellAnchor>
    <xdr:from>
      <xdr:col>3</xdr:col>
      <xdr:colOff>57147</xdr:colOff>
      <xdr:row>42</xdr:row>
      <xdr:rowOff>4232</xdr:rowOff>
    </xdr:from>
    <xdr:to>
      <xdr:col>5</xdr:col>
      <xdr:colOff>10583</xdr:colOff>
      <xdr:row>52</xdr:row>
      <xdr:rowOff>21168</xdr:rowOff>
    </xdr:to>
    <xdr:sp macro="" textlink="">
      <xdr:nvSpPr>
        <xdr:cNvPr id="6" name="TextBox 5">
          <a:extLst>
            <a:ext uri="{FF2B5EF4-FFF2-40B4-BE49-F238E27FC236}">
              <a16:creationId xmlns:a16="http://schemas.microsoft.com/office/drawing/2014/main" id="{594AD579-CEBD-4CAE-ABEF-9FEFCE41B1F1}"/>
            </a:ext>
          </a:extLst>
        </xdr:cNvPr>
        <xdr:cNvSpPr txBox="1"/>
      </xdr:nvSpPr>
      <xdr:spPr>
        <a:xfrm>
          <a:off x="5793314" y="6999815"/>
          <a:ext cx="3424769" cy="1604436"/>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t>Cash flow reads the annual income tax rate from the table under </a:t>
          </a:r>
          <a:r>
            <a:rPr lang="en-US" sz="1100" baseline="0"/>
            <a:t>"ANNUAL VALUES" below. Year 1 rates </a:t>
          </a:r>
          <a:r>
            <a:rPr lang="en-US" sz="1100" baseline="0">
              <a:solidFill>
                <a:schemeClr val="dk1"/>
              </a:solidFill>
              <a:effectLst/>
              <a:latin typeface="+mn-lt"/>
              <a:ea typeface="+mn-ea"/>
              <a:cs typeface="+mn-cs"/>
            </a:rPr>
            <a:t>are shown here for reference.</a:t>
          </a:r>
          <a:endParaRPr lang="en-US">
            <a:effectLst/>
          </a:endParaRP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Installation Costs input page.</a:t>
          </a:r>
          <a:endParaRPr lang="en-US">
            <a:effectLst/>
          </a:endParaRPr>
        </a:p>
        <a:p>
          <a:endParaRPr lang="en-US" sz="1100"/>
        </a:p>
      </xdr:txBody>
    </xdr:sp>
    <xdr:clientData/>
  </xdr:twoCellAnchor>
  <xdr:twoCellAnchor>
    <xdr:from>
      <xdr:col>1</xdr:col>
      <xdr:colOff>1227665</xdr:colOff>
      <xdr:row>210</xdr:row>
      <xdr:rowOff>10585</xdr:rowOff>
    </xdr:from>
    <xdr:to>
      <xdr:col>3</xdr:col>
      <xdr:colOff>105833</xdr:colOff>
      <xdr:row>214</xdr:row>
      <xdr:rowOff>105835</xdr:rowOff>
    </xdr:to>
    <xdr:sp macro="" textlink="">
      <xdr:nvSpPr>
        <xdr:cNvPr id="7" name="TextBox 6">
          <a:extLst>
            <a:ext uri="{FF2B5EF4-FFF2-40B4-BE49-F238E27FC236}">
              <a16:creationId xmlns:a16="http://schemas.microsoft.com/office/drawing/2014/main" id="{BE977134-0C2F-4D11-AE86-EEA1A68EB043}"/>
            </a:ext>
          </a:extLst>
        </xdr:cNvPr>
        <xdr:cNvSpPr txBox="1"/>
      </xdr:nvSpPr>
      <xdr:spPr>
        <a:xfrm>
          <a:off x="1460498" y="31369002"/>
          <a:ext cx="4381502" cy="730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For the debt fraction</a:t>
          </a:r>
          <a:r>
            <a:rPr lang="en-US" sz="1100" baseline="0"/>
            <a:t> input option, debt service reserve calculations involve an iterative calculation that is not replicated in this workbook. The iteration is required because the capital cost on which the debt amount depends includes the initial debt service funding amount.</a:t>
          </a:r>
          <a:endParaRPr lang="en-US">
            <a:effectLst/>
          </a:endParaRPr>
        </a:p>
      </xdr:txBody>
    </xdr:sp>
    <xdr:clientData/>
  </xdr:twoCellAnchor>
  <xdr:twoCellAnchor>
    <xdr:from>
      <xdr:col>3</xdr:col>
      <xdr:colOff>74083</xdr:colOff>
      <xdr:row>28</xdr:row>
      <xdr:rowOff>10582</xdr:rowOff>
    </xdr:from>
    <xdr:to>
      <xdr:col>5</xdr:col>
      <xdr:colOff>27519</xdr:colOff>
      <xdr:row>39</xdr:row>
      <xdr:rowOff>137582</xdr:rowOff>
    </xdr:to>
    <xdr:sp macro="" textlink="">
      <xdr:nvSpPr>
        <xdr:cNvPr id="8" name="TextBox 7">
          <a:extLst>
            <a:ext uri="{FF2B5EF4-FFF2-40B4-BE49-F238E27FC236}">
              <a16:creationId xmlns:a16="http://schemas.microsoft.com/office/drawing/2014/main" id="{42CB5C88-220A-4D96-9650-3F8BD4C5015A}"/>
            </a:ext>
          </a:extLst>
        </xdr:cNvPr>
        <xdr:cNvSpPr txBox="1"/>
      </xdr:nvSpPr>
      <xdr:spPr>
        <a:xfrm>
          <a:off x="5810250" y="4783665"/>
          <a:ext cx="3424769" cy="1873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An IRR target value of "N/A" indicates the solution mode in SAM is "Specify PPA price."</a:t>
          </a:r>
          <a:r>
            <a:rPr lang="en-US" sz="1100" baseline="0">
              <a:solidFill>
                <a:schemeClr val="dk1"/>
              </a:solidFill>
              <a:effectLst/>
              <a:latin typeface="+mn-lt"/>
              <a:ea typeface="+mn-ea"/>
              <a:cs typeface="+mn-cs"/>
            </a:rPr>
            <a:t> </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If the PPA Price is modified by Time</a:t>
          </a:r>
          <a:r>
            <a:rPr lang="en-US" sz="1100" baseline="0"/>
            <a:t> of Delivery (TOD) multipliers, then the total PPA revenue in the cash flow is the sum of the products of PPA price ($/kWh), hourly (or subhourly) production (kWh) and TOD multiplier. The TOD multipliers do not appear in this workbook, but their effect is reflected in the annual PPA revenue row imported from SAM under"Annual Values" below.</a:t>
          </a:r>
          <a:endParaRPr lang="en-US">
            <a:effectLst/>
          </a:endParaRPr>
        </a:p>
        <a:p>
          <a:endParaRPr lang="en-US" sz="1100"/>
        </a:p>
      </xdr:txBody>
    </xdr:sp>
    <xdr:clientData/>
  </xdr:twoCellAnchor>
  <xdr:twoCellAnchor>
    <xdr:from>
      <xdr:col>6</xdr:col>
      <xdr:colOff>42334</xdr:colOff>
      <xdr:row>100</xdr:row>
      <xdr:rowOff>10582</xdr:rowOff>
    </xdr:from>
    <xdr:to>
      <xdr:col>8</xdr:col>
      <xdr:colOff>973668</xdr:colOff>
      <xdr:row>103</xdr:row>
      <xdr:rowOff>95249</xdr:rowOff>
    </xdr:to>
    <xdr:sp macro="" textlink="">
      <xdr:nvSpPr>
        <xdr:cNvPr id="9" name="TextBox 8">
          <a:extLst>
            <a:ext uri="{FF2B5EF4-FFF2-40B4-BE49-F238E27FC236}">
              <a16:creationId xmlns:a16="http://schemas.microsoft.com/office/drawing/2014/main" id="{B3DA03FA-53A9-4674-8A58-6C8E158902EC}"/>
            </a:ext>
          </a:extLst>
        </xdr:cNvPr>
        <xdr:cNvSpPr txBox="1"/>
      </xdr:nvSpPr>
      <xdr:spPr>
        <a:xfrm>
          <a:off x="11017251" y="16404165"/>
          <a:ext cx="3429000" cy="560917"/>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For ITC allocated to multiple</a:t>
          </a:r>
          <a:r>
            <a:rPr lang="en-US" sz="1100" baseline="0"/>
            <a:t> years, see "ANNUAL VALUES" below: Values here are for determining ITC reduction of depreciation basis.</a:t>
          </a:r>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Y221"/>
  <sheetViews>
    <sheetView tabSelected="1" zoomScaleNormal="100" workbookViewId="0">
      <selection activeCell="B1" sqref="B1"/>
    </sheetView>
  </sheetViews>
  <sheetFormatPr defaultColWidth="9.1328125" defaultRowHeight="13.15" x14ac:dyDescent="0.4"/>
  <cols>
    <col min="1" max="1" width="3.46484375" style="4" customWidth="1"/>
    <col min="2" max="2" width="60.6640625" style="4" customWidth="1"/>
    <col min="3" max="3" width="21.6640625" style="4" customWidth="1"/>
    <col min="4" max="4" width="18.6640625" style="4" customWidth="1"/>
    <col min="5" max="5" width="33.33203125" style="4" customWidth="1"/>
    <col min="6" max="6" width="26.46484375" style="4" customWidth="1"/>
    <col min="7" max="9" width="18.6640625" style="4" customWidth="1"/>
    <col min="10" max="12" width="25.86328125" style="4" customWidth="1"/>
    <col min="13" max="13" width="21" style="4" customWidth="1"/>
    <col min="14" max="14" width="17" style="4" customWidth="1"/>
    <col min="15" max="251" width="13.6640625" style="4" customWidth="1"/>
    <col min="252" max="16384" width="9.1328125" style="4"/>
  </cols>
  <sheetData>
    <row r="1" spans="1:48" ht="21" customHeight="1" x14ac:dyDescent="0.7">
      <c r="A1" s="248"/>
      <c r="B1" s="249" t="s">
        <v>196</v>
      </c>
      <c r="C1" s="248"/>
      <c r="D1" s="248"/>
      <c r="E1" s="248"/>
      <c r="F1" s="248"/>
      <c r="G1" s="248"/>
      <c r="H1" s="248"/>
      <c r="I1" s="248"/>
      <c r="J1" s="79"/>
      <c r="K1" s="79"/>
      <c r="L1" s="79"/>
      <c r="M1" s="79"/>
      <c r="N1" s="79"/>
    </row>
    <row r="2" spans="1:48" ht="12.75" customHeight="1" x14ac:dyDescent="0.4">
      <c r="B2" s="5" t="s">
        <v>68</v>
      </c>
      <c r="C2" s="104"/>
      <c r="D2" s="79"/>
      <c r="E2" s="80" t="s">
        <v>60</v>
      </c>
      <c r="G2" s="79"/>
      <c r="H2" s="194"/>
      <c r="J2" s="79"/>
      <c r="K2" s="79"/>
      <c r="L2" s="79"/>
      <c r="M2" s="79"/>
      <c r="N2" s="79"/>
    </row>
    <row r="3" spans="1:48" ht="12.75" customHeight="1" x14ac:dyDescent="0.4">
      <c r="B3" s="60" t="s">
        <v>160</v>
      </c>
      <c r="C3" s="105">
        <v>36007.800000000003</v>
      </c>
      <c r="D3" s="79"/>
      <c r="E3" s="33" t="s">
        <v>147</v>
      </c>
      <c r="G3" s="79"/>
      <c r="H3" s="194"/>
      <c r="I3" s="119"/>
      <c r="J3" s="79"/>
      <c r="K3" s="79"/>
      <c r="L3" s="79"/>
      <c r="M3" s="79"/>
      <c r="N3" s="79"/>
    </row>
    <row r="4" spans="1:48" ht="12.75" customHeight="1" x14ac:dyDescent="0.4">
      <c r="B4" s="1"/>
      <c r="C4" s="108"/>
      <c r="D4" s="79"/>
      <c r="E4" s="219" t="s">
        <v>148</v>
      </c>
      <c r="G4" s="79"/>
      <c r="H4" s="24"/>
      <c r="I4" s="117"/>
      <c r="J4" s="79"/>
      <c r="K4" s="79"/>
      <c r="L4" s="79"/>
      <c r="M4" s="79"/>
      <c r="N4" s="79"/>
    </row>
    <row r="5" spans="1:48" ht="12.75" customHeight="1" x14ac:dyDescent="0.4">
      <c r="B5" s="5" t="s">
        <v>67</v>
      </c>
      <c r="C5" s="107"/>
      <c r="D5" s="79"/>
      <c r="E5" s="200" t="s">
        <v>283</v>
      </c>
      <c r="I5" s="119"/>
      <c r="K5" s="79"/>
      <c r="L5" s="79"/>
      <c r="M5" s="79"/>
      <c r="N5" s="79"/>
    </row>
    <row r="6" spans="1:48" x14ac:dyDescent="0.4">
      <c r="B6" s="34" t="s">
        <v>127</v>
      </c>
      <c r="C6" s="177">
        <v>31916100</v>
      </c>
      <c r="E6" s="239" t="s">
        <v>224</v>
      </c>
      <c r="G6" s="79"/>
      <c r="H6" s="79"/>
      <c r="I6" s="79"/>
      <c r="J6" s="79"/>
      <c r="K6" s="1"/>
      <c r="M6" s="19"/>
    </row>
    <row r="7" spans="1:48" x14ac:dyDescent="0.4">
      <c r="C7" s="108"/>
      <c r="G7" s="32"/>
      <c r="H7" s="32"/>
      <c r="I7" s="32"/>
      <c r="J7" s="32"/>
      <c r="M7" s="18"/>
    </row>
    <row r="8" spans="1:48" x14ac:dyDescent="0.4">
      <c r="B8" s="5" t="s">
        <v>128</v>
      </c>
      <c r="C8" s="107"/>
      <c r="E8" s="195" t="s">
        <v>166</v>
      </c>
      <c r="F8" s="196"/>
      <c r="G8" s="154"/>
      <c r="H8" s="119"/>
      <c r="I8" s="119"/>
      <c r="J8" s="119"/>
      <c r="M8" s="89"/>
      <c r="N8" s="24"/>
    </row>
    <row r="9" spans="1:48" x14ac:dyDescent="0.4">
      <c r="B9" s="84" t="s">
        <v>129</v>
      </c>
      <c r="C9" s="102">
        <v>0</v>
      </c>
      <c r="E9" s="197" t="s">
        <v>169</v>
      </c>
      <c r="F9" s="105">
        <f>'Cash Flow'!C15</f>
        <v>8.25</v>
      </c>
      <c r="G9" s="154"/>
      <c r="H9" s="154"/>
      <c r="I9" s="180"/>
      <c r="J9" s="154"/>
      <c r="K9" s="82"/>
      <c r="M9" s="90"/>
      <c r="O9" s="83"/>
      <c r="P9" s="82"/>
      <c r="Q9" s="82"/>
      <c r="R9" s="82"/>
      <c r="S9" s="82"/>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c r="AT9" s="82"/>
      <c r="AU9" s="82"/>
      <c r="AV9" s="82"/>
    </row>
    <row r="10" spans="1:48" x14ac:dyDescent="0.4">
      <c r="B10" s="85" t="s">
        <v>152</v>
      </c>
      <c r="C10" s="103">
        <v>0</v>
      </c>
      <c r="E10" s="197" t="s">
        <v>168</v>
      </c>
      <c r="F10" s="106">
        <f>ppa_escalation</f>
        <v>0</v>
      </c>
      <c r="G10" s="119"/>
      <c r="H10" s="119"/>
      <c r="I10" s="150"/>
      <c r="J10" s="119"/>
      <c r="M10" s="89"/>
      <c r="N10" s="24"/>
    </row>
    <row r="11" spans="1:48" x14ac:dyDescent="0.4">
      <c r="B11" s="84" t="s">
        <v>375</v>
      </c>
      <c r="C11" s="102">
        <v>7.5</v>
      </c>
      <c r="E11" s="197" t="s">
        <v>222</v>
      </c>
      <c r="F11" s="106">
        <f>'Cash Flow'!B163</f>
        <v>7.2179010478155252</v>
      </c>
      <c r="G11" s="119"/>
      <c r="H11" s="119"/>
      <c r="I11" s="150"/>
      <c r="J11" s="119"/>
      <c r="M11" s="89"/>
      <c r="N11" s="24"/>
    </row>
    <row r="12" spans="1:48" x14ac:dyDescent="0.4">
      <c r="B12" s="85" t="s">
        <v>152</v>
      </c>
      <c r="C12" s="103">
        <v>0</v>
      </c>
      <c r="E12" s="197" t="s">
        <v>361</v>
      </c>
      <c r="F12" s="106">
        <f>'Cash Flow'!B159</f>
        <v>6.8050740508314469</v>
      </c>
      <c r="G12" s="119"/>
      <c r="H12" s="119"/>
      <c r="I12" s="150"/>
      <c r="J12" s="119"/>
      <c r="M12" s="89"/>
      <c r="N12" s="24"/>
    </row>
    <row r="13" spans="1:48" x14ac:dyDescent="0.4">
      <c r="B13" s="84" t="s">
        <v>130</v>
      </c>
      <c r="C13" s="102">
        <v>0</v>
      </c>
      <c r="E13" s="197" t="s">
        <v>170</v>
      </c>
      <c r="F13" s="175">
        <f>'Cash Flow'!B150</f>
        <v>1652278.9733005594</v>
      </c>
      <c r="G13" s="119"/>
      <c r="H13" s="119"/>
      <c r="I13" s="150"/>
      <c r="J13" s="119"/>
      <c r="M13" s="89"/>
      <c r="N13" s="24"/>
    </row>
    <row r="14" spans="1:48" x14ac:dyDescent="0.4">
      <c r="B14" s="35" t="s">
        <v>152</v>
      </c>
      <c r="C14" s="110">
        <v>0</v>
      </c>
      <c r="E14" s="197" t="s">
        <v>206</v>
      </c>
      <c r="F14" s="106">
        <f>HLOOKUP(IF(PPAPriceInput="Calculated",flip_target_year,F15),'Cash Flow'!B2:AP147,144)</f>
        <v>0</v>
      </c>
      <c r="G14" s="119"/>
      <c r="H14" s="119"/>
      <c r="I14" s="150"/>
      <c r="J14" s="119"/>
      <c r="M14" s="89"/>
      <c r="N14" s="24"/>
    </row>
    <row r="15" spans="1:48" ht="14.25" x14ac:dyDescent="0.45">
      <c r="B15" s="283"/>
      <c r="C15" s="284"/>
      <c r="D15" s="281"/>
      <c r="E15" s="197" t="s">
        <v>167</v>
      </c>
      <c r="F15" s="175">
        <f>'Cash Flow'!B148</f>
        <v>25</v>
      </c>
      <c r="G15" s="119"/>
      <c r="H15" s="119"/>
      <c r="I15" s="150"/>
      <c r="J15" s="119"/>
      <c r="M15" s="89"/>
      <c r="N15" s="24"/>
    </row>
    <row r="16" spans="1:48" ht="14.25" x14ac:dyDescent="0.45">
      <c r="B16" s="283"/>
      <c r="C16" s="284"/>
      <c r="D16" s="281"/>
      <c r="E16" s="197" t="s">
        <v>204</v>
      </c>
      <c r="F16" s="106">
        <f>HLOOKUP(analysis_period,'Cash Flow'!B2:AP147,135)</f>
        <v>0</v>
      </c>
      <c r="G16" s="119"/>
      <c r="H16" s="119"/>
      <c r="I16" s="150"/>
      <c r="J16" s="119"/>
      <c r="M16" s="89"/>
      <c r="N16" s="24"/>
    </row>
    <row r="17" spans="2:52" ht="14.25" x14ac:dyDescent="0.45">
      <c r="B17" s="283"/>
      <c r="C17" s="284"/>
      <c r="D17" s="281"/>
      <c r="E17" s="197" t="s">
        <v>243</v>
      </c>
      <c r="F17" s="175">
        <f>-'Cash Flow'!B113</f>
        <v>33242989.25</v>
      </c>
      <c r="G17" s="119"/>
      <c r="H17" s="119"/>
      <c r="I17" s="150"/>
      <c r="J17" s="119"/>
      <c r="M17" s="89"/>
      <c r="N17" s="24"/>
    </row>
    <row r="18" spans="2:52" ht="14.25" x14ac:dyDescent="0.45">
      <c r="B18" s="5" t="s">
        <v>335</v>
      </c>
      <c r="C18" s="107"/>
      <c r="D18" s="281"/>
      <c r="E18" s="197" t="s">
        <v>171</v>
      </c>
      <c r="F18" s="175">
        <f>F17-F19</f>
        <v>8310747.3125</v>
      </c>
      <c r="G18" s="119"/>
      <c r="H18" s="119"/>
      <c r="I18" s="150"/>
      <c r="J18" s="119"/>
      <c r="M18" s="89"/>
      <c r="N18" s="24"/>
    </row>
    <row r="19" spans="2:52" ht="14.25" x14ac:dyDescent="0.45">
      <c r="B19" s="84" t="s">
        <v>337</v>
      </c>
      <c r="C19" s="102">
        <v>129.06200000000001</v>
      </c>
      <c r="D19" s="281"/>
      <c r="E19" s="197" t="s">
        <v>244</v>
      </c>
      <c r="F19" s="175">
        <f>'Cash Flow'!B612</f>
        <v>24932241.9375</v>
      </c>
      <c r="G19" s="119"/>
      <c r="H19" s="119"/>
      <c r="I19" s="150"/>
      <c r="J19" s="119"/>
      <c r="M19" s="89"/>
      <c r="N19" s="24"/>
    </row>
    <row r="20" spans="2:52" ht="14.25" x14ac:dyDescent="0.45">
      <c r="B20" s="84" t="s">
        <v>336</v>
      </c>
      <c r="C20" s="102">
        <v>0</v>
      </c>
      <c r="D20" s="281"/>
      <c r="E20" s="34" t="s">
        <v>374</v>
      </c>
      <c r="F20" s="106">
        <f>'Cash Flow'!B632</f>
        <v>1.2608177656946398</v>
      </c>
      <c r="G20" s="119"/>
      <c r="H20" s="119"/>
      <c r="I20" s="150"/>
      <c r="J20" s="119"/>
      <c r="M20" s="89"/>
      <c r="N20" s="24"/>
    </row>
    <row r="21" spans="2:52" ht="14.25" x14ac:dyDescent="0.45">
      <c r="B21" s="84" t="s">
        <v>338</v>
      </c>
      <c r="C21" s="102">
        <v>0</v>
      </c>
      <c r="D21" s="281"/>
      <c r="E21" s="197" t="s">
        <v>364</v>
      </c>
      <c r="F21" s="296">
        <f>F19/F17*100</f>
        <v>75</v>
      </c>
      <c r="G21" s="119"/>
      <c r="H21" s="119"/>
      <c r="I21" s="150"/>
      <c r="J21" s="119"/>
      <c r="M21" s="89"/>
      <c r="N21" s="24"/>
    </row>
    <row r="22" spans="2:52" x14ac:dyDescent="0.4">
      <c r="G22" s="119"/>
      <c r="H22" s="119"/>
      <c r="I22" s="150"/>
      <c r="J22" s="119"/>
      <c r="M22" s="89"/>
      <c r="N22" s="24"/>
    </row>
    <row r="23" spans="2:52" x14ac:dyDescent="0.4">
      <c r="B23" s="216" t="s">
        <v>368</v>
      </c>
      <c r="C23" s="217"/>
      <c r="G23" s="119"/>
      <c r="H23" s="119"/>
      <c r="I23" s="150"/>
      <c r="J23" s="119"/>
      <c r="M23" s="89"/>
      <c r="N23" s="24"/>
    </row>
    <row r="24" spans="2:52" x14ac:dyDescent="0.4">
      <c r="B24" s="84" t="s">
        <v>193</v>
      </c>
      <c r="C24" s="105">
        <v>0</v>
      </c>
      <c r="G24" s="119"/>
      <c r="H24" s="119"/>
      <c r="I24" s="150"/>
      <c r="J24" s="119"/>
      <c r="M24" s="89"/>
      <c r="N24" s="24"/>
    </row>
    <row r="25" spans="2:52" x14ac:dyDescent="0.4">
      <c r="B25" s="84" t="s">
        <v>217</v>
      </c>
      <c r="C25" s="106">
        <v>0</v>
      </c>
      <c r="G25" s="119"/>
      <c r="H25" s="119"/>
      <c r="I25" s="150"/>
      <c r="J25" s="119"/>
      <c r="M25" s="89"/>
      <c r="N25" s="24"/>
    </row>
    <row r="26" spans="2:52" x14ac:dyDescent="0.4">
      <c r="B26" s="84" t="s">
        <v>194</v>
      </c>
      <c r="C26" s="102">
        <v>0</v>
      </c>
      <c r="G26" s="181"/>
      <c r="H26" s="181"/>
      <c r="I26" s="182"/>
      <c r="J26" s="181"/>
      <c r="M26" s="89"/>
      <c r="N26" s="24"/>
    </row>
    <row r="27" spans="2:52" x14ac:dyDescent="0.4">
      <c r="B27" s="84" t="s">
        <v>195</v>
      </c>
      <c r="C27" s="115">
        <v>0</v>
      </c>
      <c r="G27" s="119"/>
      <c r="H27" s="119"/>
      <c r="I27" s="150"/>
      <c r="J27" s="119"/>
      <c r="M27" s="89"/>
      <c r="N27" s="24"/>
    </row>
    <row r="28" spans="2:52" x14ac:dyDescent="0.4">
      <c r="B28" s="86"/>
      <c r="C28" s="109"/>
      <c r="G28" s="119"/>
      <c r="H28" s="119"/>
      <c r="I28" s="150"/>
      <c r="J28" s="119"/>
      <c r="M28" s="89"/>
    </row>
    <row r="29" spans="2:52" x14ac:dyDescent="0.4">
      <c r="B29" s="216" t="s">
        <v>291</v>
      </c>
      <c r="C29" s="217"/>
      <c r="G29" s="119"/>
      <c r="H29" s="119"/>
      <c r="I29" s="150"/>
      <c r="J29" s="119"/>
      <c r="M29" s="89"/>
      <c r="N29" s="88"/>
    </row>
    <row r="30" spans="2:52" x14ac:dyDescent="0.4">
      <c r="B30" s="275" t="s">
        <v>70</v>
      </c>
      <c r="C30" s="239" t="s">
        <v>363</v>
      </c>
      <c r="G30" s="119"/>
      <c r="H30" s="119"/>
      <c r="I30" s="150"/>
      <c r="J30" s="119"/>
      <c r="M30" s="89"/>
      <c r="N30" s="1"/>
    </row>
    <row r="31" spans="2:52" x14ac:dyDescent="0.4">
      <c r="B31" s="35" t="s">
        <v>71</v>
      </c>
      <c r="C31" s="276">
        <v>25</v>
      </c>
      <c r="G31" s="119"/>
      <c r="H31" s="119"/>
      <c r="I31" s="150"/>
      <c r="J31" s="119"/>
      <c r="M31" s="89"/>
      <c r="N31" s="1"/>
    </row>
    <row r="32" spans="2:52" x14ac:dyDescent="0.4">
      <c r="B32" s="275" t="s">
        <v>205</v>
      </c>
      <c r="C32" s="297">
        <v>8.2500000000000004E-2</v>
      </c>
      <c r="D32" s="4">
        <v>8.2500000000000004E-2</v>
      </c>
      <c r="E32" s="4">
        <v>8.2500000000000004E-2</v>
      </c>
      <c r="F32" s="4">
        <v>8.2500000000000004E-2</v>
      </c>
      <c r="G32" s="119">
        <v>8.2500000000000004E-2</v>
      </c>
      <c r="H32" s="119">
        <v>8.2500000000000004E-2</v>
      </c>
      <c r="I32" s="150">
        <v>8.2500000000000004E-2</v>
      </c>
      <c r="J32" s="119">
        <v>8.2500000000000004E-2</v>
      </c>
      <c r="K32" s="4">
        <v>8.2500000000000004E-2</v>
      </c>
      <c r="L32" s="4">
        <v>8.2500000000000004E-2</v>
      </c>
      <c r="M32" s="89">
        <v>4.1700000000000001E-2</v>
      </c>
      <c r="N32" s="1">
        <v>4.1700000000000001E-2</v>
      </c>
      <c r="O32" s="4">
        <v>4.1700000000000001E-2</v>
      </c>
      <c r="P32" s="4">
        <v>4.1700000000000001E-2</v>
      </c>
      <c r="Q32" s="4">
        <v>4.1700000000000001E-2</v>
      </c>
      <c r="R32" s="4">
        <v>4.1700000000000001E-2</v>
      </c>
      <c r="S32" s="4">
        <v>4.1700000000000001E-2</v>
      </c>
      <c r="T32" s="4">
        <v>4.1700000000000001E-2</v>
      </c>
      <c r="U32" s="4">
        <v>4.1700000000000001E-2</v>
      </c>
      <c r="V32" s="4">
        <v>4.1700000000000001E-2</v>
      </c>
      <c r="W32" s="4">
        <v>4.1700000000000001E-2</v>
      </c>
      <c r="X32" s="4">
        <v>4.1700000000000001E-2</v>
      </c>
      <c r="Y32" s="4">
        <v>4.1700000000000001E-2</v>
      </c>
      <c r="Z32" s="4">
        <v>4.1700000000000001E-2</v>
      </c>
      <c r="AA32" s="4">
        <v>4.1700000000000001E-2</v>
      </c>
      <c r="AB32" s="4">
        <v>4.1700000000000001E-2</v>
      </c>
      <c r="AC32" s="4">
        <v>4.1700000000000001E-2</v>
      </c>
      <c r="AD32" s="4">
        <v>4.1700000000000001E-2</v>
      </c>
      <c r="AE32" s="4">
        <v>4.1700000000000001E-2</v>
      </c>
      <c r="AF32" s="4">
        <v>4.1700000000000001E-2</v>
      </c>
      <c r="AG32" s="4">
        <v>0</v>
      </c>
      <c r="AH32" s="4">
        <v>0</v>
      </c>
      <c r="AI32" s="4">
        <v>0</v>
      </c>
      <c r="AJ32" s="4">
        <v>0</v>
      </c>
      <c r="AK32" s="4">
        <v>0</v>
      </c>
      <c r="AL32" s="4">
        <v>0</v>
      </c>
      <c r="AM32" s="4">
        <v>0</v>
      </c>
      <c r="AN32" s="4">
        <v>0</v>
      </c>
      <c r="AO32" s="4">
        <v>0</v>
      </c>
      <c r="AP32" s="4">
        <v>0</v>
      </c>
      <c r="AQ32" s="4">
        <v>0</v>
      </c>
      <c r="AR32" s="4">
        <v>0</v>
      </c>
      <c r="AS32" s="4">
        <v>0</v>
      </c>
      <c r="AT32" s="4">
        <v>0</v>
      </c>
      <c r="AU32" s="4">
        <v>0</v>
      </c>
      <c r="AV32" s="4">
        <v>0</v>
      </c>
      <c r="AW32" s="4">
        <v>0</v>
      </c>
      <c r="AX32" s="4">
        <v>0</v>
      </c>
      <c r="AY32" s="4">
        <v>0</v>
      </c>
      <c r="AZ32" s="4">
        <v>0</v>
      </c>
    </row>
    <row r="33" spans="2:14" x14ac:dyDescent="0.4">
      <c r="B33" s="35" t="s">
        <v>77</v>
      </c>
      <c r="C33" s="105">
        <v>0</v>
      </c>
      <c r="G33" s="119"/>
      <c r="H33" s="119"/>
      <c r="I33" s="150"/>
      <c r="J33" s="119"/>
      <c r="M33" s="89"/>
      <c r="N33" s="1"/>
    </row>
    <row r="34" spans="2:14" x14ac:dyDescent="0.4">
      <c r="B34" s="275" t="s">
        <v>290</v>
      </c>
      <c r="C34" s="277" t="s">
        <v>18</v>
      </c>
      <c r="G34" s="119"/>
      <c r="H34" s="119"/>
      <c r="I34" s="150"/>
      <c r="J34" s="119"/>
      <c r="M34" s="89"/>
      <c r="N34" s="1"/>
    </row>
    <row r="35" spans="2:14" x14ac:dyDescent="0.4">
      <c r="B35" s="86"/>
      <c r="C35" s="17"/>
      <c r="G35" s="119"/>
      <c r="H35" s="119"/>
      <c r="I35" s="150"/>
      <c r="J35" s="119"/>
      <c r="M35" s="89"/>
      <c r="N35" s="1"/>
    </row>
    <row r="36" spans="2:14" x14ac:dyDescent="0.4">
      <c r="B36" s="216" t="s">
        <v>69</v>
      </c>
      <c r="C36" s="217"/>
      <c r="G36" s="119"/>
      <c r="H36" s="119"/>
      <c r="I36" s="150"/>
      <c r="J36" s="119"/>
      <c r="M36" s="89"/>
      <c r="N36" s="1"/>
    </row>
    <row r="37" spans="2:14" x14ac:dyDescent="0.4">
      <c r="B37" s="223" t="s">
        <v>72</v>
      </c>
      <c r="C37" s="224"/>
      <c r="G37" s="119"/>
      <c r="H37" s="119"/>
      <c r="I37" s="150"/>
      <c r="J37" s="119"/>
      <c r="M37" s="89"/>
      <c r="N37" s="1"/>
    </row>
    <row r="38" spans="2:14" x14ac:dyDescent="0.4">
      <c r="B38" s="35" t="s">
        <v>78</v>
      </c>
      <c r="C38" s="177">
        <v>25</v>
      </c>
      <c r="G38" s="119"/>
      <c r="H38" s="119"/>
      <c r="I38" s="150"/>
      <c r="J38" s="119"/>
      <c r="M38" s="89"/>
      <c r="N38" s="1"/>
    </row>
    <row r="39" spans="2:14" x14ac:dyDescent="0.4">
      <c r="B39" s="35" t="s">
        <v>79</v>
      </c>
      <c r="C39" s="110">
        <v>2.5</v>
      </c>
      <c r="G39" s="119"/>
      <c r="H39" s="119"/>
      <c r="I39" s="150"/>
      <c r="J39" s="119"/>
      <c r="K39" s="12"/>
      <c r="M39" s="89"/>
      <c r="N39" s="1"/>
    </row>
    <row r="40" spans="2:14" x14ac:dyDescent="0.4">
      <c r="B40" s="35" t="s">
        <v>81</v>
      </c>
      <c r="C40" s="113">
        <v>10</v>
      </c>
      <c r="G40" s="183"/>
      <c r="H40" s="119"/>
      <c r="I40" s="150"/>
      <c r="J40" s="119"/>
      <c r="K40" s="29"/>
      <c r="M40" s="89"/>
      <c r="N40" s="1"/>
    </row>
    <row r="41" spans="2:14" x14ac:dyDescent="0.4">
      <c r="B41" s="35" t="s">
        <v>80</v>
      </c>
      <c r="C41" s="114">
        <f>((inflation_rate/100+1)*(real_discount_rate/100+1)-1)*100</f>
        <v>12.749999999999995</v>
      </c>
      <c r="G41" s="119"/>
      <c r="H41" s="119"/>
      <c r="I41" s="150"/>
      <c r="J41" s="119"/>
      <c r="K41" s="29"/>
      <c r="M41" s="89"/>
      <c r="N41" s="1"/>
    </row>
    <row r="42" spans="2:14" x14ac:dyDescent="0.4">
      <c r="B42" s="26" t="s">
        <v>73</v>
      </c>
      <c r="C42" s="112"/>
      <c r="G42" s="119"/>
      <c r="H42" s="119"/>
      <c r="I42" s="150"/>
      <c r="J42" s="119"/>
      <c r="M42" s="89"/>
      <c r="N42" s="1"/>
    </row>
    <row r="43" spans="2:14" x14ac:dyDescent="0.4">
      <c r="B43" s="35" t="s">
        <v>294</v>
      </c>
      <c r="C43" s="274">
        <v>0</v>
      </c>
      <c r="E43" s="193"/>
      <c r="F43" s="150"/>
      <c r="G43" s="119"/>
      <c r="H43" s="119"/>
      <c r="I43" s="150"/>
      <c r="J43" s="119"/>
      <c r="K43" s="12"/>
      <c r="M43" s="89"/>
      <c r="N43" s="1"/>
    </row>
    <row r="44" spans="2:14" x14ac:dyDescent="0.4">
      <c r="B44" s="35" t="s">
        <v>295</v>
      </c>
      <c r="C44" s="274">
        <v>0</v>
      </c>
      <c r="E44" s="193"/>
      <c r="F44" s="150"/>
      <c r="G44" s="119"/>
      <c r="H44" s="119"/>
      <c r="I44" s="150"/>
      <c r="J44" s="119"/>
      <c r="K44" s="29"/>
      <c r="M44" s="89"/>
      <c r="N44" s="1"/>
    </row>
    <row r="45" spans="2:14" x14ac:dyDescent="0.4">
      <c r="B45" s="35" t="s">
        <v>126</v>
      </c>
      <c r="C45" s="115">
        <v>11</v>
      </c>
      <c r="E45" s="193"/>
      <c r="F45" s="150"/>
      <c r="G45" s="119"/>
      <c r="H45" s="119"/>
      <c r="I45" s="150"/>
      <c r="J45" s="119"/>
      <c r="K45" s="29"/>
      <c r="M45" s="89"/>
      <c r="N45" s="1"/>
    </row>
    <row r="46" spans="2:14" x14ac:dyDescent="0.4">
      <c r="B46" s="35" t="s">
        <v>76</v>
      </c>
      <c r="C46" s="115">
        <v>1</v>
      </c>
      <c r="E46" s="179"/>
      <c r="F46" s="150"/>
      <c r="G46" s="119"/>
      <c r="H46" s="119"/>
      <c r="I46" s="150"/>
      <c r="J46" s="119"/>
      <c r="M46" s="89"/>
      <c r="N46" s="1"/>
    </row>
    <row r="47" spans="2:14" x14ac:dyDescent="0.4">
      <c r="B47" s="37" t="s">
        <v>0</v>
      </c>
      <c r="C47" s="111"/>
      <c r="E47" s="179"/>
      <c r="F47" s="150"/>
      <c r="G47" s="119"/>
      <c r="H47" s="119"/>
      <c r="I47" s="150"/>
      <c r="J47" s="119"/>
      <c r="K47" s="12"/>
      <c r="M47" s="89"/>
      <c r="N47" s="1"/>
    </row>
    <row r="48" spans="2:14" x14ac:dyDescent="0.4">
      <c r="B48" s="36" t="s">
        <v>82</v>
      </c>
      <c r="C48" s="116">
        <v>100</v>
      </c>
      <c r="E48" s="179"/>
      <c r="F48" s="150"/>
      <c r="G48" s="119"/>
      <c r="H48" s="119"/>
      <c r="I48" s="150"/>
      <c r="J48" s="119"/>
      <c r="K48" s="29"/>
      <c r="M48" s="89"/>
      <c r="N48" s="1"/>
    </row>
    <row r="49" spans="2:14" x14ac:dyDescent="0.4">
      <c r="B49" s="36" t="s">
        <v>84</v>
      </c>
      <c r="C49" s="244">
        <f>total_installed_cost*prop_tax_cost_assessed_percent/100</f>
        <v>31916100</v>
      </c>
      <c r="E49" s="179"/>
      <c r="F49" s="150"/>
      <c r="G49" s="119"/>
      <c r="H49" s="119"/>
      <c r="I49" s="150"/>
      <c r="J49" s="119"/>
      <c r="M49" s="89"/>
      <c r="N49" s="1"/>
    </row>
    <row r="50" spans="2:14" x14ac:dyDescent="0.4">
      <c r="B50" s="36" t="s">
        <v>83</v>
      </c>
      <c r="C50" s="115">
        <v>0</v>
      </c>
      <c r="E50" s="179"/>
      <c r="F50" s="150"/>
      <c r="G50" s="119"/>
      <c r="H50" s="119"/>
      <c r="I50" s="150"/>
      <c r="J50" s="119"/>
      <c r="K50" s="1"/>
      <c r="M50" s="89"/>
      <c r="N50" s="1"/>
    </row>
    <row r="51" spans="2:14" x14ac:dyDescent="0.4">
      <c r="B51" s="36" t="s">
        <v>85</v>
      </c>
      <c r="C51" s="115">
        <v>0</v>
      </c>
      <c r="E51" s="179"/>
      <c r="F51" s="150"/>
      <c r="G51" s="119"/>
      <c r="H51" s="119"/>
      <c r="I51" s="150"/>
      <c r="J51" s="119"/>
      <c r="M51" s="89"/>
      <c r="N51" s="1"/>
    </row>
    <row r="52" spans="2:14" x14ac:dyDescent="0.4">
      <c r="B52" s="26" t="s">
        <v>42</v>
      </c>
      <c r="C52" s="111"/>
      <c r="E52" s="179"/>
      <c r="F52" s="150"/>
      <c r="G52" s="119"/>
      <c r="H52" s="119"/>
      <c r="I52" s="150"/>
      <c r="J52" s="119"/>
      <c r="M52" s="89"/>
      <c r="N52" s="1"/>
    </row>
    <row r="53" spans="2:14" x14ac:dyDescent="0.4">
      <c r="B53" s="34" t="s">
        <v>150</v>
      </c>
      <c r="C53" s="110">
        <v>20</v>
      </c>
      <c r="E53" s="179"/>
      <c r="F53" s="150"/>
      <c r="G53" s="119"/>
      <c r="H53" s="119"/>
      <c r="I53" s="150"/>
      <c r="J53" s="119"/>
      <c r="M53" s="89"/>
      <c r="N53" s="1"/>
    </row>
    <row r="54" spans="2:14" x14ac:dyDescent="0.4">
      <c r="B54" s="34" t="s">
        <v>149</v>
      </c>
      <c r="C54" s="244">
        <f>total_installed_cost*salvage_percentage/100</f>
        <v>6383220</v>
      </c>
      <c r="G54" s="119"/>
      <c r="H54" s="119"/>
      <c r="I54" s="150"/>
      <c r="J54" s="119"/>
      <c r="M54" s="89"/>
      <c r="N54" s="1"/>
    </row>
    <row r="55" spans="2:14" x14ac:dyDescent="0.4">
      <c r="C55" s="117"/>
      <c r="I55" s="19"/>
      <c r="M55" s="89"/>
      <c r="N55" s="1"/>
    </row>
    <row r="56" spans="2:14" ht="13.5" thickBot="1" x14ac:dyDescent="0.45">
      <c r="B56" s="216" t="s">
        <v>89</v>
      </c>
      <c r="C56" s="217"/>
      <c r="I56" s="19"/>
      <c r="M56" s="89"/>
      <c r="N56" s="1"/>
    </row>
    <row r="57" spans="2:14" x14ac:dyDescent="0.4">
      <c r="B57" s="264" t="s">
        <v>251</v>
      </c>
      <c r="C57" s="265"/>
      <c r="I57" s="19"/>
      <c r="M57" s="89"/>
      <c r="N57" s="1"/>
    </row>
    <row r="58" spans="2:14" x14ac:dyDescent="0.4">
      <c r="B58" s="240" t="s">
        <v>359</v>
      </c>
      <c r="C58" s="241" t="s">
        <v>147</v>
      </c>
      <c r="I58" s="19"/>
      <c r="M58" s="89"/>
      <c r="N58" s="1"/>
    </row>
    <row r="59" spans="2:14" x14ac:dyDescent="0.4">
      <c r="B59" s="240" t="s">
        <v>362</v>
      </c>
      <c r="C59" s="241" t="s">
        <v>363</v>
      </c>
      <c r="I59" s="19"/>
      <c r="M59" s="89"/>
      <c r="N59" s="1"/>
    </row>
    <row r="60" spans="2:14" x14ac:dyDescent="0.4">
      <c r="B60" s="240" t="s">
        <v>356</v>
      </c>
      <c r="C60" s="241">
        <v>1.42</v>
      </c>
      <c r="I60" s="19"/>
      <c r="M60" s="89"/>
      <c r="N60" s="1"/>
    </row>
    <row r="61" spans="2:14" x14ac:dyDescent="0.4">
      <c r="B61" s="293" t="s">
        <v>357</v>
      </c>
      <c r="C61" s="241" t="s">
        <v>17</v>
      </c>
      <c r="I61" s="19"/>
      <c r="M61" s="89"/>
      <c r="N61" s="1"/>
    </row>
    <row r="62" spans="2:14" x14ac:dyDescent="0.4">
      <c r="B62" s="293" t="s">
        <v>360</v>
      </c>
      <c r="C62" s="294">
        <v>75</v>
      </c>
      <c r="I62" s="19"/>
      <c r="M62" s="89"/>
      <c r="N62" s="1"/>
    </row>
    <row r="63" spans="2:14" ht="13.5" thickBot="1" x14ac:dyDescent="0.45">
      <c r="B63" s="242" t="s">
        <v>355</v>
      </c>
      <c r="C63" s="243" t="s">
        <v>253</v>
      </c>
      <c r="I63" s="19"/>
      <c r="M63" s="89"/>
      <c r="N63" s="1"/>
    </row>
    <row r="64" spans="2:14" x14ac:dyDescent="0.4">
      <c r="B64" s="223" t="s">
        <v>223</v>
      </c>
      <c r="C64" s="218"/>
      <c r="E64" s="117"/>
      <c r="I64" s="19"/>
      <c r="M64" s="89"/>
      <c r="N64" s="1"/>
    </row>
    <row r="65" spans="2:14" x14ac:dyDescent="0.4">
      <c r="B65" s="35" t="s">
        <v>90</v>
      </c>
      <c r="C65" s="177">
        <v>18</v>
      </c>
      <c r="D65" s="81"/>
      <c r="E65" s="117"/>
      <c r="I65" s="19"/>
      <c r="M65" s="89"/>
      <c r="N65" s="1"/>
    </row>
    <row r="66" spans="2:14" x14ac:dyDescent="0.4">
      <c r="B66" s="35" t="s">
        <v>252</v>
      </c>
      <c r="C66" s="177">
        <v>0</v>
      </c>
      <c r="D66" s="81"/>
      <c r="E66" s="117"/>
      <c r="I66" s="19"/>
      <c r="M66" s="89"/>
      <c r="N66" s="1"/>
    </row>
    <row r="67" spans="2:14" x14ac:dyDescent="0.4">
      <c r="B67" s="35" t="s">
        <v>91</v>
      </c>
      <c r="C67" s="115">
        <v>5</v>
      </c>
      <c r="D67" s="81"/>
      <c r="E67" s="117"/>
      <c r="I67" s="19"/>
      <c r="M67" s="89"/>
      <c r="N67" s="1"/>
    </row>
    <row r="68" spans="2:14" x14ac:dyDescent="0.4">
      <c r="B68" s="35" t="s">
        <v>92</v>
      </c>
      <c r="C68" s="105">
        <v>0</v>
      </c>
      <c r="D68" s="81"/>
      <c r="E68" s="154"/>
      <c r="I68" s="19"/>
      <c r="M68" s="89"/>
      <c r="N68" s="1"/>
    </row>
    <row r="69" spans="2:14" x14ac:dyDescent="0.4">
      <c r="B69" s="35" t="s">
        <v>93</v>
      </c>
      <c r="C69" s="115">
        <v>2.75</v>
      </c>
      <c r="D69" s="81"/>
      <c r="E69" s="154"/>
      <c r="I69" s="19"/>
      <c r="M69" s="89"/>
      <c r="N69" s="1"/>
    </row>
    <row r="70" spans="2:14" x14ac:dyDescent="0.4">
      <c r="B70" s="35" t="s">
        <v>228</v>
      </c>
      <c r="C70" s="200">
        <v>608777</v>
      </c>
      <c r="D70" s="24"/>
      <c r="I70" s="19"/>
      <c r="M70" s="89"/>
      <c r="N70" s="1"/>
    </row>
    <row r="71" spans="2:14" x14ac:dyDescent="0.4">
      <c r="C71" s="98"/>
      <c r="I71" s="19"/>
      <c r="M71" s="89"/>
      <c r="N71" s="1"/>
    </row>
    <row r="72" spans="2:14" x14ac:dyDescent="0.4">
      <c r="B72" s="5" t="s">
        <v>94</v>
      </c>
      <c r="C72" s="99"/>
      <c r="I72" s="19"/>
      <c r="M72" s="89"/>
      <c r="N72" s="1"/>
    </row>
    <row r="73" spans="2:14" x14ac:dyDescent="0.4">
      <c r="B73" s="34" t="s">
        <v>440</v>
      </c>
      <c r="C73" s="100">
        <v>0</v>
      </c>
      <c r="I73" s="19"/>
      <c r="M73" s="89"/>
      <c r="N73" s="1"/>
    </row>
    <row r="74" spans="2:14" x14ac:dyDescent="0.4">
      <c r="C74" s="98"/>
      <c r="I74" s="19"/>
      <c r="M74" s="89"/>
      <c r="N74" s="1"/>
    </row>
    <row r="75" spans="2:14" x14ac:dyDescent="0.4">
      <c r="B75" s="5" t="s">
        <v>106</v>
      </c>
      <c r="C75" s="99"/>
      <c r="M75" s="89"/>
      <c r="N75" s="1"/>
    </row>
    <row r="76" spans="2:14" x14ac:dyDescent="0.4">
      <c r="B76" s="34" t="s">
        <v>151</v>
      </c>
      <c r="C76" s="100">
        <v>718113</v>
      </c>
      <c r="M76" s="89"/>
      <c r="N76" s="1"/>
    </row>
    <row r="77" spans="2:14" x14ac:dyDescent="0.4">
      <c r="C77" s="101"/>
      <c r="M77" s="89"/>
      <c r="N77" s="1"/>
    </row>
    <row r="78" spans="2:14" x14ac:dyDescent="0.4">
      <c r="B78" s="5" t="s">
        <v>187</v>
      </c>
      <c r="C78" s="7"/>
      <c r="D78" s="7"/>
      <c r="E78" s="7"/>
      <c r="F78" s="7"/>
      <c r="G78" s="7"/>
      <c r="H78" s="7"/>
      <c r="I78" s="6"/>
      <c r="M78" s="89"/>
      <c r="N78" s="1"/>
    </row>
    <row r="79" spans="2:14" ht="26.25" x14ac:dyDescent="0.4">
      <c r="B79" s="34"/>
      <c r="C79" s="214" t="s">
        <v>100</v>
      </c>
      <c r="D79" s="213" t="s">
        <v>101</v>
      </c>
      <c r="E79" s="213" t="s">
        <v>102</v>
      </c>
      <c r="F79" s="213" t="s">
        <v>103</v>
      </c>
      <c r="G79" s="213" t="s">
        <v>25</v>
      </c>
      <c r="H79" s="213" t="s">
        <v>26</v>
      </c>
      <c r="I79" s="213" t="s">
        <v>104</v>
      </c>
      <c r="M79" s="89"/>
      <c r="N79" s="1"/>
    </row>
    <row r="80" spans="2:14" x14ac:dyDescent="0.4">
      <c r="B80" s="34" t="s">
        <v>95</v>
      </c>
      <c r="C80" s="184">
        <v>100</v>
      </c>
      <c r="D80" s="186">
        <v>1</v>
      </c>
      <c r="E80" s="153">
        <v>6</v>
      </c>
      <c r="F80" s="189">
        <v>5</v>
      </c>
      <c r="G80" s="184">
        <f>C80/100*total_installed_cost</f>
        <v>31916100</v>
      </c>
      <c r="H80" s="184">
        <f>G80*F80/100*E80/12*0.5</f>
        <v>398951.25</v>
      </c>
      <c r="I80" s="184">
        <f>H80+D80/100*G80</f>
        <v>718112.25</v>
      </c>
      <c r="M80" s="89"/>
      <c r="N80" s="1"/>
    </row>
    <row r="81" spans="2:14" x14ac:dyDescent="0.4">
      <c r="B81" s="34" t="s">
        <v>96</v>
      </c>
      <c r="C81" s="184">
        <v>0</v>
      </c>
      <c r="D81" s="186">
        <v>0</v>
      </c>
      <c r="E81" s="153">
        <v>0</v>
      </c>
      <c r="F81" s="189">
        <v>0</v>
      </c>
      <c r="G81" s="184">
        <f>C81/100*total_installed_cost</f>
        <v>0</v>
      </c>
      <c r="H81" s="184">
        <f>G81*F81/100*E81/12*0.5</f>
        <v>0</v>
      </c>
      <c r="I81" s="184">
        <f t="shared" ref="I81:I84" si="0">H81+D81/100*G81</f>
        <v>0</v>
      </c>
      <c r="M81" s="89"/>
      <c r="N81" s="1"/>
    </row>
    <row r="82" spans="2:14" x14ac:dyDescent="0.4">
      <c r="B82" s="34" t="s">
        <v>97</v>
      </c>
      <c r="C82" s="184">
        <v>0</v>
      </c>
      <c r="D82" s="186">
        <v>0</v>
      </c>
      <c r="E82" s="153">
        <v>0</v>
      </c>
      <c r="F82" s="189">
        <v>0</v>
      </c>
      <c r="G82" s="184">
        <f>C82/100*total_installed_cost</f>
        <v>0</v>
      </c>
      <c r="H82" s="184">
        <f>G82*F82/100*E82/12*0.5</f>
        <v>0</v>
      </c>
      <c r="I82" s="184">
        <f t="shared" si="0"/>
        <v>0</v>
      </c>
      <c r="M82" s="89"/>
      <c r="N82" s="1"/>
    </row>
    <row r="83" spans="2:14" x14ac:dyDescent="0.4">
      <c r="B83" s="34" t="s">
        <v>98</v>
      </c>
      <c r="C83" s="184">
        <v>0</v>
      </c>
      <c r="D83" s="186">
        <v>0</v>
      </c>
      <c r="E83" s="153">
        <v>0</v>
      </c>
      <c r="F83" s="189">
        <v>0</v>
      </c>
      <c r="G83" s="184">
        <f>C83/100*total_installed_cost</f>
        <v>0</v>
      </c>
      <c r="H83" s="184">
        <f>G83*F83/100*E83/12*0.5</f>
        <v>0</v>
      </c>
      <c r="I83" s="184">
        <f t="shared" si="0"/>
        <v>0</v>
      </c>
      <c r="M83" s="89"/>
      <c r="N83" s="1"/>
    </row>
    <row r="84" spans="2:14" x14ac:dyDescent="0.4">
      <c r="B84" s="34" t="s">
        <v>99</v>
      </c>
      <c r="C84" s="185">
        <v>0</v>
      </c>
      <c r="D84" s="187">
        <v>0</v>
      </c>
      <c r="E84" s="188">
        <v>0</v>
      </c>
      <c r="F84" s="190">
        <v>0</v>
      </c>
      <c r="G84" s="184">
        <f>C84/100*total_installed_cost</f>
        <v>0</v>
      </c>
      <c r="H84" s="184">
        <f>G84*F84/100*E84/12*0.5</f>
        <v>0</v>
      </c>
      <c r="I84" s="184">
        <f t="shared" si="0"/>
        <v>0</v>
      </c>
      <c r="M84" s="89"/>
      <c r="N84" s="1"/>
    </row>
    <row r="85" spans="2:14" x14ac:dyDescent="0.4">
      <c r="B85" s="38" t="s">
        <v>105</v>
      </c>
      <c r="C85" s="39"/>
      <c r="D85" s="27"/>
      <c r="E85" s="27"/>
      <c r="F85" s="40"/>
      <c r="G85" s="41">
        <f>SUM(G80:G84)</f>
        <v>31916100</v>
      </c>
      <c r="H85" s="42">
        <f>SUM(H80:H84)</f>
        <v>398951.25</v>
      </c>
      <c r="I85" s="43">
        <f>SUM(I80:I84)</f>
        <v>718112.25</v>
      </c>
      <c r="M85" s="89"/>
      <c r="N85" s="1"/>
    </row>
    <row r="86" spans="2:14" x14ac:dyDescent="0.4">
      <c r="C86" s="101"/>
      <c r="M86" s="89"/>
      <c r="N86" s="1"/>
    </row>
    <row r="87" spans="2:14" x14ac:dyDescent="0.4">
      <c r="B87" s="5" t="s">
        <v>107</v>
      </c>
      <c r="C87" s="7"/>
      <c r="D87" s="7"/>
      <c r="E87" s="7"/>
      <c r="F87" s="155"/>
      <c r="M87" s="89"/>
      <c r="N87" s="1"/>
    </row>
    <row r="88" spans="2:14" x14ac:dyDescent="0.4">
      <c r="B88" s="34" t="s">
        <v>108</v>
      </c>
      <c r="C88" s="118">
        <v>0</v>
      </c>
      <c r="F88" s="155"/>
      <c r="M88" s="89"/>
      <c r="N88" s="1"/>
    </row>
    <row r="89" spans="2:14" x14ac:dyDescent="0.4">
      <c r="B89" s="34" t="s">
        <v>117</v>
      </c>
      <c r="C89" s="118">
        <v>0</v>
      </c>
      <c r="F89" s="155"/>
      <c r="M89" s="89"/>
      <c r="N89" s="1"/>
    </row>
    <row r="90" spans="2:14" x14ac:dyDescent="0.4">
      <c r="B90" s="9" t="s">
        <v>109</v>
      </c>
      <c r="C90" s="118">
        <v>0</v>
      </c>
      <c r="F90" s="155"/>
      <c r="M90" s="89"/>
      <c r="N90" s="1"/>
    </row>
    <row r="91" spans="2:14" x14ac:dyDescent="0.4">
      <c r="B91" s="9" t="s">
        <v>372</v>
      </c>
      <c r="C91" s="118">
        <v>0</v>
      </c>
      <c r="F91" s="155"/>
      <c r="M91" s="89"/>
      <c r="N91" s="1"/>
    </row>
    <row r="92" spans="2:14" x14ac:dyDescent="0.4">
      <c r="B92" s="34" t="s">
        <v>110</v>
      </c>
      <c r="C92" s="96" t="s">
        <v>159</v>
      </c>
      <c r="D92" s="213" t="s">
        <v>114</v>
      </c>
      <c r="E92" s="226" t="s">
        <v>115</v>
      </c>
      <c r="F92" s="155"/>
      <c r="M92" s="89"/>
      <c r="N92" s="1"/>
    </row>
    <row r="93" spans="2:14" x14ac:dyDescent="0.4">
      <c r="B93" s="47" t="s">
        <v>111</v>
      </c>
      <c r="C93" s="118">
        <v>0</v>
      </c>
      <c r="D93" s="244">
        <f>C93*system_capacity*1000</f>
        <v>0</v>
      </c>
      <c r="E93" s="227">
        <v>0</v>
      </c>
      <c r="F93" s="155"/>
      <c r="M93" s="89"/>
      <c r="N93" s="1"/>
    </row>
    <row r="94" spans="2:14" x14ac:dyDescent="0.4">
      <c r="B94" s="35" t="s">
        <v>113</v>
      </c>
      <c r="C94" s="118">
        <v>0</v>
      </c>
      <c r="D94" s="244">
        <f>C94*system_capacity*1000</f>
        <v>0</v>
      </c>
      <c r="E94" s="227">
        <v>0</v>
      </c>
      <c r="F94" s="155"/>
      <c r="M94" s="89"/>
      <c r="N94" s="1"/>
    </row>
    <row r="95" spans="2:14" x14ac:dyDescent="0.4">
      <c r="B95" s="57" t="s">
        <v>112</v>
      </c>
      <c r="C95" s="118">
        <v>0</v>
      </c>
      <c r="D95" s="244">
        <f>C95*system_capacity*1000</f>
        <v>0</v>
      </c>
      <c r="E95" s="227">
        <v>0</v>
      </c>
      <c r="F95" s="155"/>
      <c r="M95" s="89"/>
      <c r="N95" s="1"/>
    </row>
    <row r="96" spans="2:14" x14ac:dyDescent="0.4">
      <c r="B96" s="37" t="s">
        <v>116</v>
      </c>
      <c r="C96" s="28"/>
      <c r="D96" s="191"/>
      <c r="E96" s="191"/>
      <c r="F96" s="155"/>
      <c r="M96" s="89"/>
      <c r="N96" s="1"/>
    </row>
    <row r="97" spans="2:14" x14ac:dyDescent="0.4">
      <c r="B97" s="45" t="s">
        <v>4</v>
      </c>
      <c r="C97" s="225" t="s">
        <v>40</v>
      </c>
      <c r="D97" s="155"/>
      <c r="F97" s="155"/>
      <c r="M97" s="89"/>
      <c r="N97" s="1"/>
    </row>
    <row r="98" spans="2:14" x14ac:dyDescent="0.4">
      <c r="B98" s="45" t="s">
        <v>5</v>
      </c>
      <c r="C98" s="225" t="s">
        <v>40</v>
      </c>
      <c r="D98" s="228"/>
      <c r="E98" s="229"/>
      <c r="F98" s="155"/>
      <c r="M98" s="89"/>
      <c r="N98" s="1"/>
    </row>
    <row r="99" spans="2:14" x14ac:dyDescent="0.4">
      <c r="M99" s="89"/>
      <c r="N99" s="1"/>
    </row>
    <row r="100" spans="2:14" x14ac:dyDescent="0.4">
      <c r="B100" s="5" t="s">
        <v>118</v>
      </c>
      <c r="C100" s="7"/>
      <c r="D100" s="7"/>
      <c r="E100" s="7"/>
      <c r="F100" s="6"/>
      <c r="M100" s="89"/>
      <c r="N100" s="1"/>
    </row>
    <row r="101" spans="2:14" x14ac:dyDescent="0.4">
      <c r="B101" s="26" t="s">
        <v>2</v>
      </c>
      <c r="C101" s="27"/>
      <c r="D101" s="48"/>
      <c r="E101" s="333" t="s">
        <v>216</v>
      </c>
      <c r="F101" s="334"/>
      <c r="M101" s="89"/>
      <c r="N101" s="1"/>
    </row>
    <row r="102" spans="2:14" x14ac:dyDescent="0.4">
      <c r="B102" s="47" t="s">
        <v>120</v>
      </c>
      <c r="C102" s="8" t="s">
        <v>184</v>
      </c>
      <c r="D102" s="56"/>
      <c r="E102" s="213" t="s">
        <v>4</v>
      </c>
      <c r="F102" s="213" t="s">
        <v>5</v>
      </c>
      <c r="M102" s="89"/>
      <c r="N102" s="1"/>
    </row>
    <row r="103" spans="2:14" x14ac:dyDescent="0.4">
      <c r="B103" s="46" t="s">
        <v>121</v>
      </c>
      <c r="C103" s="138">
        <f>SUM(D175:AQ175)</f>
        <v>0</v>
      </c>
      <c r="D103" s="30"/>
      <c r="E103" s="10" t="s">
        <v>18</v>
      </c>
      <c r="F103" s="10" t="s">
        <v>18</v>
      </c>
      <c r="M103" s="89"/>
      <c r="N103" s="1"/>
    </row>
    <row r="104" spans="2:14" x14ac:dyDescent="0.4">
      <c r="B104" s="46" t="s">
        <v>122</v>
      </c>
      <c r="C104" s="138">
        <f>SUM(D176:AQ176)</f>
        <v>0</v>
      </c>
      <c r="D104" s="49"/>
      <c r="E104" s="55" t="s">
        <v>18</v>
      </c>
      <c r="F104" s="52" t="s">
        <v>18</v>
      </c>
      <c r="M104" s="89"/>
      <c r="N104" s="1"/>
    </row>
    <row r="105" spans="2:14" x14ac:dyDescent="0.4">
      <c r="B105" s="45" t="s">
        <v>125</v>
      </c>
      <c r="C105" s="10" t="s">
        <v>7</v>
      </c>
      <c r="D105" s="13" t="s">
        <v>144</v>
      </c>
      <c r="E105" s="53"/>
      <c r="F105" s="51"/>
      <c r="M105" s="89"/>
      <c r="N105" s="1"/>
    </row>
    <row r="106" spans="2:14" x14ac:dyDescent="0.4">
      <c r="B106" s="46" t="s">
        <v>123</v>
      </c>
      <c r="C106" s="96">
        <f>SUM(D177:AQ177)</f>
        <v>0</v>
      </c>
      <c r="D106" s="44">
        <f>SUM(D178:AQ178)</f>
        <v>2.4999999999999998E+39</v>
      </c>
      <c r="E106" s="50" t="s">
        <v>18</v>
      </c>
      <c r="F106" s="50" t="s">
        <v>18</v>
      </c>
      <c r="M106" s="89"/>
      <c r="N106" s="1"/>
    </row>
    <row r="107" spans="2:14" ht="13.5" thickBot="1" x14ac:dyDescent="0.45">
      <c r="B107" s="74" t="s">
        <v>124</v>
      </c>
      <c r="C107" s="263">
        <f>SUM(D179:AQ179)</f>
        <v>30</v>
      </c>
      <c r="D107" s="238">
        <f>SUM(D180:AQ180)</f>
        <v>2.4999999999999998E+39</v>
      </c>
      <c r="E107" s="61" t="s">
        <v>18</v>
      </c>
      <c r="F107" s="61" t="s">
        <v>17</v>
      </c>
      <c r="M107" s="89"/>
      <c r="N107" s="1"/>
    </row>
    <row r="108" spans="2:14" x14ac:dyDescent="0.4">
      <c r="B108" s="75" t="s">
        <v>6</v>
      </c>
      <c r="C108" s="261" t="s">
        <v>9</v>
      </c>
      <c r="D108" s="262" t="s">
        <v>185</v>
      </c>
      <c r="E108" s="13" t="s">
        <v>183</v>
      </c>
      <c r="F108" s="155"/>
      <c r="M108" s="89"/>
      <c r="N108" s="1"/>
    </row>
    <row r="109" spans="2:14" x14ac:dyDescent="0.4">
      <c r="B109" s="45" t="s">
        <v>4</v>
      </c>
      <c r="C109" s="298">
        <v>0</v>
      </c>
      <c r="D109" s="139">
        <v>10</v>
      </c>
      <c r="E109" s="260">
        <v>0</v>
      </c>
      <c r="F109" s="155"/>
      <c r="M109" s="89"/>
      <c r="N109" s="1"/>
    </row>
    <row r="110" spans="2:14" x14ac:dyDescent="0.4">
      <c r="B110" s="45" t="s">
        <v>5</v>
      </c>
      <c r="C110" s="298">
        <v>0</v>
      </c>
      <c r="D110" s="139">
        <v>10</v>
      </c>
      <c r="E110" s="260">
        <v>0</v>
      </c>
      <c r="F110" s="155"/>
      <c r="M110" s="89"/>
      <c r="N110" s="1"/>
    </row>
    <row r="111" spans="2:14" x14ac:dyDescent="0.4">
      <c r="B111" s="21"/>
      <c r="C111" s="11"/>
      <c r="D111" s="12"/>
      <c r="M111" s="89"/>
      <c r="N111" s="1"/>
    </row>
    <row r="112" spans="2:14" x14ac:dyDescent="0.4">
      <c r="B112" s="216" t="s">
        <v>119</v>
      </c>
      <c r="C112" s="232"/>
      <c r="D112" s="232"/>
      <c r="E112" s="232"/>
      <c r="F112" s="232"/>
      <c r="G112" s="232"/>
      <c r="H112" s="233"/>
      <c r="I112" s="32"/>
      <c r="M112" s="89"/>
    </row>
    <row r="113" spans="2:14" x14ac:dyDescent="0.4">
      <c r="B113" s="26" t="s">
        <v>16</v>
      </c>
      <c r="C113" s="27"/>
      <c r="D113" s="27"/>
      <c r="E113" s="66"/>
      <c r="F113" s="66"/>
      <c r="G113" s="66"/>
      <c r="H113" s="51"/>
      <c r="M113" s="89"/>
    </row>
    <row r="114" spans="2:14" x14ac:dyDescent="0.4">
      <c r="B114" s="71" t="s">
        <v>120</v>
      </c>
      <c r="C114" s="8" t="s">
        <v>184</v>
      </c>
      <c r="D114" s="230"/>
      <c r="E114" s="54" t="s">
        <v>208</v>
      </c>
      <c r="F114" s="50" t="s">
        <v>209</v>
      </c>
      <c r="G114" s="50" t="s">
        <v>210</v>
      </c>
      <c r="H114" s="50" t="s">
        <v>211</v>
      </c>
      <c r="K114" s="65"/>
      <c r="M114" s="89"/>
      <c r="N114" s="65"/>
    </row>
    <row r="115" spans="2:14" x14ac:dyDescent="0.4">
      <c r="B115" s="46" t="s">
        <v>121</v>
      </c>
      <c r="C115" s="140">
        <v>0</v>
      </c>
      <c r="D115" s="231"/>
      <c r="E115" s="62" t="s">
        <v>18</v>
      </c>
      <c r="F115" s="62" t="s">
        <v>18</v>
      </c>
      <c r="G115" s="10" t="s">
        <v>18</v>
      </c>
      <c r="H115" s="10" t="s">
        <v>18</v>
      </c>
      <c r="M115" s="89"/>
    </row>
    <row r="116" spans="2:14" x14ac:dyDescent="0.4">
      <c r="B116" s="46" t="s">
        <v>122</v>
      </c>
      <c r="C116" s="140">
        <v>0</v>
      </c>
      <c r="D116" s="231"/>
      <c r="E116" s="62" t="s">
        <v>18</v>
      </c>
      <c r="F116" s="62" t="s">
        <v>18</v>
      </c>
      <c r="G116" s="10" t="s">
        <v>18</v>
      </c>
      <c r="H116" s="10" t="s">
        <v>18</v>
      </c>
      <c r="M116" s="89"/>
    </row>
    <row r="117" spans="2:14" x14ac:dyDescent="0.4">
      <c r="B117" s="46" t="s">
        <v>131</v>
      </c>
      <c r="C117" s="140">
        <v>0</v>
      </c>
      <c r="D117" s="231"/>
      <c r="E117" s="62" t="s">
        <v>18</v>
      </c>
      <c r="F117" s="62" t="s">
        <v>18</v>
      </c>
      <c r="G117" s="62" t="s">
        <v>18</v>
      </c>
      <c r="H117" s="10" t="s">
        <v>18</v>
      </c>
      <c r="M117" s="89"/>
    </row>
    <row r="118" spans="2:14" x14ac:dyDescent="0.4">
      <c r="B118" s="72" t="s">
        <v>132</v>
      </c>
      <c r="C118" s="141">
        <v>0</v>
      </c>
      <c r="D118" s="231"/>
      <c r="E118" s="62" t="s">
        <v>18</v>
      </c>
      <c r="F118" s="62" t="s">
        <v>18</v>
      </c>
      <c r="G118" s="52" t="s">
        <v>18</v>
      </c>
      <c r="H118" s="52" t="s">
        <v>18</v>
      </c>
      <c r="M118" s="89"/>
    </row>
    <row r="119" spans="2:14" x14ac:dyDescent="0.4">
      <c r="B119" s="45" t="s">
        <v>125</v>
      </c>
      <c r="C119" s="63" t="s">
        <v>7</v>
      </c>
      <c r="D119" s="10" t="s">
        <v>144</v>
      </c>
      <c r="E119" s="64"/>
      <c r="F119" s="67"/>
      <c r="G119" s="67"/>
      <c r="H119" s="62"/>
      <c r="I119" s="32"/>
      <c r="K119" s="1"/>
      <c r="M119" s="89"/>
      <c r="N119" s="1"/>
    </row>
    <row r="120" spans="2:14" x14ac:dyDescent="0.4">
      <c r="B120" s="46" t="s">
        <v>123</v>
      </c>
      <c r="C120" s="96">
        <v>0</v>
      </c>
      <c r="D120" s="44">
        <v>9.9999999999999998E+37</v>
      </c>
      <c r="E120" s="62" t="s">
        <v>18</v>
      </c>
      <c r="F120" s="62" t="s">
        <v>18</v>
      </c>
      <c r="G120" s="10" t="s">
        <v>18</v>
      </c>
      <c r="H120" s="62" t="s">
        <v>18</v>
      </c>
      <c r="M120" s="1"/>
    </row>
    <row r="121" spans="2:14" x14ac:dyDescent="0.4">
      <c r="B121" s="46" t="s">
        <v>124</v>
      </c>
      <c r="C121" s="96">
        <v>0</v>
      </c>
      <c r="D121" s="44">
        <v>9.9999999999999998E+37</v>
      </c>
      <c r="E121" s="62" t="s">
        <v>18</v>
      </c>
      <c r="F121" s="62" t="s">
        <v>18</v>
      </c>
      <c r="G121" s="10" t="s">
        <v>18</v>
      </c>
      <c r="H121" s="10" t="s">
        <v>18</v>
      </c>
      <c r="M121" s="1"/>
    </row>
    <row r="122" spans="2:14" x14ac:dyDescent="0.4">
      <c r="B122" s="46" t="s">
        <v>133</v>
      </c>
      <c r="C122" s="96">
        <v>0</v>
      </c>
      <c r="D122" s="44">
        <v>9.9999999999999998E+37</v>
      </c>
      <c r="E122" s="62" t="s">
        <v>18</v>
      </c>
      <c r="F122" s="62" t="s">
        <v>18</v>
      </c>
      <c r="G122" s="10" t="s">
        <v>18</v>
      </c>
      <c r="H122" s="10" t="s">
        <v>18</v>
      </c>
      <c r="M122" s="1"/>
    </row>
    <row r="123" spans="2:14" ht="13.5" thickBot="1" x14ac:dyDescent="0.45">
      <c r="B123" s="74" t="s">
        <v>134</v>
      </c>
      <c r="C123" s="142">
        <v>0</v>
      </c>
      <c r="D123" s="238">
        <v>9.9999999999999998E+37</v>
      </c>
      <c r="E123" s="61" t="s">
        <v>18</v>
      </c>
      <c r="F123" s="237" t="s">
        <v>18</v>
      </c>
      <c r="G123" s="61" t="s">
        <v>18</v>
      </c>
      <c r="H123" s="61" t="s">
        <v>18</v>
      </c>
      <c r="M123" s="1"/>
    </row>
    <row r="124" spans="2:14" x14ac:dyDescent="0.4">
      <c r="B124" s="73" t="s">
        <v>33</v>
      </c>
      <c r="C124" s="70" t="s">
        <v>139</v>
      </c>
      <c r="D124" s="50" t="s">
        <v>144</v>
      </c>
      <c r="E124" s="234"/>
      <c r="F124" s="235"/>
      <c r="G124" s="235"/>
      <c r="H124" s="236"/>
      <c r="K124" s="58"/>
      <c r="L124" s="58"/>
      <c r="M124" s="1"/>
      <c r="N124" s="58"/>
    </row>
    <row r="125" spans="2:14" x14ac:dyDescent="0.4">
      <c r="B125" s="45" t="s">
        <v>135</v>
      </c>
      <c r="C125" s="105">
        <v>0</v>
      </c>
      <c r="D125" s="44">
        <v>9.9999999999999998E+37</v>
      </c>
      <c r="E125" s="62" t="s">
        <v>18</v>
      </c>
      <c r="F125" s="62" t="s">
        <v>18</v>
      </c>
      <c r="G125" s="10" t="s">
        <v>18</v>
      </c>
      <c r="H125" s="64" t="s">
        <v>18</v>
      </c>
      <c r="I125" s="155"/>
      <c r="M125" s="1"/>
    </row>
    <row r="126" spans="2:14" x14ac:dyDescent="0.4">
      <c r="B126" s="45" t="s">
        <v>136</v>
      </c>
      <c r="C126" s="105">
        <v>0</v>
      </c>
      <c r="D126" s="44">
        <v>9.9999999999999998E+37</v>
      </c>
      <c r="E126" s="62" t="s">
        <v>18</v>
      </c>
      <c r="F126" s="62" t="s">
        <v>18</v>
      </c>
      <c r="G126" s="62" t="s">
        <v>18</v>
      </c>
      <c r="H126" s="62" t="s">
        <v>18</v>
      </c>
      <c r="M126" s="1"/>
    </row>
    <row r="127" spans="2:14" x14ac:dyDescent="0.4">
      <c r="B127" s="45" t="s">
        <v>137</v>
      </c>
      <c r="C127" s="105">
        <v>0</v>
      </c>
      <c r="D127" s="44">
        <v>9.9999999999999998E+37</v>
      </c>
      <c r="E127" s="62" t="s">
        <v>18</v>
      </c>
      <c r="F127" s="62" t="s">
        <v>18</v>
      </c>
      <c r="G127" s="10" t="s">
        <v>18</v>
      </c>
      <c r="H127" s="10" t="s">
        <v>18</v>
      </c>
      <c r="M127" s="1"/>
    </row>
    <row r="128" spans="2:14" ht="13.5" thickBot="1" x14ac:dyDescent="0.45">
      <c r="B128" s="77" t="s">
        <v>138</v>
      </c>
      <c r="C128" s="143">
        <v>0</v>
      </c>
      <c r="D128" s="238">
        <v>9.9999999999999998E+37</v>
      </c>
      <c r="E128" s="61" t="s">
        <v>18</v>
      </c>
      <c r="F128" s="237" t="s">
        <v>18</v>
      </c>
      <c r="G128" s="61" t="s">
        <v>18</v>
      </c>
      <c r="H128" s="61" t="s">
        <v>18</v>
      </c>
      <c r="M128" s="1"/>
    </row>
    <row r="129" spans="2:14" x14ac:dyDescent="0.4">
      <c r="B129" s="75" t="s">
        <v>31</v>
      </c>
      <c r="C129" s="70" t="s">
        <v>9</v>
      </c>
      <c r="D129" s="50" t="s">
        <v>185</v>
      </c>
      <c r="E129" s="50" t="s">
        <v>183</v>
      </c>
      <c r="F129" s="50" t="s">
        <v>208</v>
      </c>
      <c r="G129" s="50" t="s">
        <v>209</v>
      </c>
      <c r="H129" s="76" t="s">
        <v>207</v>
      </c>
      <c r="I129" s="1"/>
      <c r="J129" s="1"/>
      <c r="K129" s="1"/>
      <c r="L129" s="58"/>
      <c r="M129" s="1"/>
      <c r="N129" s="1"/>
    </row>
    <row r="130" spans="2:14" x14ac:dyDescent="0.4">
      <c r="B130" s="45" t="s">
        <v>140</v>
      </c>
      <c r="C130" s="105">
        <v>0</v>
      </c>
      <c r="D130" s="144">
        <v>0</v>
      </c>
      <c r="E130" s="96">
        <v>0</v>
      </c>
      <c r="F130" s="62" t="s">
        <v>18</v>
      </c>
      <c r="G130" s="62" t="s">
        <v>18</v>
      </c>
      <c r="H130" s="95" t="s">
        <v>18</v>
      </c>
      <c r="I130" s="1"/>
      <c r="J130" s="1"/>
      <c r="K130" s="1"/>
      <c r="M130" s="1"/>
      <c r="N130" s="1"/>
    </row>
    <row r="131" spans="2:14" x14ac:dyDescent="0.4">
      <c r="B131" s="45" t="s">
        <v>141</v>
      </c>
      <c r="C131" s="105">
        <v>0</v>
      </c>
      <c r="D131" s="144">
        <v>0</v>
      </c>
      <c r="E131" s="96">
        <v>0</v>
      </c>
      <c r="F131" s="10" t="s">
        <v>18</v>
      </c>
      <c r="G131" s="62" t="s">
        <v>18</v>
      </c>
      <c r="H131" s="95" t="s">
        <v>18</v>
      </c>
      <c r="I131" s="1"/>
      <c r="J131" s="1"/>
      <c r="K131" s="1"/>
      <c r="M131" s="1"/>
      <c r="N131" s="1"/>
    </row>
    <row r="132" spans="2:14" x14ac:dyDescent="0.4">
      <c r="B132" s="45" t="s">
        <v>142</v>
      </c>
      <c r="C132" s="105">
        <v>0</v>
      </c>
      <c r="D132" s="144">
        <v>0</v>
      </c>
      <c r="E132" s="96">
        <v>0</v>
      </c>
      <c r="F132" s="62" t="s">
        <v>18</v>
      </c>
      <c r="G132" s="62" t="s">
        <v>18</v>
      </c>
      <c r="H132" s="95" t="s">
        <v>18</v>
      </c>
      <c r="I132" s="1"/>
      <c r="J132" s="1"/>
      <c r="K132" s="1"/>
      <c r="L132" s="1"/>
      <c r="M132" s="1"/>
      <c r="N132" s="1"/>
    </row>
    <row r="133" spans="2:14" x14ac:dyDescent="0.4">
      <c r="B133" s="45" t="s">
        <v>143</v>
      </c>
      <c r="C133" s="105">
        <v>0</v>
      </c>
      <c r="D133" s="144">
        <v>0</v>
      </c>
      <c r="E133" s="96">
        <v>0</v>
      </c>
      <c r="F133" s="62" t="s">
        <v>18</v>
      </c>
      <c r="G133" s="62" t="s">
        <v>18</v>
      </c>
      <c r="H133" s="62" t="s">
        <v>18</v>
      </c>
      <c r="L133" s="1"/>
    </row>
    <row r="134" spans="2:14" x14ac:dyDescent="0.4">
      <c r="B134" s="21"/>
      <c r="C134" s="59"/>
      <c r="D134" s="29"/>
      <c r="E134" s="31"/>
      <c r="F134" s="58"/>
      <c r="G134" s="58"/>
      <c r="H134" s="58"/>
      <c r="L134" s="1"/>
    </row>
    <row r="135" spans="2:14" x14ac:dyDescent="0.4">
      <c r="B135" s="5" t="s">
        <v>146</v>
      </c>
      <c r="C135" s="7"/>
      <c r="D135" s="7"/>
      <c r="E135" s="7"/>
      <c r="F135" s="7"/>
      <c r="G135" s="6"/>
      <c r="H135" s="32"/>
    </row>
    <row r="136" spans="2:14" ht="12.75" customHeight="1" x14ac:dyDescent="0.4">
      <c r="B136" s="34" t="s">
        <v>145</v>
      </c>
      <c r="C136" s="63" t="s">
        <v>186</v>
      </c>
      <c r="D136" s="63" t="s">
        <v>214</v>
      </c>
      <c r="E136" s="63" t="s">
        <v>215</v>
      </c>
      <c r="F136" s="63" t="s">
        <v>212</v>
      </c>
      <c r="G136" s="63" t="s">
        <v>213</v>
      </c>
      <c r="H136" s="32"/>
      <c r="I136" s="68"/>
    </row>
    <row r="137" spans="2:14" x14ac:dyDescent="0.4">
      <c r="B137" s="45" t="s">
        <v>36</v>
      </c>
      <c r="C137" s="96">
        <v>0</v>
      </c>
      <c r="D137" s="62" t="s">
        <v>18</v>
      </c>
      <c r="E137" s="62" t="s">
        <v>18</v>
      </c>
      <c r="F137" s="62" t="s">
        <v>18</v>
      </c>
      <c r="G137" s="62" t="s">
        <v>18</v>
      </c>
      <c r="H137" s="1"/>
    </row>
    <row r="138" spans="2:14" ht="12.75" customHeight="1" x14ac:dyDescent="0.4">
      <c r="B138" s="45" t="s">
        <v>37</v>
      </c>
      <c r="C138" s="96">
        <v>0</v>
      </c>
      <c r="D138" s="62" t="s">
        <v>18</v>
      </c>
      <c r="E138" s="10" t="s">
        <v>18</v>
      </c>
      <c r="F138" s="10" t="s">
        <v>18</v>
      </c>
      <c r="G138" s="10" t="s">
        <v>18</v>
      </c>
      <c r="H138" s="1"/>
    </row>
    <row r="139" spans="2:14" x14ac:dyDescent="0.4">
      <c r="B139" s="45" t="s">
        <v>38</v>
      </c>
      <c r="C139" s="96">
        <v>0</v>
      </c>
      <c r="D139" s="62" t="s">
        <v>18</v>
      </c>
      <c r="E139" s="10" t="s">
        <v>18</v>
      </c>
      <c r="F139" s="10" t="s">
        <v>18</v>
      </c>
      <c r="G139" s="10" t="s">
        <v>18</v>
      </c>
      <c r="H139" s="1"/>
    </row>
    <row r="140" spans="2:14" x14ac:dyDescent="0.4">
      <c r="B140" s="45" t="s">
        <v>39</v>
      </c>
      <c r="C140" s="96">
        <v>0</v>
      </c>
      <c r="D140" s="10" t="s">
        <v>18</v>
      </c>
      <c r="E140" s="10" t="s">
        <v>18</v>
      </c>
      <c r="F140" s="10" t="s">
        <v>18</v>
      </c>
      <c r="G140" s="10" t="s">
        <v>18</v>
      </c>
      <c r="H140" s="1"/>
    </row>
    <row r="141" spans="2:14" x14ac:dyDescent="0.4">
      <c r="B141" s="45" t="s">
        <v>40</v>
      </c>
      <c r="C141" s="96">
        <v>0</v>
      </c>
      <c r="D141" s="10" t="s">
        <v>18</v>
      </c>
      <c r="E141" s="10" t="s">
        <v>18</v>
      </c>
      <c r="F141" s="10" t="s">
        <v>18</v>
      </c>
      <c r="G141" s="10" t="s">
        <v>18</v>
      </c>
      <c r="H141" s="1"/>
    </row>
    <row r="142" spans="2:14" x14ac:dyDescent="0.4">
      <c r="B142" s="45" t="s">
        <v>41</v>
      </c>
      <c r="C142" s="96">
        <v>0</v>
      </c>
      <c r="D142" s="52" t="s">
        <v>18</v>
      </c>
      <c r="E142" s="52" t="s">
        <v>18</v>
      </c>
      <c r="F142" s="52" t="s">
        <v>18</v>
      </c>
      <c r="G142" s="52" t="s">
        <v>18</v>
      </c>
      <c r="H142" s="1"/>
    </row>
    <row r="143" spans="2:14" x14ac:dyDescent="0.4">
      <c r="B143" s="45" t="s">
        <v>286</v>
      </c>
      <c r="C143" s="260">
        <v>85</v>
      </c>
      <c r="D143" s="52" t="s">
        <v>18</v>
      </c>
      <c r="E143" s="52" t="s">
        <v>18</v>
      </c>
      <c r="F143" s="10" t="s">
        <v>18</v>
      </c>
      <c r="G143" s="10" t="s">
        <v>17</v>
      </c>
      <c r="H143" s="1"/>
    </row>
    <row r="144" spans="2:14" ht="12" customHeight="1" x14ac:dyDescent="0.4">
      <c r="B144" s="45" t="s">
        <v>161</v>
      </c>
      <c r="C144" s="147">
        <f>100-C145</f>
        <v>15</v>
      </c>
      <c r="D144" s="192">
        <v>0</v>
      </c>
      <c r="E144" s="192">
        <v>0</v>
      </c>
      <c r="F144" s="191"/>
      <c r="G144" s="191"/>
      <c r="H144" s="1"/>
    </row>
    <row r="145" spans="2:43" x14ac:dyDescent="0.4">
      <c r="B145" s="45" t="s">
        <v>13</v>
      </c>
      <c r="C145" s="147">
        <f>SUM(C137:C143)</f>
        <v>85</v>
      </c>
      <c r="D145" s="155"/>
      <c r="G145" s="24"/>
      <c r="H145" s="1"/>
    </row>
    <row r="146" spans="2:43" x14ac:dyDescent="0.4">
      <c r="B146" s="21"/>
      <c r="G146" s="24"/>
      <c r="H146" s="1"/>
    </row>
    <row r="147" spans="2:43" x14ac:dyDescent="0.4">
      <c r="B147" s="5" t="s">
        <v>460</v>
      </c>
      <c r="C147" s="7"/>
      <c r="G147" s="24"/>
      <c r="H147" s="1"/>
    </row>
    <row r="148" spans="2:43" x14ac:dyDescent="0.4">
      <c r="B148" s="45" t="s">
        <v>461</v>
      </c>
      <c r="C148" s="62" t="s">
        <v>17</v>
      </c>
      <c r="G148" s="24"/>
      <c r="H148" s="1"/>
    </row>
    <row r="149" spans="2:43" x14ac:dyDescent="0.4">
      <c r="B149" s="45" t="s">
        <v>462</v>
      </c>
      <c r="C149" s="62" t="s">
        <v>17</v>
      </c>
      <c r="G149" s="24"/>
      <c r="H149" s="1"/>
    </row>
    <row r="150" spans="2:43" x14ac:dyDescent="0.4">
      <c r="E150" s="69"/>
    </row>
    <row r="151" spans="2:43" x14ac:dyDescent="0.4">
      <c r="B151" s="5" t="s">
        <v>304</v>
      </c>
      <c r="C151" s="250">
        <v>0</v>
      </c>
      <c r="D151" s="250">
        <f>C151+1</f>
        <v>1</v>
      </c>
      <c r="E151" s="250">
        <f>D151+1</f>
        <v>2</v>
      </c>
      <c r="F151" s="250">
        <f t="shared" ref="F151:AQ151" si="1">E151+1</f>
        <v>3</v>
      </c>
      <c r="G151" s="250">
        <f>F151+1</f>
        <v>4</v>
      </c>
      <c r="H151" s="250">
        <f t="shared" si="1"/>
        <v>5</v>
      </c>
      <c r="I151" s="250">
        <f t="shared" si="1"/>
        <v>6</v>
      </c>
      <c r="J151" s="250">
        <f t="shared" si="1"/>
        <v>7</v>
      </c>
      <c r="K151" s="250">
        <f t="shared" si="1"/>
        <v>8</v>
      </c>
      <c r="L151" s="250">
        <f t="shared" si="1"/>
        <v>9</v>
      </c>
      <c r="M151" s="250">
        <f t="shared" si="1"/>
        <v>10</v>
      </c>
      <c r="N151" s="250">
        <f t="shared" si="1"/>
        <v>11</v>
      </c>
      <c r="O151" s="250">
        <f t="shared" si="1"/>
        <v>12</v>
      </c>
      <c r="P151" s="250">
        <f t="shared" si="1"/>
        <v>13</v>
      </c>
      <c r="Q151" s="250">
        <f t="shared" si="1"/>
        <v>14</v>
      </c>
      <c r="R151" s="250">
        <f t="shared" si="1"/>
        <v>15</v>
      </c>
      <c r="S151" s="250">
        <f t="shared" si="1"/>
        <v>16</v>
      </c>
      <c r="T151" s="250">
        <f t="shared" si="1"/>
        <v>17</v>
      </c>
      <c r="U151" s="250">
        <f t="shared" si="1"/>
        <v>18</v>
      </c>
      <c r="V151" s="250">
        <f t="shared" si="1"/>
        <v>19</v>
      </c>
      <c r="W151" s="250">
        <f t="shared" si="1"/>
        <v>20</v>
      </c>
      <c r="X151" s="250">
        <f t="shared" si="1"/>
        <v>21</v>
      </c>
      <c r="Y151" s="250">
        <f t="shared" si="1"/>
        <v>22</v>
      </c>
      <c r="Z151" s="250">
        <f t="shared" si="1"/>
        <v>23</v>
      </c>
      <c r="AA151" s="250">
        <f t="shared" si="1"/>
        <v>24</v>
      </c>
      <c r="AB151" s="250">
        <f t="shared" si="1"/>
        <v>25</v>
      </c>
      <c r="AC151" s="250">
        <f t="shared" si="1"/>
        <v>26</v>
      </c>
      <c r="AD151" s="250">
        <f t="shared" si="1"/>
        <v>27</v>
      </c>
      <c r="AE151" s="250">
        <f t="shared" si="1"/>
        <v>28</v>
      </c>
      <c r="AF151" s="250">
        <f t="shared" si="1"/>
        <v>29</v>
      </c>
      <c r="AG151" s="250">
        <f t="shared" si="1"/>
        <v>30</v>
      </c>
      <c r="AH151" s="250">
        <f t="shared" si="1"/>
        <v>31</v>
      </c>
      <c r="AI151" s="250">
        <f t="shared" si="1"/>
        <v>32</v>
      </c>
      <c r="AJ151" s="250">
        <f t="shared" si="1"/>
        <v>33</v>
      </c>
      <c r="AK151" s="250">
        <f t="shared" si="1"/>
        <v>34</v>
      </c>
      <c r="AL151" s="250">
        <f t="shared" si="1"/>
        <v>35</v>
      </c>
      <c r="AM151" s="250">
        <f t="shared" si="1"/>
        <v>36</v>
      </c>
      <c r="AN151" s="250">
        <f t="shared" si="1"/>
        <v>37</v>
      </c>
      <c r="AO151" s="250">
        <f t="shared" si="1"/>
        <v>38</v>
      </c>
      <c r="AP151" s="250">
        <f t="shared" si="1"/>
        <v>39</v>
      </c>
      <c r="AQ151" s="250">
        <f t="shared" si="1"/>
        <v>40</v>
      </c>
    </row>
    <row r="152" spans="2:43" x14ac:dyDescent="0.4">
      <c r="B152" s="280" t="s">
        <v>297</v>
      </c>
      <c r="C152" s="286"/>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5"/>
      <c r="AA152" s="285"/>
      <c r="AB152" s="285"/>
      <c r="AC152" s="285"/>
      <c r="AD152" s="285"/>
      <c r="AE152" s="285"/>
      <c r="AF152" s="285"/>
      <c r="AG152" s="285"/>
      <c r="AH152" s="285"/>
      <c r="AI152" s="285"/>
      <c r="AJ152" s="285"/>
      <c r="AK152" s="285"/>
      <c r="AL152" s="285"/>
      <c r="AM152" s="285"/>
      <c r="AN152" s="285"/>
      <c r="AO152" s="285"/>
      <c r="AP152" s="285"/>
      <c r="AQ152" s="287"/>
    </row>
    <row r="153" spans="2:43" x14ac:dyDescent="0.4">
      <c r="B153" s="278" t="s">
        <v>342</v>
      </c>
      <c r="C153" s="199">
        <v>0</v>
      </c>
      <c r="D153" s="199">
        <v>55524700</v>
      </c>
      <c r="E153" s="199">
        <v>55245500</v>
      </c>
      <c r="F153" s="199">
        <v>54974100</v>
      </c>
      <c r="G153" s="199">
        <v>54702700</v>
      </c>
      <c r="H153" s="199">
        <v>54429700</v>
      </c>
      <c r="I153" s="199">
        <v>54154400</v>
      </c>
      <c r="J153" s="199">
        <v>53877600</v>
      </c>
      <c r="K153" s="199">
        <v>53599400</v>
      </c>
      <c r="L153" s="199">
        <v>53319700</v>
      </c>
      <c r="M153" s="199">
        <v>53008400</v>
      </c>
      <c r="N153" s="199">
        <v>52724300</v>
      </c>
      <c r="O153" s="199">
        <v>52443100</v>
      </c>
      <c r="P153" s="199">
        <v>52162700</v>
      </c>
      <c r="Q153" s="199">
        <v>51882200</v>
      </c>
      <c r="R153" s="199">
        <v>51601300</v>
      </c>
      <c r="S153" s="199">
        <v>51320000</v>
      </c>
      <c r="T153" s="199">
        <v>51038500</v>
      </c>
      <c r="U153" s="199">
        <v>50756800</v>
      </c>
      <c r="V153" s="199">
        <v>50475000</v>
      </c>
      <c r="W153" s="199">
        <v>50159600</v>
      </c>
      <c r="X153" s="199">
        <v>49874600</v>
      </c>
      <c r="Y153" s="199">
        <v>49593100</v>
      </c>
      <c r="Z153" s="199">
        <v>49312700</v>
      </c>
      <c r="AA153" s="199">
        <v>49032200</v>
      </c>
      <c r="AB153" s="199">
        <v>48751300</v>
      </c>
      <c r="AC153" s="199"/>
      <c r="AD153" s="199"/>
      <c r="AE153" s="199"/>
      <c r="AF153" s="199"/>
      <c r="AG153" s="199"/>
      <c r="AH153" s="199"/>
      <c r="AI153" s="199"/>
      <c r="AJ153" s="199"/>
      <c r="AK153" s="199"/>
      <c r="AL153" s="199"/>
      <c r="AM153" s="199"/>
      <c r="AN153" s="199"/>
      <c r="AO153" s="199"/>
      <c r="AP153" s="199"/>
      <c r="AQ153" s="199"/>
    </row>
    <row r="154" spans="2:43" x14ac:dyDescent="0.4">
      <c r="B154" s="278" t="s">
        <v>343</v>
      </c>
      <c r="C154" s="199">
        <v>0</v>
      </c>
      <c r="D154" s="199">
        <v>-27012.5</v>
      </c>
      <c r="E154" s="199">
        <v>-27012.5</v>
      </c>
      <c r="F154" s="199">
        <v>-27012.5</v>
      </c>
      <c r="G154" s="199">
        <v>-27012.5</v>
      </c>
      <c r="H154" s="199">
        <v>-27012.5</v>
      </c>
      <c r="I154" s="199">
        <v>-27012.5</v>
      </c>
      <c r="J154" s="199">
        <v>-27012.5</v>
      </c>
      <c r="K154" s="199">
        <v>-27012.5</v>
      </c>
      <c r="L154" s="199">
        <v>-27012.5</v>
      </c>
      <c r="M154" s="199">
        <v>-27012.5</v>
      </c>
      <c r="N154" s="199">
        <v>-27012.5</v>
      </c>
      <c r="O154" s="199">
        <v>-27012.5</v>
      </c>
      <c r="P154" s="199">
        <v>-27012.5</v>
      </c>
      <c r="Q154" s="199">
        <v>-27020</v>
      </c>
      <c r="R154" s="199">
        <v>-27027.599999999999</v>
      </c>
      <c r="S154" s="199">
        <v>-27035.200000000001</v>
      </c>
      <c r="T154" s="199">
        <v>-27042.799999999999</v>
      </c>
      <c r="U154" s="199">
        <v>-27050.3</v>
      </c>
      <c r="V154" s="199">
        <v>-27057.9</v>
      </c>
      <c r="W154" s="199">
        <v>-27065.5</v>
      </c>
      <c r="X154" s="199">
        <v>-27065.5</v>
      </c>
      <c r="Y154" s="199">
        <v>-27065.5</v>
      </c>
      <c r="Z154" s="199">
        <v>-27073.1</v>
      </c>
      <c r="AA154" s="199">
        <v>-27088.2</v>
      </c>
      <c r="AB154" s="199">
        <v>-27095.8</v>
      </c>
      <c r="AC154" s="199"/>
      <c r="AD154" s="199"/>
      <c r="AE154" s="199"/>
      <c r="AF154" s="199"/>
      <c r="AG154" s="199"/>
      <c r="AH154" s="199"/>
      <c r="AI154" s="199"/>
      <c r="AJ154" s="199"/>
      <c r="AK154" s="199"/>
      <c r="AL154" s="199"/>
      <c r="AM154" s="199"/>
      <c r="AN154" s="199"/>
      <c r="AO154" s="199"/>
      <c r="AP154" s="199"/>
      <c r="AQ154" s="199"/>
    </row>
    <row r="155" spans="2:43" x14ac:dyDescent="0.4">
      <c r="B155" s="278" t="s">
        <v>345</v>
      </c>
      <c r="C155" s="199">
        <v>0</v>
      </c>
      <c r="D155" s="199">
        <v>55497600</v>
      </c>
      <c r="E155" s="199">
        <v>55218500</v>
      </c>
      <c r="F155" s="199">
        <v>54947100</v>
      </c>
      <c r="G155" s="199">
        <v>54675700</v>
      </c>
      <c r="H155" s="199">
        <v>54402700</v>
      </c>
      <c r="I155" s="199">
        <v>54127400</v>
      </c>
      <c r="J155" s="199">
        <v>53850500</v>
      </c>
      <c r="K155" s="199">
        <v>53572400</v>
      </c>
      <c r="L155" s="199">
        <v>53292600</v>
      </c>
      <c r="M155" s="199">
        <v>52981400</v>
      </c>
      <c r="N155" s="199">
        <v>52697300</v>
      </c>
      <c r="O155" s="199">
        <v>52416100</v>
      </c>
      <c r="P155" s="199">
        <v>52135700</v>
      </c>
      <c r="Q155" s="199">
        <v>51855200</v>
      </c>
      <c r="R155" s="199">
        <v>51574300</v>
      </c>
      <c r="S155" s="199">
        <v>51293000</v>
      </c>
      <c r="T155" s="199">
        <v>51011500</v>
      </c>
      <c r="U155" s="199">
        <v>50729800</v>
      </c>
      <c r="V155" s="199">
        <v>50447900</v>
      </c>
      <c r="W155" s="199">
        <v>50132500</v>
      </c>
      <c r="X155" s="199">
        <v>49847500</v>
      </c>
      <c r="Y155" s="199">
        <v>49566000</v>
      </c>
      <c r="Z155" s="199">
        <v>49285600</v>
      </c>
      <c r="AA155" s="199">
        <v>49005100</v>
      </c>
      <c r="AB155" s="199">
        <v>48724200</v>
      </c>
      <c r="AC155" s="199"/>
      <c r="AD155" s="199"/>
      <c r="AE155" s="199"/>
      <c r="AF155" s="199"/>
      <c r="AG155" s="199"/>
      <c r="AH155" s="199"/>
      <c r="AI155" s="199"/>
      <c r="AJ155" s="199"/>
      <c r="AK155" s="199"/>
      <c r="AL155" s="199"/>
      <c r="AM155" s="199"/>
      <c r="AN155" s="199"/>
      <c r="AO155" s="199"/>
      <c r="AP155" s="199"/>
      <c r="AQ155" s="199"/>
    </row>
    <row r="156" spans="2:43" x14ac:dyDescent="0.4">
      <c r="B156" s="278" t="s">
        <v>344</v>
      </c>
      <c r="C156" s="199">
        <v>0</v>
      </c>
      <c r="D156" s="199">
        <v>55928300</v>
      </c>
      <c r="E156" s="199">
        <v>55654300</v>
      </c>
      <c r="F156" s="199">
        <v>55379500</v>
      </c>
      <c r="G156" s="199">
        <v>55103500</v>
      </c>
      <c r="H156" s="199">
        <v>54826000</v>
      </c>
      <c r="I156" s="199">
        <v>54546600</v>
      </c>
      <c r="J156" s="199">
        <v>54266000</v>
      </c>
      <c r="K156" s="199">
        <v>53984300</v>
      </c>
      <c r="L156" s="199">
        <v>53701200</v>
      </c>
      <c r="M156" s="199">
        <v>53417300</v>
      </c>
      <c r="N156" s="199">
        <v>53133100</v>
      </c>
      <c r="O156" s="199">
        <v>52848500</v>
      </c>
      <c r="P156" s="199">
        <v>52563500</v>
      </c>
      <c r="Q156" s="199">
        <v>52278400</v>
      </c>
      <c r="R156" s="199">
        <v>51993400</v>
      </c>
      <c r="S156" s="199">
        <v>51708400</v>
      </c>
      <c r="T156" s="199">
        <v>51423400</v>
      </c>
      <c r="U156" s="199">
        <v>51138400</v>
      </c>
      <c r="V156" s="199">
        <v>50853300</v>
      </c>
      <c r="W156" s="199">
        <v>50568300</v>
      </c>
      <c r="X156" s="199">
        <v>50283300</v>
      </c>
      <c r="Y156" s="199">
        <v>49998400</v>
      </c>
      <c r="Z156" s="199">
        <v>49713400</v>
      </c>
      <c r="AA156" s="199">
        <v>49428400</v>
      </c>
      <c r="AB156" s="199">
        <v>49143400</v>
      </c>
      <c r="AC156" s="199"/>
      <c r="AD156" s="199"/>
      <c r="AE156" s="199"/>
      <c r="AF156" s="199"/>
      <c r="AG156" s="199"/>
      <c r="AH156" s="199"/>
      <c r="AI156" s="199"/>
      <c r="AJ156" s="199"/>
      <c r="AK156" s="199"/>
      <c r="AL156" s="199"/>
      <c r="AM156" s="199"/>
      <c r="AN156" s="199"/>
      <c r="AO156" s="199"/>
      <c r="AP156" s="199"/>
      <c r="AQ156" s="199"/>
    </row>
    <row r="157" spans="2:43" x14ac:dyDescent="0.4">
      <c r="B157" s="278" t="s">
        <v>346</v>
      </c>
      <c r="C157" s="199">
        <v>0</v>
      </c>
      <c r="D157" s="199">
        <v>3828780</v>
      </c>
      <c r="E157" s="199">
        <v>3819060</v>
      </c>
      <c r="F157" s="199">
        <v>3771420</v>
      </c>
      <c r="G157" s="199">
        <v>3726630</v>
      </c>
      <c r="H157" s="199">
        <v>3686660</v>
      </c>
      <c r="I157" s="199">
        <v>3649930</v>
      </c>
      <c r="J157" s="199">
        <v>3615600</v>
      </c>
      <c r="K157" s="199">
        <v>3583100</v>
      </c>
      <c r="L157" s="199">
        <v>3552090</v>
      </c>
      <c r="M157" s="199">
        <v>3828780</v>
      </c>
      <c r="N157" s="199">
        <v>3819000</v>
      </c>
      <c r="O157" s="199">
        <v>3771330</v>
      </c>
      <c r="P157" s="199">
        <v>3726560</v>
      </c>
      <c r="Q157" s="199">
        <v>3686590</v>
      </c>
      <c r="R157" s="199">
        <v>3649880</v>
      </c>
      <c r="S157" s="199">
        <v>3615540</v>
      </c>
      <c r="T157" s="199">
        <v>3583050</v>
      </c>
      <c r="U157" s="199">
        <v>3552040</v>
      </c>
      <c r="V157" s="199">
        <v>3522260</v>
      </c>
      <c r="W157" s="199">
        <v>3828780</v>
      </c>
      <c r="X157" s="199">
        <v>3819010</v>
      </c>
      <c r="Y157" s="199">
        <v>3771340</v>
      </c>
      <c r="Z157" s="199">
        <v>3726560</v>
      </c>
      <c r="AA157" s="199">
        <v>3686590</v>
      </c>
      <c r="AB157" s="199">
        <v>3649880</v>
      </c>
      <c r="AC157" s="199"/>
      <c r="AD157" s="199"/>
      <c r="AE157" s="199"/>
      <c r="AF157" s="199"/>
      <c r="AG157" s="199"/>
      <c r="AH157" s="199"/>
      <c r="AI157" s="199"/>
      <c r="AJ157" s="199"/>
      <c r="AK157" s="199"/>
      <c r="AL157" s="199"/>
      <c r="AM157" s="199"/>
      <c r="AN157" s="199"/>
      <c r="AO157" s="199"/>
      <c r="AP157" s="199"/>
      <c r="AQ157" s="199"/>
    </row>
    <row r="158" spans="2:43" x14ac:dyDescent="0.4">
      <c r="B158" s="278" t="s">
        <v>347</v>
      </c>
      <c r="C158" s="199"/>
      <c r="D158" s="199"/>
      <c r="E158" s="199"/>
      <c r="F158" s="199"/>
      <c r="G158" s="199"/>
      <c r="H158" s="199"/>
      <c r="I158" s="199"/>
      <c r="J158" s="199"/>
      <c r="K158" s="199"/>
      <c r="L158" s="199"/>
      <c r="M158" s="199"/>
      <c r="N158" s="199"/>
      <c r="O158" s="199"/>
      <c r="P158" s="199"/>
      <c r="Q158" s="199"/>
      <c r="R158" s="199"/>
      <c r="S158" s="199"/>
      <c r="T158" s="199"/>
      <c r="U158" s="199"/>
      <c r="V158" s="199"/>
      <c r="W158" s="199"/>
      <c r="X158" s="199"/>
      <c r="Y158" s="199"/>
      <c r="Z158" s="199"/>
      <c r="AA158" s="199"/>
      <c r="AB158" s="199"/>
      <c r="AC158" s="199"/>
      <c r="AD158" s="199"/>
      <c r="AE158" s="199"/>
      <c r="AF158" s="199"/>
      <c r="AG158" s="199"/>
      <c r="AH158" s="199"/>
      <c r="AI158" s="199"/>
      <c r="AJ158" s="199"/>
      <c r="AK158" s="199"/>
      <c r="AL158" s="199"/>
      <c r="AM158" s="199"/>
      <c r="AN158" s="199"/>
      <c r="AO158" s="199"/>
      <c r="AP158" s="199"/>
      <c r="AQ158" s="199"/>
    </row>
    <row r="159" spans="2:43" x14ac:dyDescent="0.4">
      <c r="B159" s="288" t="s">
        <v>298</v>
      </c>
      <c r="C159" s="289"/>
      <c r="D159" s="136"/>
      <c r="E159" s="290"/>
      <c r="F159" s="290"/>
      <c r="G159" s="290"/>
      <c r="H159" s="290"/>
      <c r="I159" s="290"/>
      <c r="J159" s="290"/>
      <c r="K159" s="290"/>
      <c r="L159" s="290"/>
      <c r="M159" s="290"/>
      <c r="N159" s="290"/>
      <c r="O159" s="290"/>
      <c r="P159" s="290"/>
      <c r="Q159" s="290"/>
      <c r="R159" s="290"/>
      <c r="S159" s="290"/>
      <c r="T159" s="290"/>
      <c r="U159" s="290"/>
      <c r="V159" s="290"/>
      <c r="W159" s="290"/>
      <c r="X159" s="290"/>
      <c r="Y159" s="290"/>
      <c r="Z159" s="290"/>
      <c r="AA159" s="290"/>
      <c r="AB159" s="290"/>
      <c r="AC159" s="290"/>
      <c r="AD159" s="290"/>
      <c r="AE159" s="290"/>
      <c r="AF159" s="290"/>
      <c r="AG159" s="290"/>
      <c r="AH159" s="290"/>
      <c r="AI159" s="290"/>
      <c r="AJ159" s="290"/>
      <c r="AK159" s="290"/>
      <c r="AL159" s="290"/>
      <c r="AM159" s="290"/>
      <c r="AN159" s="290"/>
      <c r="AO159" s="290"/>
      <c r="AP159" s="290"/>
      <c r="AQ159" s="291"/>
    </row>
    <row r="160" spans="2:43" x14ac:dyDescent="0.4">
      <c r="B160" s="278" t="s">
        <v>305</v>
      </c>
      <c r="C160" s="201">
        <v>0</v>
      </c>
      <c r="D160" s="199">
        <v>8.25</v>
      </c>
      <c r="E160" s="201">
        <v>8.25</v>
      </c>
      <c r="F160" s="201">
        <v>8.25</v>
      </c>
      <c r="G160" s="201">
        <v>8.25</v>
      </c>
      <c r="H160" s="201">
        <v>8.25</v>
      </c>
      <c r="I160" s="201">
        <v>8.25</v>
      </c>
      <c r="J160" s="201">
        <v>8.25</v>
      </c>
      <c r="K160" s="201">
        <v>8.25</v>
      </c>
      <c r="L160" s="201">
        <v>8.25</v>
      </c>
      <c r="M160" s="201">
        <v>8.25</v>
      </c>
      <c r="N160" s="201">
        <v>4.17</v>
      </c>
      <c r="O160" s="201">
        <v>4.17</v>
      </c>
      <c r="P160" s="201">
        <v>4.17</v>
      </c>
      <c r="Q160" s="201">
        <v>4.17</v>
      </c>
      <c r="R160" s="201">
        <v>4.17</v>
      </c>
      <c r="S160" s="201">
        <v>4.17</v>
      </c>
      <c r="T160" s="201">
        <v>4.17</v>
      </c>
      <c r="U160" s="201">
        <v>4.17</v>
      </c>
      <c r="V160" s="201">
        <v>4.17</v>
      </c>
      <c r="W160" s="201">
        <v>4.17</v>
      </c>
      <c r="X160" s="201">
        <v>4.17</v>
      </c>
      <c r="Y160" s="201">
        <v>4.17</v>
      </c>
      <c r="Z160" s="201">
        <v>4.17</v>
      </c>
      <c r="AA160" s="201">
        <v>4.17</v>
      </c>
      <c r="AB160" s="201">
        <v>4.17</v>
      </c>
      <c r="AC160" s="201"/>
      <c r="AD160" s="201"/>
      <c r="AE160" s="201"/>
      <c r="AF160" s="201"/>
      <c r="AG160" s="201"/>
      <c r="AH160" s="201"/>
      <c r="AI160" s="201"/>
      <c r="AJ160" s="201"/>
      <c r="AK160" s="201"/>
      <c r="AL160" s="201"/>
      <c r="AM160" s="201"/>
      <c r="AN160" s="201"/>
      <c r="AO160" s="201"/>
      <c r="AP160" s="201"/>
      <c r="AQ160" s="201"/>
    </row>
    <row r="161" spans="2:43" ht="13.5" customHeight="1" x14ac:dyDescent="0.4">
      <c r="B161" s="278" t="s">
        <v>299</v>
      </c>
      <c r="C161" s="199">
        <v>0</v>
      </c>
      <c r="D161" s="199">
        <v>4580780</v>
      </c>
      <c r="E161" s="199">
        <v>4557750</v>
      </c>
      <c r="F161" s="199">
        <v>4535360</v>
      </c>
      <c r="G161" s="199">
        <v>4512970</v>
      </c>
      <c r="H161" s="199">
        <v>4490450</v>
      </c>
      <c r="I161" s="199">
        <v>4467740</v>
      </c>
      <c r="J161" s="199">
        <v>4444900</v>
      </c>
      <c r="K161" s="199">
        <v>4421950</v>
      </c>
      <c r="L161" s="199">
        <v>4398870</v>
      </c>
      <c r="M161" s="199">
        <v>4373200</v>
      </c>
      <c r="N161" s="199">
        <v>2198600</v>
      </c>
      <c r="O161" s="199">
        <v>2186880</v>
      </c>
      <c r="P161" s="199">
        <v>2175180</v>
      </c>
      <c r="Q161" s="199">
        <v>2163490</v>
      </c>
      <c r="R161" s="199">
        <v>2151770</v>
      </c>
      <c r="S161" s="199">
        <v>2140050</v>
      </c>
      <c r="T161" s="199">
        <v>2128310</v>
      </c>
      <c r="U161" s="199">
        <v>2116560</v>
      </c>
      <c r="V161" s="199">
        <v>2104810</v>
      </c>
      <c r="W161" s="199">
        <v>2091650</v>
      </c>
      <c r="X161" s="199">
        <v>2079770</v>
      </c>
      <c r="Y161" s="199">
        <v>2068030</v>
      </c>
      <c r="Z161" s="199">
        <v>2056340</v>
      </c>
      <c r="AA161" s="199">
        <v>2044640</v>
      </c>
      <c r="AB161" s="199">
        <v>2032930</v>
      </c>
      <c r="AC161" s="199"/>
      <c r="AD161" s="199"/>
      <c r="AE161" s="199"/>
      <c r="AF161" s="199"/>
      <c r="AG161" s="199"/>
      <c r="AH161" s="199"/>
      <c r="AI161" s="199"/>
      <c r="AJ161" s="199"/>
      <c r="AK161" s="199"/>
      <c r="AL161" s="199"/>
      <c r="AM161" s="199"/>
      <c r="AN161" s="199"/>
      <c r="AO161" s="199"/>
      <c r="AP161" s="199"/>
      <c r="AQ161" s="199"/>
    </row>
    <row r="162" spans="2:43" ht="13.5" customHeight="1" x14ac:dyDescent="0.4">
      <c r="B162" s="279" t="s">
        <v>302</v>
      </c>
      <c r="C162" s="199">
        <v>0</v>
      </c>
      <c r="D162" s="199">
        <v>0</v>
      </c>
      <c r="E162" s="199">
        <v>0</v>
      </c>
      <c r="F162" s="199">
        <v>0</v>
      </c>
      <c r="G162" s="199">
        <v>0</v>
      </c>
      <c r="H162" s="199">
        <v>0</v>
      </c>
      <c r="I162" s="199">
        <v>0</v>
      </c>
      <c r="J162" s="199">
        <v>0</v>
      </c>
      <c r="K162" s="199">
        <v>0</v>
      </c>
      <c r="L162" s="199">
        <v>0</v>
      </c>
      <c r="M162" s="199">
        <v>0</v>
      </c>
      <c r="N162" s="199">
        <v>0</v>
      </c>
      <c r="O162" s="199">
        <v>0</v>
      </c>
      <c r="P162" s="199">
        <v>0</v>
      </c>
      <c r="Q162" s="199">
        <v>0</v>
      </c>
      <c r="R162" s="199">
        <v>0</v>
      </c>
      <c r="S162" s="199">
        <v>0</v>
      </c>
      <c r="T162" s="199">
        <v>0</v>
      </c>
      <c r="U162" s="199">
        <v>0</v>
      </c>
      <c r="V162" s="199">
        <v>0</v>
      </c>
      <c r="W162" s="199">
        <v>0</v>
      </c>
      <c r="X162" s="199">
        <v>0</v>
      </c>
      <c r="Y162" s="199">
        <v>0</v>
      </c>
      <c r="Z162" s="199">
        <v>0</v>
      </c>
      <c r="AA162" s="199">
        <v>0</v>
      </c>
      <c r="AB162" s="199">
        <v>0</v>
      </c>
      <c r="AC162" s="199"/>
      <c r="AD162" s="199"/>
      <c r="AE162" s="199"/>
      <c r="AF162" s="199"/>
      <c r="AG162" s="199"/>
      <c r="AH162" s="199"/>
      <c r="AI162" s="199"/>
      <c r="AJ162" s="199"/>
      <c r="AK162" s="199"/>
      <c r="AL162" s="199"/>
      <c r="AM162" s="199"/>
      <c r="AN162" s="199"/>
      <c r="AO162" s="199"/>
      <c r="AP162" s="199"/>
      <c r="AQ162" s="199"/>
    </row>
    <row r="163" spans="2:43" ht="13.5" customHeight="1" x14ac:dyDescent="0.4">
      <c r="B163" s="279" t="s">
        <v>301</v>
      </c>
      <c r="C163" s="199">
        <v>0</v>
      </c>
      <c r="D163" s="199">
        <v>0</v>
      </c>
      <c r="E163" s="199">
        <v>0</v>
      </c>
      <c r="F163" s="199">
        <v>0</v>
      </c>
      <c r="G163" s="199">
        <v>0</v>
      </c>
      <c r="H163" s="199">
        <v>0</v>
      </c>
      <c r="I163" s="199">
        <v>0</v>
      </c>
      <c r="J163" s="199">
        <v>0</v>
      </c>
      <c r="K163" s="199">
        <v>0</v>
      </c>
      <c r="L163" s="199">
        <v>0</v>
      </c>
      <c r="M163" s="199">
        <v>0</v>
      </c>
      <c r="N163" s="199">
        <v>0</v>
      </c>
      <c r="O163" s="199">
        <v>0</v>
      </c>
      <c r="P163" s="199">
        <v>0</v>
      </c>
      <c r="Q163" s="199">
        <v>0</v>
      </c>
      <c r="R163" s="199">
        <v>0</v>
      </c>
      <c r="S163" s="199">
        <v>0</v>
      </c>
      <c r="T163" s="199">
        <v>0</v>
      </c>
      <c r="U163" s="199">
        <v>0</v>
      </c>
      <c r="V163" s="199">
        <v>0</v>
      </c>
      <c r="W163" s="199">
        <v>0</v>
      </c>
      <c r="X163" s="199">
        <v>0</v>
      </c>
      <c r="Y163" s="199">
        <v>0</v>
      </c>
      <c r="Z163" s="199">
        <v>0</v>
      </c>
      <c r="AA163" s="199">
        <v>0</v>
      </c>
      <c r="AB163" s="199">
        <v>0</v>
      </c>
      <c r="AC163" s="199"/>
      <c r="AD163" s="199"/>
      <c r="AE163" s="199"/>
      <c r="AF163" s="199"/>
      <c r="AG163" s="199"/>
      <c r="AH163" s="199"/>
      <c r="AI163" s="199"/>
      <c r="AJ163" s="199"/>
      <c r="AK163" s="199"/>
      <c r="AL163" s="199"/>
      <c r="AM163" s="199"/>
      <c r="AN163" s="199"/>
      <c r="AO163" s="199"/>
      <c r="AP163" s="199"/>
      <c r="AQ163" s="199"/>
    </row>
    <row r="164" spans="2:43" ht="13.25" customHeight="1" x14ac:dyDescent="0.4">
      <c r="B164" s="279" t="s">
        <v>373</v>
      </c>
      <c r="C164" s="199"/>
      <c r="D164" s="199"/>
      <c r="E164" s="199"/>
      <c r="F164" s="199"/>
      <c r="G164" s="199"/>
      <c r="H164" s="199"/>
      <c r="I164" s="199"/>
      <c r="J164" s="199"/>
      <c r="K164" s="199"/>
      <c r="L164" s="199"/>
      <c r="M164" s="199"/>
      <c r="N164" s="199"/>
      <c r="O164" s="199"/>
      <c r="P164" s="199"/>
      <c r="Q164" s="199"/>
      <c r="R164" s="199"/>
      <c r="S164" s="199"/>
      <c r="T164" s="199"/>
      <c r="U164" s="199"/>
      <c r="V164" s="199"/>
      <c r="W164" s="199"/>
      <c r="X164" s="199"/>
      <c r="Y164" s="199"/>
      <c r="Z164" s="199"/>
      <c r="AA164" s="199"/>
      <c r="AB164" s="199"/>
      <c r="AC164" s="199"/>
      <c r="AD164" s="199"/>
      <c r="AE164" s="199"/>
      <c r="AF164" s="199"/>
      <c r="AG164" s="199"/>
      <c r="AH164" s="199"/>
      <c r="AI164" s="199"/>
      <c r="AJ164" s="199"/>
      <c r="AK164" s="199"/>
      <c r="AL164" s="199"/>
      <c r="AM164" s="199"/>
      <c r="AN164" s="199"/>
      <c r="AO164" s="199"/>
      <c r="AP164" s="199"/>
      <c r="AQ164" s="199"/>
    </row>
    <row r="165" spans="2:43" ht="13.25" customHeight="1" x14ac:dyDescent="0.4">
      <c r="B165" s="279" t="s">
        <v>445</v>
      </c>
      <c r="C165" s="199">
        <v>0</v>
      </c>
      <c r="D165" s="199">
        <v>100</v>
      </c>
      <c r="E165" s="199">
        <v>100</v>
      </c>
      <c r="F165" s="199">
        <v>100</v>
      </c>
      <c r="G165" s="199">
        <v>100</v>
      </c>
      <c r="H165" s="199">
        <v>100</v>
      </c>
      <c r="I165" s="199">
        <v>100</v>
      </c>
      <c r="J165" s="199">
        <v>100</v>
      </c>
      <c r="K165" s="199">
        <v>100</v>
      </c>
      <c r="L165" s="199">
        <v>100</v>
      </c>
      <c r="M165" s="199">
        <v>100</v>
      </c>
      <c r="N165" s="199">
        <v>100</v>
      </c>
      <c r="O165" s="199">
        <v>100</v>
      </c>
      <c r="P165" s="199">
        <v>100</v>
      </c>
      <c r="Q165" s="199">
        <v>100</v>
      </c>
      <c r="R165" s="199">
        <v>100</v>
      </c>
      <c r="S165" s="199">
        <v>100</v>
      </c>
      <c r="T165" s="199">
        <v>100</v>
      </c>
      <c r="U165" s="199">
        <v>100</v>
      </c>
      <c r="V165" s="199">
        <v>100</v>
      </c>
      <c r="W165" s="199">
        <v>100</v>
      </c>
      <c r="X165" s="199">
        <v>100</v>
      </c>
      <c r="Y165" s="199">
        <v>100</v>
      </c>
      <c r="Z165" s="199">
        <v>100</v>
      </c>
      <c r="AA165" s="199">
        <v>100</v>
      </c>
      <c r="AB165" s="199">
        <v>100</v>
      </c>
      <c r="AC165" s="199"/>
      <c r="AD165" s="199"/>
      <c r="AE165" s="199"/>
      <c r="AF165" s="199"/>
      <c r="AG165" s="199"/>
      <c r="AH165" s="199"/>
      <c r="AI165" s="199"/>
      <c r="AJ165" s="199"/>
      <c r="AK165" s="199"/>
      <c r="AL165" s="199"/>
      <c r="AM165" s="199"/>
      <c r="AN165" s="199"/>
      <c r="AO165" s="199"/>
      <c r="AP165" s="199"/>
      <c r="AQ165" s="199"/>
    </row>
    <row r="166" spans="2:43" ht="13.25" customHeight="1" x14ac:dyDescent="0.4">
      <c r="B166" s="279" t="s">
        <v>446</v>
      </c>
      <c r="C166" s="199">
        <v>0</v>
      </c>
      <c r="D166" s="199">
        <v>0</v>
      </c>
      <c r="E166" s="199">
        <v>0</v>
      </c>
      <c r="F166" s="199">
        <v>0</v>
      </c>
      <c r="G166" s="199">
        <v>0</v>
      </c>
      <c r="H166" s="199">
        <v>0</v>
      </c>
      <c r="I166" s="199">
        <v>0</v>
      </c>
      <c r="J166" s="199">
        <v>0</v>
      </c>
      <c r="K166" s="199">
        <v>0</v>
      </c>
      <c r="L166" s="199">
        <v>0</v>
      </c>
      <c r="M166" s="199">
        <v>0</v>
      </c>
      <c r="N166" s="199">
        <v>0</v>
      </c>
      <c r="O166" s="199">
        <v>0</v>
      </c>
      <c r="P166" s="199">
        <v>0</v>
      </c>
      <c r="Q166" s="199">
        <v>0</v>
      </c>
      <c r="R166" s="199">
        <v>0</v>
      </c>
      <c r="S166" s="199">
        <v>0</v>
      </c>
      <c r="T166" s="199">
        <v>0</v>
      </c>
      <c r="U166" s="199">
        <v>0</v>
      </c>
      <c r="V166" s="199">
        <v>0</v>
      </c>
      <c r="W166" s="199">
        <v>0</v>
      </c>
      <c r="X166" s="199">
        <v>0</v>
      </c>
      <c r="Y166" s="199">
        <v>0</v>
      </c>
      <c r="Z166" s="199">
        <v>0</v>
      </c>
      <c r="AA166" s="199">
        <v>0</v>
      </c>
      <c r="AB166" s="199">
        <v>0</v>
      </c>
      <c r="AC166" s="199"/>
      <c r="AD166" s="199"/>
      <c r="AE166" s="199"/>
      <c r="AF166" s="199"/>
      <c r="AG166" s="199"/>
      <c r="AH166" s="199"/>
      <c r="AI166" s="199"/>
      <c r="AJ166" s="199"/>
      <c r="AK166" s="199"/>
      <c r="AL166" s="199"/>
      <c r="AM166" s="199"/>
      <c r="AN166" s="199"/>
      <c r="AO166" s="199"/>
      <c r="AP166" s="199"/>
      <c r="AQ166" s="199"/>
    </row>
    <row r="167" spans="2:43" ht="13.5" customHeight="1" x14ac:dyDescent="0.4">
      <c r="B167" s="253" t="s">
        <v>245</v>
      </c>
      <c r="C167" s="256"/>
      <c r="D167" s="256"/>
      <c r="E167" s="256"/>
      <c r="F167" s="256"/>
      <c r="G167" s="256"/>
      <c r="H167" s="256"/>
      <c r="I167" s="256"/>
      <c r="J167" s="256"/>
      <c r="K167" s="256"/>
      <c r="L167" s="256"/>
      <c r="M167" s="256"/>
      <c r="N167" s="256"/>
      <c r="O167" s="256"/>
      <c r="P167" s="256"/>
      <c r="Q167" s="256"/>
      <c r="R167" s="256"/>
      <c r="S167" s="256"/>
      <c r="T167" s="256"/>
      <c r="U167" s="256"/>
      <c r="V167" s="256"/>
      <c r="W167" s="256"/>
      <c r="X167" s="256"/>
      <c r="Y167" s="256"/>
      <c r="Z167" s="256"/>
      <c r="AA167" s="256"/>
      <c r="AB167" s="256"/>
      <c r="AC167" s="256"/>
      <c r="AD167" s="256"/>
      <c r="AE167" s="256"/>
      <c r="AF167" s="256"/>
      <c r="AG167" s="256"/>
      <c r="AH167" s="256"/>
      <c r="AI167" s="256"/>
      <c r="AJ167" s="256"/>
      <c r="AK167" s="256"/>
      <c r="AL167" s="256"/>
      <c r="AM167" s="256"/>
      <c r="AN167" s="256"/>
      <c r="AO167" s="256"/>
      <c r="AP167" s="256"/>
      <c r="AQ167" s="257"/>
    </row>
    <row r="168" spans="2:43" ht="13.5" customHeight="1" x14ac:dyDescent="0.4">
      <c r="B168" s="47" t="s">
        <v>306</v>
      </c>
      <c r="C168" s="254"/>
      <c r="D168" s="255"/>
      <c r="E168" s="255"/>
      <c r="F168" s="255"/>
      <c r="G168" s="255"/>
      <c r="H168" s="255"/>
      <c r="I168" s="255"/>
      <c r="J168" s="255"/>
      <c r="K168" s="255"/>
      <c r="L168" s="255"/>
      <c r="M168" s="255"/>
      <c r="N168" s="255"/>
      <c r="O168" s="255"/>
      <c r="P168" s="255"/>
      <c r="Q168" s="255"/>
      <c r="R168" s="255"/>
      <c r="S168" s="255"/>
      <c r="T168" s="255"/>
      <c r="U168" s="255"/>
      <c r="V168" s="255"/>
      <c r="W168" s="255"/>
      <c r="X168" s="255"/>
      <c r="Y168" s="255"/>
      <c r="Z168" s="255"/>
      <c r="AA168" s="255"/>
      <c r="AB168" s="255"/>
      <c r="AC168" s="255"/>
      <c r="AD168" s="255"/>
      <c r="AE168" s="255"/>
      <c r="AF168" s="255"/>
      <c r="AG168" s="255"/>
      <c r="AH168" s="255"/>
      <c r="AI168" s="255"/>
      <c r="AJ168" s="255"/>
      <c r="AK168" s="255"/>
      <c r="AL168" s="255"/>
      <c r="AM168" s="255"/>
      <c r="AN168" s="255"/>
      <c r="AO168" s="255"/>
      <c r="AP168" s="255"/>
      <c r="AQ168" s="255"/>
    </row>
    <row r="169" spans="2:43" x14ac:dyDescent="0.4">
      <c r="B169" s="35" t="s">
        <v>307</v>
      </c>
      <c r="C169" s="251"/>
      <c r="D169" s="252"/>
      <c r="E169" s="252"/>
      <c r="F169" s="252"/>
      <c r="G169" s="252"/>
      <c r="H169" s="252"/>
      <c r="I169" s="252"/>
      <c r="J169" s="252"/>
      <c r="K169" s="252"/>
      <c r="L169" s="252"/>
      <c r="M169" s="252"/>
      <c r="N169" s="252"/>
      <c r="O169" s="252"/>
      <c r="P169" s="252"/>
      <c r="Q169" s="252"/>
      <c r="R169" s="252"/>
      <c r="S169" s="252"/>
      <c r="T169" s="252"/>
      <c r="U169" s="252"/>
      <c r="V169" s="252"/>
      <c r="W169" s="252"/>
      <c r="X169" s="252"/>
      <c r="Y169" s="252"/>
      <c r="Z169" s="252"/>
      <c r="AA169" s="252"/>
      <c r="AB169" s="252"/>
      <c r="AC169" s="252"/>
      <c r="AD169" s="252"/>
      <c r="AE169" s="252"/>
      <c r="AF169" s="252"/>
      <c r="AG169" s="252"/>
      <c r="AH169" s="252"/>
      <c r="AI169" s="252"/>
      <c r="AJ169" s="252"/>
      <c r="AK169" s="252"/>
      <c r="AL169" s="252"/>
      <c r="AM169" s="252"/>
      <c r="AN169" s="252"/>
      <c r="AO169" s="252"/>
      <c r="AP169" s="252"/>
      <c r="AQ169" s="252"/>
    </row>
    <row r="170" spans="2:43" ht="12" customHeight="1" x14ac:dyDescent="0.4">
      <c r="B170" s="57" t="s">
        <v>303</v>
      </c>
      <c r="C170" s="258"/>
      <c r="D170" s="259"/>
      <c r="E170" s="259"/>
      <c r="F170" s="259"/>
      <c r="G170" s="259"/>
      <c r="H170" s="259"/>
      <c r="I170" s="259"/>
      <c r="J170" s="259"/>
      <c r="K170" s="259"/>
      <c r="L170" s="259"/>
      <c r="M170" s="259"/>
      <c r="N170" s="259"/>
      <c r="O170" s="259"/>
      <c r="P170" s="259"/>
      <c r="Q170" s="259"/>
      <c r="R170" s="259"/>
      <c r="S170" s="259"/>
      <c r="T170" s="259"/>
      <c r="U170" s="259"/>
      <c r="V170" s="259"/>
      <c r="W170" s="259"/>
      <c r="X170" s="259"/>
      <c r="Y170" s="259"/>
      <c r="Z170" s="259"/>
      <c r="AA170" s="259"/>
      <c r="AB170" s="259"/>
      <c r="AC170" s="259"/>
      <c r="AD170" s="259"/>
      <c r="AE170" s="259"/>
      <c r="AF170" s="259"/>
      <c r="AG170" s="259"/>
      <c r="AH170" s="259"/>
      <c r="AI170" s="259"/>
      <c r="AJ170" s="259"/>
      <c r="AK170" s="259"/>
      <c r="AL170" s="259"/>
      <c r="AM170" s="259"/>
      <c r="AN170" s="259"/>
      <c r="AO170" s="259"/>
      <c r="AP170" s="259"/>
      <c r="AQ170" s="259"/>
    </row>
    <row r="171" spans="2:43" ht="12" customHeight="1" x14ac:dyDescent="0.4">
      <c r="B171" s="253" t="s">
        <v>250</v>
      </c>
      <c r="C171" s="256"/>
      <c r="D171" s="256"/>
      <c r="E171" s="256"/>
      <c r="F171" s="256"/>
      <c r="G171" s="256"/>
      <c r="H171" s="256"/>
      <c r="I171" s="256"/>
      <c r="J171" s="256"/>
      <c r="K171" s="256"/>
      <c r="L171" s="256"/>
      <c r="M171" s="256"/>
      <c r="N171" s="256"/>
      <c r="O171" s="256"/>
      <c r="P171" s="256"/>
      <c r="Q171" s="256"/>
      <c r="R171" s="256"/>
      <c r="S171" s="256"/>
      <c r="T171" s="256"/>
      <c r="U171" s="256"/>
      <c r="V171" s="256"/>
      <c r="W171" s="256"/>
      <c r="X171" s="256"/>
      <c r="Y171" s="256"/>
      <c r="Z171" s="256"/>
      <c r="AA171" s="256"/>
      <c r="AB171" s="256"/>
      <c r="AC171" s="256"/>
      <c r="AD171" s="256"/>
      <c r="AE171" s="256"/>
      <c r="AF171" s="256"/>
      <c r="AG171" s="256"/>
      <c r="AH171" s="256"/>
      <c r="AI171" s="256"/>
      <c r="AJ171" s="256"/>
      <c r="AK171" s="256"/>
      <c r="AL171" s="256"/>
      <c r="AM171" s="256"/>
      <c r="AN171" s="256"/>
      <c r="AO171" s="256"/>
      <c r="AP171" s="256"/>
      <c r="AQ171" s="257"/>
    </row>
    <row r="172" spans="2:43" ht="12" customHeight="1" x14ac:dyDescent="0.4">
      <c r="B172" s="47" t="s">
        <v>75</v>
      </c>
      <c r="C172" s="259">
        <v>0</v>
      </c>
      <c r="D172" s="255">
        <v>0</v>
      </c>
      <c r="E172" s="255">
        <v>0</v>
      </c>
      <c r="F172" s="255">
        <v>0</v>
      </c>
      <c r="G172" s="255">
        <v>0</v>
      </c>
      <c r="H172" s="255">
        <v>11</v>
      </c>
      <c r="I172" s="255">
        <v>11</v>
      </c>
      <c r="J172" s="255">
        <v>22</v>
      </c>
      <c r="K172" s="255">
        <v>22</v>
      </c>
      <c r="L172" s="255">
        <v>22</v>
      </c>
      <c r="M172" s="255">
        <v>22</v>
      </c>
      <c r="N172" s="255">
        <v>22</v>
      </c>
      <c r="O172" s="255">
        <v>22</v>
      </c>
      <c r="P172" s="255">
        <v>22</v>
      </c>
      <c r="Q172" s="255">
        <v>22</v>
      </c>
      <c r="R172" s="255">
        <v>22</v>
      </c>
      <c r="S172" s="255">
        <v>22</v>
      </c>
      <c r="T172" s="255">
        <v>22</v>
      </c>
      <c r="U172" s="255">
        <v>22</v>
      </c>
      <c r="V172" s="255">
        <v>22</v>
      </c>
      <c r="W172" s="255">
        <v>22</v>
      </c>
      <c r="X172" s="255">
        <v>22</v>
      </c>
      <c r="Y172" s="255">
        <v>22</v>
      </c>
      <c r="Z172" s="255">
        <v>22</v>
      </c>
      <c r="AA172" s="255">
        <v>22</v>
      </c>
      <c r="AB172" s="255"/>
      <c r="AC172" s="255"/>
      <c r="AD172" s="255"/>
      <c r="AE172" s="255"/>
      <c r="AF172" s="255"/>
      <c r="AG172" s="255"/>
      <c r="AH172" s="255"/>
      <c r="AI172" s="255"/>
      <c r="AJ172" s="255"/>
      <c r="AK172" s="255"/>
      <c r="AL172" s="255"/>
      <c r="AM172" s="255"/>
      <c r="AN172" s="255"/>
      <c r="AO172" s="255"/>
      <c r="AP172" s="255"/>
      <c r="AQ172" s="255"/>
    </row>
    <row r="173" spans="2:43" ht="12" customHeight="1" x14ac:dyDescent="0.4">
      <c r="B173" s="57" t="s">
        <v>74</v>
      </c>
      <c r="C173" s="259">
        <v>0</v>
      </c>
      <c r="D173" s="259">
        <v>0</v>
      </c>
      <c r="E173" s="259">
        <v>0</v>
      </c>
      <c r="F173" s="259">
        <v>0</v>
      </c>
      <c r="G173" s="259">
        <v>0</v>
      </c>
      <c r="H173" s="259">
        <v>0</v>
      </c>
      <c r="I173" s="259">
        <v>0</v>
      </c>
      <c r="J173" s="259">
        <v>0</v>
      </c>
      <c r="K173" s="259">
        <v>0</v>
      </c>
      <c r="L173" s="259">
        <v>0</v>
      </c>
      <c r="M173" s="259">
        <v>0</v>
      </c>
      <c r="N173" s="259">
        <v>0</v>
      </c>
      <c r="O173" s="259">
        <v>0</v>
      </c>
      <c r="P173" s="259">
        <v>0</v>
      </c>
      <c r="Q173" s="259">
        <v>0</v>
      </c>
      <c r="R173" s="259">
        <v>0</v>
      </c>
      <c r="S173" s="259">
        <v>0</v>
      </c>
      <c r="T173" s="259">
        <v>0</v>
      </c>
      <c r="U173" s="259">
        <v>0</v>
      </c>
      <c r="V173" s="259">
        <v>0</v>
      </c>
      <c r="W173" s="259">
        <v>0</v>
      </c>
      <c r="X173" s="259">
        <v>0</v>
      </c>
      <c r="Y173" s="259">
        <v>0</v>
      </c>
      <c r="Z173" s="259">
        <v>0</v>
      </c>
      <c r="AA173" s="259">
        <v>0</v>
      </c>
      <c r="AB173" s="259">
        <v>0</v>
      </c>
      <c r="AC173" s="259"/>
      <c r="AD173" s="259"/>
      <c r="AE173" s="259"/>
      <c r="AF173" s="259"/>
      <c r="AG173" s="259"/>
      <c r="AH173" s="259"/>
      <c r="AI173" s="259"/>
      <c r="AJ173" s="259"/>
      <c r="AK173" s="259"/>
      <c r="AL173" s="259"/>
      <c r="AM173" s="259"/>
      <c r="AN173" s="259"/>
      <c r="AO173" s="259"/>
      <c r="AP173" s="259"/>
      <c r="AQ173" s="259"/>
    </row>
    <row r="174" spans="2:43" ht="12" customHeight="1" x14ac:dyDescent="0.4">
      <c r="B174" s="253" t="s">
        <v>376</v>
      </c>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8"/>
    </row>
    <row r="175" spans="2:43" ht="12" customHeight="1" x14ac:dyDescent="0.4">
      <c r="B175" s="306" t="s">
        <v>380</v>
      </c>
      <c r="C175" s="254"/>
      <c r="D175" s="255">
        <v>0</v>
      </c>
      <c r="E175" s="255">
        <v>0</v>
      </c>
      <c r="F175" s="255">
        <v>0</v>
      </c>
      <c r="G175" s="255">
        <v>0</v>
      </c>
      <c r="H175" s="255">
        <v>0</v>
      </c>
      <c r="I175" s="255">
        <v>0</v>
      </c>
      <c r="J175" s="255">
        <v>0</v>
      </c>
      <c r="K175" s="255">
        <v>0</v>
      </c>
      <c r="L175" s="255">
        <v>0</v>
      </c>
      <c r="M175" s="255">
        <v>0</v>
      </c>
      <c r="N175" s="255">
        <v>0</v>
      </c>
      <c r="O175" s="255">
        <v>0</v>
      </c>
      <c r="P175" s="255">
        <v>0</v>
      </c>
      <c r="Q175" s="255">
        <v>0</v>
      </c>
      <c r="R175" s="255">
        <v>0</v>
      </c>
      <c r="S175" s="255">
        <v>0</v>
      </c>
      <c r="T175" s="255">
        <v>0</v>
      </c>
      <c r="U175" s="255">
        <v>0</v>
      </c>
      <c r="V175" s="255">
        <v>0</v>
      </c>
      <c r="W175" s="255">
        <v>0</v>
      </c>
      <c r="X175" s="255">
        <v>0</v>
      </c>
      <c r="Y175" s="255">
        <v>0</v>
      </c>
      <c r="Z175" s="255">
        <v>0</v>
      </c>
      <c r="AA175" s="255">
        <v>0</v>
      </c>
      <c r="AB175" s="255">
        <v>0</v>
      </c>
      <c r="AC175" s="255"/>
      <c r="AD175" s="255"/>
      <c r="AE175" s="255"/>
      <c r="AF175" s="255"/>
      <c r="AG175" s="255"/>
      <c r="AH175" s="255"/>
      <c r="AI175" s="255"/>
      <c r="AJ175" s="255"/>
      <c r="AK175" s="255"/>
      <c r="AL175" s="255"/>
      <c r="AM175" s="255"/>
      <c r="AN175" s="255"/>
      <c r="AO175" s="255"/>
      <c r="AP175" s="255"/>
      <c r="AQ175" s="255"/>
    </row>
    <row r="176" spans="2:43" ht="12" customHeight="1" x14ac:dyDescent="0.4">
      <c r="B176" s="306" t="s">
        <v>379</v>
      </c>
      <c r="C176" s="254"/>
      <c r="D176" s="255">
        <v>0</v>
      </c>
      <c r="E176" s="255">
        <v>0</v>
      </c>
      <c r="F176" s="255">
        <v>0</v>
      </c>
      <c r="G176" s="255">
        <v>0</v>
      </c>
      <c r="H176" s="255">
        <v>0</v>
      </c>
      <c r="I176" s="255">
        <v>0</v>
      </c>
      <c r="J176" s="255">
        <v>0</v>
      </c>
      <c r="K176" s="255">
        <v>0</v>
      </c>
      <c r="L176" s="255">
        <v>0</v>
      </c>
      <c r="M176" s="255">
        <v>0</v>
      </c>
      <c r="N176" s="255">
        <v>0</v>
      </c>
      <c r="O176" s="255">
        <v>0</v>
      </c>
      <c r="P176" s="255">
        <v>0</v>
      </c>
      <c r="Q176" s="255">
        <v>0</v>
      </c>
      <c r="R176" s="255">
        <v>0</v>
      </c>
      <c r="S176" s="255">
        <v>0</v>
      </c>
      <c r="T176" s="255">
        <v>0</v>
      </c>
      <c r="U176" s="255">
        <v>0</v>
      </c>
      <c r="V176" s="255">
        <v>0</v>
      </c>
      <c r="W176" s="255">
        <v>0</v>
      </c>
      <c r="X176" s="255">
        <v>0</v>
      </c>
      <c r="Y176" s="255">
        <v>0</v>
      </c>
      <c r="Z176" s="255">
        <v>0</v>
      </c>
      <c r="AA176" s="255">
        <v>0</v>
      </c>
      <c r="AB176" s="255">
        <v>0</v>
      </c>
      <c r="AC176" s="255"/>
      <c r="AD176" s="255"/>
      <c r="AE176" s="255"/>
      <c r="AF176" s="255"/>
      <c r="AG176" s="255"/>
      <c r="AH176" s="255"/>
      <c r="AI176" s="255"/>
      <c r="AJ176" s="255"/>
      <c r="AK176" s="255"/>
      <c r="AL176" s="255"/>
      <c r="AM176" s="255"/>
      <c r="AN176" s="255"/>
      <c r="AO176" s="255"/>
      <c r="AP176" s="255"/>
      <c r="AQ176" s="255"/>
    </row>
    <row r="177" spans="2:103" ht="12" customHeight="1" x14ac:dyDescent="0.4">
      <c r="B177" s="306" t="s">
        <v>381</v>
      </c>
      <c r="C177" s="254"/>
      <c r="D177" s="255">
        <v>0</v>
      </c>
      <c r="E177" s="255">
        <v>0</v>
      </c>
      <c r="F177" s="255">
        <v>0</v>
      </c>
      <c r="G177" s="255">
        <v>0</v>
      </c>
      <c r="H177" s="255">
        <v>0</v>
      </c>
      <c r="I177" s="255">
        <v>0</v>
      </c>
      <c r="J177" s="255">
        <v>0</v>
      </c>
      <c r="K177" s="255">
        <v>0</v>
      </c>
      <c r="L177" s="255">
        <v>0</v>
      </c>
      <c r="M177" s="255">
        <v>0</v>
      </c>
      <c r="N177" s="255">
        <v>0</v>
      </c>
      <c r="O177" s="255">
        <v>0</v>
      </c>
      <c r="P177" s="255">
        <v>0</v>
      </c>
      <c r="Q177" s="255">
        <v>0</v>
      </c>
      <c r="R177" s="255">
        <v>0</v>
      </c>
      <c r="S177" s="255">
        <v>0</v>
      </c>
      <c r="T177" s="255">
        <v>0</v>
      </c>
      <c r="U177" s="255">
        <v>0</v>
      </c>
      <c r="V177" s="255">
        <v>0</v>
      </c>
      <c r="W177" s="255">
        <v>0</v>
      </c>
      <c r="X177" s="255">
        <v>0</v>
      </c>
      <c r="Y177" s="255">
        <v>0</v>
      </c>
      <c r="Z177" s="255">
        <v>0</v>
      </c>
      <c r="AA177" s="255">
        <v>0</v>
      </c>
      <c r="AB177" s="255">
        <v>0</v>
      </c>
      <c r="AC177" s="255"/>
      <c r="AD177" s="255"/>
      <c r="AE177" s="255"/>
      <c r="AF177" s="255"/>
      <c r="AG177" s="255"/>
      <c r="AH177" s="255"/>
      <c r="AI177" s="255"/>
      <c r="AJ177" s="255"/>
      <c r="AK177" s="255"/>
      <c r="AL177" s="255"/>
      <c r="AM177" s="255"/>
      <c r="AN177" s="255"/>
      <c r="AO177" s="255"/>
      <c r="AP177" s="255"/>
      <c r="AQ177" s="255"/>
    </row>
    <row r="178" spans="2:103" ht="12" customHeight="1" x14ac:dyDescent="0.4">
      <c r="B178" s="306" t="s">
        <v>377</v>
      </c>
      <c r="C178" s="254"/>
      <c r="D178" s="314">
        <v>9.9999999999999998E+37</v>
      </c>
      <c r="E178" s="314">
        <v>9.9999999999999998E+37</v>
      </c>
      <c r="F178" s="314">
        <v>9.9999999999999998E+37</v>
      </c>
      <c r="G178" s="314">
        <v>9.9999999999999998E+37</v>
      </c>
      <c r="H178" s="314">
        <v>9.9999999999999998E+37</v>
      </c>
      <c r="I178" s="314">
        <v>9.9999999999999998E+37</v>
      </c>
      <c r="J178" s="314">
        <v>9.9999999999999998E+37</v>
      </c>
      <c r="K178" s="314">
        <v>9.9999999999999998E+37</v>
      </c>
      <c r="L178" s="314">
        <v>9.9999999999999998E+37</v>
      </c>
      <c r="M178" s="314">
        <v>9.9999999999999998E+37</v>
      </c>
      <c r="N178" s="314">
        <v>9.9999999999999998E+37</v>
      </c>
      <c r="O178" s="314">
        <v>9.9999999999999998E+37</v>
      </c>
      <c r="P178" s="314">
        <v>9.9999999999999998E+37</v>
      </c>
      <c r="Q178" s="314">
        <v>9.9999999999999998E+37</v>
      </c>
      <c r="R178" s="314">
        <v>9.9999999999999998E+37</v>
      </c>
      <c r="S178" s="314">
        <v>9.9999999999999998E+37</v>
      </c>
      <c r="T178" s="314">
        <v>9.9999999999999998E+37</v>
      </c>
      <c r="U178" s="314">
        <v>9.9999999999999998E+37</v>
      </c>
      <c r="V178" s="314">
        <v>9.9999999999999998E+37</v>
      </c>
      <c r="W178" s="314">
        <v>9.9999999999999998E+37</v>
      </c>
      <c r="X178" s="314">
        <v>9.9999999999999998E+37</v>
      </c>
      <c r="Y178" s="314">
        <v>9.9999999999999998E+37</v>
      </c>
      <c r="Z178" s="314">
        <v>9.9999999999999998E+37</v>
      </c>
      <c r="AA178" s="314">
        <v>9.9999999999999998E+37</v>
      </c>
      <c r="AB178" s="314">
        <v>9.9999999999999998E+37</v>
      </c>
      <c r="AC178" s="314"/>
      <c r="AD178" s="314"/>
      <c r="AE178" s="314"/>
      <c r="AF178" s="314"/>
      <c r="AG178" s="314"/>
      <c r="AH178" s="314"/>
      <c r="AI178" s="314"/>
      <c r="AJ178" s="314"/>
      <c r="AK178" s="314"/>
      <c r="AL178" s="314"/>
      <c r="AM178" s="314"/>
      <c r="AN178" s="314"/>
      <c r="AO178" s="314"/>
      <c r="AP178" s="314"/>
      <c r="AQ178" s="314"/>
    </row>
    <row r="179" spans="2:103" ht="12" customHeight="1" x14ac:dyDescent="0.4">
      <c r="B179" s="306" t="s">
        <v>382</v>
      </c>
      <c r="C179" s="254"/>
      <c r="D179" s="255">
        <v>5</v>
      </c>
      <c r="E179" s="255">
        <v>5</v>
      </c>
      <c r="F179" s="255">
        <v>5</v>
      </c>
      <c r="G179" s="255">
        <v>5</v>
      </c>
      <c r="H179" s="255">
        <v>5</v>
      </c>
      <c r="I179" s="255">
        <v>5</v>
      </c>
      <c r="J179" s="255">
        <v>0</v>
      </c>
      <c r="K179" s="255">
        <v>0</v>
      </c>
      <c r="L179" s="255">
        <v>0</v>
      </c>
      <c r="M179" s="255">
        <v>0</v>
      </c>
      <c r="N179" s="255">
        <v>0</v>
      </c>
      <c r="O179" s="255">
        <v>0</v>
      </c>
      <c r="P179" s="255">
        <v>0</v>
      </c>
      <c r="Q179" s="255">
        <v>0</v>
      </c>
      <c r="R179" s="255">
        <v>0</v>
      </c>
      <c r="S179" s="255">
        <v>0</v>
      </c>
      <c r="T179" s="255">
        <v>0</v>
      </c>
      <c r="U179" s="255">
        <v>0</v>
      </c>
      <c r="V179" s="255">
        <v>0</v>
      </c>
      <c r="W179" s="255">
        <v>0</v>
      </c>
      <c r="X179" s="255">
        <v>0</v>
      </c>
      <c r="Y179" s="255">
        <v>0</v>
      </c>
      <c r="Z179" s="255">
        <v>0</v>
      </c>
      <c r="AA179" s="255">
        <v>0</v>
      </c>
      <c r="AB179" s="255">
        <v>0</v>
      </c>
      <c r="AC179" s="255"/>
      <c r="AD179" s="255"/>
      <c r="AE179" s="255"/>
      <c r="AF179" s="255"/>
      <c r="AG179" s="255"/>
      <c r="AH179" s="255"/>
      <c r="AI179" s="255"/>
      <c r="AJ179" s="255"/>
      <c r="AK179" s="255"/>
      <c r="AL179" s="255"/>
      <c r="AM179" s="255"/>
      <c r="AN179" s="255"/>
      <c r="AO179" s="255"/>
      <c r="AP179" s="255"/>
      <c r="AQ179" s="255"/>
    </row>
    <row r="180" spans="2:103" ht="12" customHeight="1" x14ac:dyDescent="0.4">
      <c r="B180" s="306" t="s">
        <v>378</v>
      </c>
      <c r="C180" s="254"/>
      <c r="D180" s="314">
        <v>9.9999999999999998E+37</v>
      </c>
      <c r="E180" s="314">
        <v>9.9999999999999998E+37</v>
      </c>
      <c r="F180" s="314">
        <v>9.9999999999999998E+37</v>
      </c>
      <c r="G180" s="314">
        <v>9.9999999999999998E+37</v>
      </c>
      <c r="H180" s="314">
        <v>9.9999999999999998E+37</v>
      </c>
      <c r="I180" s="314">
        <v>9.9999999999999998E+37</v>
      </c>
      <c r="J180" s="314">
        <v>9.9999999999999998E+37</v>
      </c>
      <c r="K180" s="314">
        <v>9.9999999999999998E+37</v>
      </c>
      <c r="L180" s="314">
        <v>9.9999999999999998E+37</v>
      </c>
      <c r="M180" s="314">
        <v>9.9999999999999998E+37</v>
      </c>
      <c r="N180" s="314">
        <v>9.9999999999999998E+37</v>
      </c>
      <c r="O180" s="314">
        <v>9.9999999999999998E+37</v>
      </c>
      <c r="P180" s="314">
        <v>9.9999999999999998E+37</v>
      </c>
      <c r="Q180" s="314">
        <v>9.9999999999999998E+37</v>
      </c>
      <c r="R180" s="314">
        <v>9.9999999999999998E+37</v>
      </c>
      <c r="S180" s="314">
        <v>9.9999999999999998E+37</v>
      </c>
      <c r="T180" s="314">
        <v>9.9999999999999998E+37</v>
      </c>
      <c r="U180" s="314">
        <v>9.9999999999999998E+37</v>
      </c>
      <c r="V180" s="314">
        <v>9.9999999999999998E+37</v>
      </c>
      <c r="W180" s="314">
        <v>9.9999999999999998E+37</v>
      </c>
      <c r="X180" s="314">
        <v>9.9999999999999998E+37</v>
      </c>
      <c r="Y180" s="314">
        <v>9.9999999999999998E+37</v>
      </c>
      <c r="Z180" s="314">
        <v>9.9999999999999998E+37</v>
      </c>
      <c r="AA180" s="314">
        <v>9.9999999999999998E+37</v>
      </c>
      <c r="AB180" s="314">
        <v>9.9999999999999998E+37</v>
      </c>
      <c r="AC180" s="314"/>
      <c r="AD180" s="314"/>
      <c r="AE180" s="314"/>
      <c r="AF180" s="314"/>
      <c r="AG180" s="314"/>
      <c r="AH180" s="314"/>
      <c r="AI180" s="314"/>
      <c r="AJ180" s="314"/>
      <c r="AK180" s="314"/>
      <c r="AL180" s="314"/>
      <c r="AM180" s="314"/>
      <c r="AN180" s="314"/>
      <c r="AO180" s="314"/>
      <c r="AP180" s="314"/>
      <c r="AQ180" s="314"/>
    </row>
    <row r="181" spans="2:103" x14ac:dyDescent="0.4">
      <c r="B181" s="253" t="s">
        <v>246</v>
      </c>
      <c r="C181" s="256"/>
      <c r="D181" s="256"/>
      <c r="E181" s="256"/>
      <c r="F181" s="256"/>
      <c r="G181" s="256"/>
      <c r="H181" s="256"/>
      <c r="I181" s="256"/>
      <c r="J181" s="256"/>
      <c r="K181" s="256"/>
      <c r="L181" s="256"/>
      <c r="M181" s="256"/>
      <c r="N181" s="256"/>
      <c r="O181" s="256"/>
      <c r="P181" s="256"/>
      <c r="Q181" s="256"/>
      <c r="R181" s="256"/>
      <c r="S181" s="256"/>
      <c r="T181" s="256"/>
      <c r="U181" s="256"/>
      <c r="V181" s="256"/>
      <c r="W181" s="256"/>
      <c r="X181" s="256"/>
      <c r="Y181" s="256"/>
      <c r="Z181" s="256"/>
      <c r="AA181" s="256"/>
      <c r="AB181" s="256"/>
      <c r="AC181" s="256"/>
      <c r="AD181" s="256"/>
      <c r="AE181" s="256"/>
      <c r="AF181" s="256"/>
      <c r="AG181" s="256"/>
      <c r="AH181" s="256"/>
      <c r="AI181" s="256"/>
      <c r="AJ181" s="256"/>
      <c r="AK181" s="256"/>
      <c r="AL181" s="256"/>
      <c r="AM181" s="256"/>
      <c r="AN181" s="256"/>
      <c r="AO181" s="256"/>
      <c r="AP181" s="256"/>
      <c r="AQ181" s="257"/>
    </row>
    <row r="182" spans="2:103" x14ac:dyDescent="0.4">
      <c r="B182" s="47" t="s">
        <v>4</v>
      </c>
      <c r="C182" s="254"/>
      <c r="D182" s="255"/>
      <c r="E182" s="255"/>
      <c r="F182" s="255"/>
      <c r="G182" s="255"/>
      <c r="H182" s="255"/>
      <c r="I182" s="255"/>
      <c r="J182" s="255"/>
      <c r="K182" s="255"/>
      <c r="L182" s="255"/>
      <c r="M182" s="255"/>
      <c r="N182" s="255"/>
      <c r="O182" s="255"/>
      <c r="P182" s="255"/>
      <c r="Q182" s="255"/>
      <c r="R182" s="255"/>
      <c r="S182" s="255"/>
      <c r="T182" s="255"/>
      <c r="U182" s="255"/>
      <c r="V182" s="255"/>
      <c r="W182" s="255"/>
      <c r="X182" s="255"/>
      <c r="Y182" s="255"/>
      <c r="Z182" s="255"/>
      <c r="AA182" s="255"/>
      <c r="AB182" s="255"/>
      <c r="AC182" s="255"/>
      <c r="AD182" s="255"/>
      <c r="AE182" s="255"/>
      <c r="AF182" s="255"/>
      <c r="AG182" s="255"/>
      <c r="AH182" s="255"/>
      <c r="AI182" s="255"/>
      <c r="AJ182" s="255"/>
      <c r="AK182" s="255"/>
      <c r="AL182" s="255"/>
      <c r="AM182" s="255"/>
      <c r="AN182" s="255"/>
      <c r="AO182" s="255"/>
      <c r="AP182" s="255"/>
      <c r="AQ182" s="255"/>
    </row>
    <row r="183" spans="2:103" x14ac:dyDescent="0.4">
      <c r="B183" s="35" t="s">
        <v>5</v>
      </c>
      <c r="C183" s="251"/>
      <c r="D183" s="252"/>
      <c r="E183" s="252"/>
      <c r="F183" s="252"/>
      <c r="G183" s="252"/>
      <c r="H183" s="252"/>
      <c r="I183" s="252"/>
      <c r="J183" s="252"/>
      <c r="K183" s="252"/>
      <c r="L183" s="252"/>
      <c r="M183" s="252"/>
      <c r="N183" s="252"/>
      <c r="O183" s="252"/>
      <c r="P183" s="252"/>
      <c r="Q183" s="252"/>
      <c r="R183" s="252"/>
      <c r="S183" s="252"/>
      <c r="T183" s="252"/>
      <c r="U183" s="252"/>
      <c r="V183" s="252"/>
      <c r="W183" s="252"/>
      <c r="X183" s="252"/>
      <c r="Y183" s="252"/>
      <c r="Z183" s="252"/>
      <c r="AA183" s="252"/>
      <c r="AB183" s="252"/>
      <c r="AC183" s="252"/>
      <c r="AD183" s="252"/>
      <c r="AE183" s="252"/>
      <c r="AF183" s="252"/>
      <c r="AG183" s="252"/>
      <c r="AH183" s="252"/>
      <c r="AI183" s="252"/>
      <c r="AJ183" s="252"/>
      <c r="AK183" s="252"/>
      <c r="AL183" s="252"/>
      <c r="AM183" s="252"/>
      <c r="AN183" s="252"/>
      <c r="AO183" s="252"/>
      <c r="AP183" s="252"/>
      <c r="AQ183" s="252"/>
    </row>
    <row r="184" spans="2:103" x14ac:dyDescent="0.4">
      <c r="B184" s="35" t="s">
        <v>153</v>
      </c>
      <c r="C184" s="251"/>
      <c r="D184" s="252"/>
      <c r="E184" s="252"/>
      <c r="F184" s="252"/>
      <c r="G184" s="252"/>
      <c r="H184" s="252"/>
      <c r="I184" s="252"/>
      <c r="J184" s="252"/>
      <c r="K184" s="252"/>
      <c r="L184" s="252"/>
      <c r="M184" s="252"/>
      <c r="N184" s="252"/>
      <c r="O184" s="252"/>
      <c r="P184" s="252"/>
      <c r="Q184" s="252"/>
      <c r="R184" s="252"/>
      <c r="S184" s="252"/>
      <c r="T184" s="252"/>
      <c r="U184" s="252"/>
      <c r="V184" s="252"/>
      <c r="W184" s="252"/>
      <c r="X184" s="252"/>
      <c r="Y184" s="252"/>
      <c r="Z184" s="252"/>
      <c r="AA184" s="252"/>
      <c r="AB184" s="252"/>
      <c r="AC184" s="252"/>
      <c r="AD184" s="252"/>
      <c r="AE184" s="252"/>
      <c r="AF184" s="252"/>
      <c r="AG184" s="252"/>
      <c r="AH184" s="252"/>
      <c r="AI184" s="252"/>
      <c r="AJ184" s="252"/>
      <c r="AK184" s="252"/>
      <c r="AL184" s="252"/>
      <c r="AM184" s="252"/>
      <c r="AN184" s="252"/>
      <c r="AO184" s="252"/>
      <c r="AP184" s="252"/>
      <c r="AQ184" s="252"/>
    </row>
    <row r="185" spans="2:103" x14ac:dyDescent="0.4">
      <c r="B185" s="57" t="s">
        <v>154</v>
      </c>
      <c r="C185" s="258"/>
      <c r="D185" s="259"/>
      <c r="E185" s="259"/>
      <c r="F185" s="259"/>
      <c r="G185" s="259"/>
      <c r="H185" s="259"/>
      <c r="I185" s="259"/>
      <c r="J185" s="259"/>
      <c r="K185" s="259"/>
      <c r="L185" s="259"/>
      <c r="M185" s="259"/>
      <c r="N185" s="259"/>
      <c r="O185" s="259"/>
      <c r="P185" s="259"/>
      <c r="Q185" s="259"/>
      <c r="R185" s="259"/>
      <c r="S185" s="259"/>
      <c r="T185" s="259"/>
      <c r="U185" s="259"/>
      <c r="V185" s="259"/>
      <c r="W185" s="259"/>
      <c r="X185" s="259"/>
      <c r="Y185" s="259"/>
      <c r="Z185" s="259"/>
      <c r="AA185" s="259"/>
      <c r="AB185" s="259"/>
      <c r="AC185" s="259"/>
      <c r="AD185" s="259"/>
      <c r="AE185" s="259"/>
      <c r="AF185" s="259"/>
      <c r="AG185" s="259"/>
      <c r="AH185" s="259"/>
      <c r="AI185" s="259"/>
      <c r="AJ185" s="259"/>
      <c r="AK185" s="259"/>
      <c r="AL185" s="259"/>
      <c r="AM185" s="259"/>
      <c r="AN185" s="259"/>
      <c r="AO185" s="259"/>
      <c r="AP185" s="259"/>
      <c r="AQ185" s="259"/>
    </row>
    <row r="186" spans="2:103" x14ac:dyDescent="0.4">
      <c r="B186" s="253" t="s">
        <v>247</v>
      </c>
      <c r="C186" s="256"/>
      <c r="D186" s="256"/>
      <c r="E186" s="256"/>
      <c r="F186" s="256"/>
      <c r="G186" s="256"/>
      <c r="H186" s="256"/>
      <c r="I186" s="256"/>
      <c r="J186" s="256"/>
      <c r="K186" s="256"/>
      <c r="L186" s="256"/>
      <c r="M186" s="256"/>
      <c r="N186" s="256"/>
      <c r="O186" s="256"/>
      <c r="P186" s="256"/>
      <c r="Q186" s="256"/>
      <c r="R186" s="256"/>
      <c r="S186" s="256"/>
      <c r="T186" s="256"/>
      <c r="U186" s="256"/>
      <c r="V186" s="256"/>
      <c r="W186" s="256"/>
      <c r="X186" s="256"/>
      <c r="Y186" s="256"/>
      <c r="Z186" s="256"/>
      <c r="AA186" s="256"/>
      <c r="AB186" s="256"/>
      <c r="AC186" s="256"/>
      <c r="AD186" s="256"/>
      <c r="AE186" s="256"/>
      <c r="AF186" s="256"/>
      <c r="AG186" s="256"/>
      <c r="AH186" s="256"/>
      <c r="AI186" s="256"/>
      <c r="AJ186" s="256"/>
      <c r="AK186" s="256"/>
      <c r="AL186" s="256"/>
      <c r="AM186" s="256"/>
      <c r="AN186" s="256"/>
      <c r="AO186" s="256"/>
      <c r="AP186" s="256"/>
      <c r="AQ186" s="257"/>
    </row>
    <row r="187" spans="2:103" x14ac:dyDescent="0.4">
      <c r="B187" s="47" t="s">
        <v>4</v>
      </c>
      <c r="C187" s="254"/>
      <c r="D187" s="255"/>
      <c r="E187" s="255"/>
      <c r="F187" s="255"/>
      <c r="G187" s="255"/>
      <c r="H187" s="255"/>
      <c r="I187" s="255"/>
      <c r="J187" s="255"/>
      <c r="K187" s="255"/>
      <c r="L187" s="255"/>
      <c r="M187" s="255"/>
      <c r="N187" s="255"/>
      <c r="O187" s="255"/>
      <c r="P187" s="255"/>
      <c r="Q187" s="255"/>
      <c r="R187" s="255"/>
      <c r="S187" s="255"/>
      <c r="T187" s="255"/>
      <c r="U187" s="255"/>
      <c r="V187" s="255"/>
      <c r="W187" s="255"/>
      <c r="X187" s="255"/>
      <c r="Y187" s="255"/>
      <c r="Z187" s="255"/>
      <c r="AA187" s="255"/>
      <c r="AB187" s="255"/>
      <c r="AC187" s="255"/>
      <c r="AD187" s="255"/>
      <c r="AE187" s="255"/>
      <c r="AF187" s="255"/>
      <c r="AG187" s="255"/>
      <c r="AH187" s="255"/>
      <c r="AI187" s="255"/>
      <c r="AJ187" s="255"/>
      <c r="AK187" s="255"/>
      <c r="AL187" s="255"/>
      <c r="AM187" s="255"/>
      <c r="AN187" s="255"/>
      <c r="AO187" s="255"/>
      <c r="AP187" s="255"/>
      <c r="AQ187" s="255"/>
    </row>
    <row r="188" spans="2:103" x14ac:dyDescent="0.4">
      <c r="B188" s="35" t="s">
        <v>5</v>
      </c>
      <c r="C188" s="251"/>
      <c r="D188" s="252"/>
      <c r="E188" s="252"/>
      <c r="F188" s="252"/>
      <c r="G188" s="252"/>
      <c r="H188" s="252"/>
      <c r="I188" s="252"/>
      <c r="J188" s="252"/>
      <c r="K188" s="252"/>
      <c r="L188" s="252"/>
      <c r="M188" s="252"/>
      <c r="N188" s="252"/>
      <c r="O188" s="252"/>
      <c r="P188" s="252"/>
      <c r="Q188" s="252"/>
      <c r="R188" s="252"/>
      <c r="S188" s="252"/>
      <c r="T188" s="252"/>
      <c r="U188" s="252"/>
      <c r="V188" s="252"/>
      <c r="W188" s="252"/>
      <c r="X188" s="252"/>
      <c r="Y188" s="252"/>
      <c r="Z188" s="252"/>
      <c r="AA188" s="252"/>
      <c r="AB188" s="252"/>
      <c r="AC188" s="252"/>
      <c r="AD188" s="252"/>
      <c r="AE188" s="252"/>
      <c r="AF188" s="252"/>
      <c r="AG188" s="252"/>
      <c r="AH188" s="252"/>
      <c r="AI188" s="252"/>
      <c r="AJ188" s="252"/>
      <c r="AK188" s="252"/>
      <c r="AL188" s="252"/>
      <c r="AM188" s="252"/>
      <c r="AN188" s="252"/>
      <c r="AO188" s="252"/>
      <c r="AP188" s="252"/>
      <c r="AQ188" s="252"/>
    </row>
    <row r="189" spans="2:103" x14ac:dyDescent="0.4">
      <c r="B189" s="266" t="s">
        <v>284</v>
      </c>
      <c r="C189" s="270"/>
      <c r="D189" s="117"/>
      <c r="E189" s="117"/>
      <c r="F189" s="117"/>
      <c r="G189" s="117"/>
      <c r="H189" s="117"/>
      <c r="I189" s="117"/>
      <c r="J189" s="117"/>
      <c r="K189" s="117"/>
      <c r="L189" s="117"/>
      <c r="M189" s="117"/>
      <c r="N189" s="117"/>
      <c r="O189" s="117"/>
      <c r="P189" s="117"/>
      <c r="Q189" s="117"/>
      <c r="R189" s="117"/>
      <c r="S189" s="117"/>
      <c r="T189" s="117"/>
      <c r="U189" s="117"/>
      <c r="V189" s="117"/>
      <c r="W189" s="117"/>
      <c r="X189" s="117"/>
      <c r="Y189" s="117"/>
      <c r="Z189" s="117"/>
      <c r="AA189" s="117"/>
      <c r="AB189" s="117"/>
      <c r="AC189" s="117"/>
      <c r="AD189" s="117"/>
      <c r="AE189" s="117"/>
      <c r="AF189" s="117"/>
      <c r="AG189" s="117"/>
      <c r="AH189" s="117"/>
      <c r="AI189" s="117"/>
      <c r="AJ189" s="117"/>
      <c r="AK189" s="117"/>
      <c r="AL189" s="117"/>
      <c r="AM189" s="117"/>
      <c r="AN189" s="117"/>
      <c r="AO189" s="117"/>
      <c r="AP189" s="117"/>
      <c r="AQ189" s="268"/>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row>
    <row r="190" spans="2:103" x14ac:dyDescent="0.4">
      <c r="B190" s="299" t="s">
        <v>285</v>
      </c>
      <c r="C190" s="308">
        <v>0</v>
      </c>
      <c r="D190" s="308">
        <v>2228.5300000000002</v>
      </c>
      <c r="E190" s="308">
        <v>2228.5300000000002</v>
      </c>
      <c r="F190" s="308">
        <v>2228.5300000000002</v>
      </c>
      <c r="G190" s="308">
        <v>2228.5300000000002</v>
      </c>
      <c r="H190" s="308">
        <v>2228.5300000000002</v>
      </c>
      <c r="I190" s="308">
        <v>2228.5300000000002</v>
      </c>
      <c r="J190" s="308">
        <v>2228.5300000000002</v>
      </c>
      <c r="K190" s="308">
        <v>2228.5300000000002</v>
      </c>
      <c r="L190" s="308">
        <v>2228.5300000000002</v>
      </c>
      <c r="M190" s="308">
        <v>2228.5300000000002</v>
      </c>
      <c r="N190" s="308">
        <v>1126.42</v>
      </c>
      <c r="O190" s="308">
        <v>1126.42</v>
      </c>
      <c r="P190" s="308">
        <v>1126.42</v>
      </c>
      <c r="Q190" s="308">
        <v>1126.74</v>
      </c>
      <c r="R190" s="308">
        <v>1127.05</v>
      </c>
      <c r="S190" s="308">
        <v>1127.3699999999999</v>
      </c>
      <c r="T190" s="308">
        <v>1127.68</v>
      </c>
      <c r="U190" s="308">
        <v>1128</v>
      </c>
      <c r="V190" s="308">
        <v>1128.31</v>
      </c>
      <c r="W190" s="308">
        <v>1128.6300000000001</v>
      </c>
      <c r="X190" s="308">
        <v>1128.6300000000001</v>
      </c>
      <c r="Y190" s="308">
        <v>1128.6300000000001</v>
      </c>
      <c r="Z190" s="308">
        <v>1128.95</v>
      </c>
      <c r="AA190" s="308">
        <v>1129.58</v>
      </c>
      <c r="AB190" s="308">
        <v>1129.8900000000001</v>
      </c>
      <c r="AC190" s="308"/>
      <c r="AD190" s="308"/>
      <c r="AE190" s="308"/>
      <c r="AF190" s="308"/>
      <c r="AG190" s="308"/>
      <c r="AH190" s="308"/>
      <c r="AI190" s="308"/>
      <c r="AJ190" s="308"/>
      <c r="AK190" s="308"/>
      <c r="AL190" s="308"/>
      <c r="AM190" s="308"/>
      <c r="AN190" s="308"/>
      <c r="AO190" s="308"/>
      <c r="AP190" s="308"/>
      <c r="AQ190" s="308"/>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row>
    <row r="191" spans="2:103" x14ac:dyDescent="0.4">
      <c r="B191" s="303" t="s">
        <v>320</v>
      </c>
      <c r="C191" s="304"/>
      <c r="D191" s="304"/>
      <c r="E191" s="304"/>
      <c r="F191" s="304"/>
      <c r="G191" s="304"/>
      <c r="H191" s="304"/>
      <c r="I191" s="304"/>
      <c r="J191" s="304"/>
      <c r="K191" s="304"/>
      <c r="L191" s="304"/>
      <c r="M191" s="304"/>
      <c r="N191" s="304"/>
      <c r="O191" s="304"/>
      <c r="P191" s="304"/>
      <c r="Q191" s="304"/>
      <c r="R191" s="304"/>
      <c r="S191" s="304"/>
      <c r="T191" s="304"/>
      <c r="U191" s="304"/>
      <c r="V191" s="304"/>
      <c r="W191" s="304"/>
      <c r="X191" s="304"/>
      <c r="Y191" s="304"/>
      <c r="Z191" s="304"/>
      <c r="AA191" s="304"/>
      <c r="AB191" s="304"/>
      <c r="AC191" s="304"/>
      <c r="AD191" s="304"/>
      <c r="AE191" s="304"/>
      <c r="AF191" s="304"/>
      <c r="AG191" s="304"/>
      <c r="AH191" s="304"/>
      <c r="AI191" s="304"/>
      <c r="AJ191" s="304"/>
      <c r="AK191" s="304"/>
      <c r="AL191" s="304"/>
      <c r="AM191" s="304"/>
      <c r="AN191" s="304"/>
      <c r="AO191" s="304"/>
      <c r="AP191" s="304"/>
      <c r="AQ191" s="305"/>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row>
    <row r="192" spans="2:103" x14ac:dyDescent="0.4">
      <c r="B192" s="301" t="s">
        <v>310</v>
      </c>
      <c r="C192" s="302">
        <v>0</v>
      </c>
      <c r="D192" s="302">
        <v>0</v>
      </c>
      <c r="E192" s="302">
        <v>0</v>
      </c>
      <c r="F192" s="302">
        <v>0</v>
      </c>
      <c r="G192" s="302">
        <v>0</v>
      </c>
      <c r="H192" s="302">
        <v>0</v>
      </c>
      <c r="I192" s="302">
        <v>0</v>
      </c>
      <c r="J192" s="302">
        <v>0</v>
      </c>
      <c r="K192" s="302">
        <v>0</v>
      </c>
      <c r="L192" s="302">
        <v>0</v>
      </c>
      <c r="M192" s="302">
        <v>0</v>
      </c>
      <c r="N192" s="302">
        <v>0</v>
      </c>
      <c r="O192" s="302">
        <v>0</v>
      </c>
      <c r="P192" s="302">
        <v>0</v>
      </c>
      <c r="Q192" s="302">
        <v>0</v>
      </c>
      <c r="R192" s="302">
        <v>0</v>
      </c>
      <c r="S192" s="302">
        <v>0</v>
      </c>
      <c r="T192" s="302">
        <v>0</v>
      </c>
      <c r="U192" s="302">
        <v>0</v>
      </c>
      <c r="V192" s="302">
        <v>0</v>
      </c>
      <c r="W192" s="302">
        <v>0</v>
      </c>
      <c r="X192" s="302">
        <v>0</v>
      </c>
      <c r="Y192" s="302">
        <v>0</v>
      </c>
      <c r="Z192" s="302">
        <v>0</v>
      </c>
      <c r="AA192" s="302">
        <v>0</v>
      </c>
      <c r="AB192" s="302">
        <v>0</v>
      </c>
      <c r="AC192" s="302"/>
      <c r="AD192" s="302"/>
      <c r="AE192" s="302"/>
      <c r="AF192" s="302"/>
      <c r="AG192" s="302"/>
      <c r="AH192" s="302"/>
      <c r="AI192" s="302"/>
      <c r="AJ192" s="302"/>
      <c r="AK192" s="302"/>
      <c r="AL192" s="302"/>
      <c r="AM192" s="302"/>
      <c r="AN192" s="302"/>
      <c r="AO192" s="302"/>
      <c r="AP192" s="302"/>
      <c r="AQ192" s="302"/>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row>
    <row r="193" spans="2:103" x14ac:dyDescent="0.4">
      <c r="B193" s="269" t="s">
        <v>311</v>
      </c>
      <c r="C193" s="200">
        <v>0</v>
      </c>
      <c r="D193" s="200">
        <v>72926.3</v>
      </c>
      <c r="E193" s="200">
        <v>74749.399999999994</v>
      </c>
      <c r="F193" s="200">
        <v>76618.2</v>
      </c>
      <c r="G193" s="200">
        <v>78533.600000000006</v>
      </c>
      <c r="H193" s="200">
        <v>80497</v>
      </c>
      <c r="I193" s="200">
        <v>82509.399999999994</v>
      </c>
      <c r="J193" s="200">
        <v>84572.1</v>
      </c>
      <c r="K193" s="200">
        <v>86686.399999999994</v>
      </c>
      <c r="L193" s="200">
        <v>88853.6</v>
      </c>
      <c r="M193" s="200">
        <v>91074.9</v>
      </c>
      <c r="N193" s="200">
        <v>93351.8</v>
      </c>
      <c r="O193" s="200">
        <v>95685.6</v>
      </c>
      <c r="P193" s="200">
        <v>98077.7</v>
      </c>
      <c r="Q193" s="200">
        <v>100530</v>
      </c>
      <c r="R193" s="200">
        <v>103043</v>
      </c>
      <c r="S193" s="200">
        <v>105619</v>
      </c>
      <c r="T193" s="200">
        <v>108259</v>
      </c>
      <c r="U193" s="200">
        <v>110966</v>
      </c>
      <c r="V193" s="200">
        <v>113740</v>
      </c>
      <c r="W193" s="200">
        <v>116584</v>
      </c>
      <c r="X193" s="200">
        <v>119498</v>
      </c>
      <c r="Y193" s="200">
        <v>122486</v>
      </c>
      <c r="Z193" s="200">
        <v>125548</v>
      </c>
      <c r="AA193" s="200">
        <v>128686</v>
      </c>
      <c r="AB193" s="200">
        <v>131904</v>
      </c>
      <c r="AC193" s="200"/>
      <c r="AD193" s="200"/>
      <c r="AE193" s="200"/>
      <c r="AF193" s="200"/>
      <c r="AG193" s="200"/>
      <c r="AH193" s="200"/>
      <c r="AI193" s="200"/>
      <c r="AJ193" s="200"/>
      <c r="AK193" s="200"/>
      <c r="AL193" s="200"/>
      <c r="AM193" s="200"/>
      <c r="AN193" s="200"/>
      <c r="AO193" s="200"/>
      <c r="AP193" s="200"/>
      <c r="AQ193" s="200"/>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row>
    <row r="194" spans="2:103" x14ac:dyDescent="0.4">
      <c r="B194" s="269" t="s">
        <v>321</v>
      </c>
      <c r="C194" s="200">
        <v>0</v>
      </c>
      <c r="D194" s="200">
        <v>1952.68</v>
      </c>
      <c r="E194" s="200">
        <v>1996.42</v>
      </c>
      <c r="F194" s="200">
        <v>2020.8</v>
      </c>
      <c r="G194" s="200">
        <v>2046.72</v>
      </c>
      <c r="H194" s="200">
        <v>2075.38</v>
      </c>
      <c r="I194" s="200">
        <v>2106.08</v>
      </c>
      <c r="J194" s="200">
        <v>2138.42</v>
      </c>
      <c r="K194" s="200">
        <v>2172.1799999999998</v>
      </c>
      <c r="L194" s="200">
        <v>2207.2199999999998</v>
      </c>
      <c r="M194" s="200">
        <v>2438.63</v>
      </c>
      <c r="N194" s="200">
        <v>2493.21</v>
      </c>
      <c r="O194" s="200">
        <v>2523.64</v>
      </c>
      <c r="P194" s="200">
        <v>2556.02</v>
      </c>
      <c r="Q194" s="200">
        <v>2591.83</v>
      </c>
      <c r="R194" s="200">
        <v>2630.16</v>
      </c>
      <c r="S194" s="200">
        <v>2670.56</v>
      </c>
      <c r="T194" s="200">
        <v>2712.72</v>
      </c>
      <c r="U194" s="200">
        <v>2756.48</v>
      </c>
      <c r="V194" s="200">
        <v>2801.7</v>
      </c>
      <c r="W194" s="200">
        <v>3121.65</v>
      </c>
      <c r="X194" s="200">
        <v>3191.52</v>
      </c>
      <c r="Y194" s="200">
        <v>3230.48</v>
      </c>
      <c r="Z194" s="200">
        <v>3271.92</v>
      </c>
      <c r="AA194" s="200">
        <v>3317.76</v>
      </c>
      <c r="AB194" s="200">
        <v>3366.83</v>
      </c>
      <c r="AC194" s="200"/>
      <c r="AD194" s="200"/>
      <c r="AE194" s="200"/>
      <c r="AF194" s="200"/>
      <c r="AG194" s="200"/>
      <c r="AH194" s="200"/>
      <c r="AI194" s="200"/>
      <c r="AJ194" s="200"/>
      <c r="AK194" s="200"/>
      <c r="AL194" s="200"/>
      <c r="AM194" s="200"/>
      <c r="AN194" s="200"/>
      <c r="AO194" s="200"/>
      <c r="AP194" s="200"/>
      <c r="AQ194" s="200"/>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row>
    <row r="195" spans="2:103" x14ac:dyDescent="0.4">
      <c r="B195" s="299" t="s">
        <v>279</v>
      </c>
      <c r="C195" s="300">
        <v>0</v>
      </c>
      <c r="D195" s="300">
        <v>0</v>
      </c>
      <c r="E195" s="300">
        <v>0</v>
      </c>
      <c r="F195" s="300">
        <v>0</v>
      </c>
      <c r="G195" s="300">
        <v>0</v>
      </c>
      <c r="H195" s="300">
        <v>0</v>
      </c>
      <c r="I195" s="300">
        <v>0</v>
      </c>
      <c r="J195" s="300">
        <v>0</v>
      </c>
      <c r="K195" s="300">
        <v>0</v>
      </c>
      <c r="L195" s="300">
        <v>0</v>
      </c>
      <c r="M195" s="300">
        <v>3942420</v>
      </c>
      <c r="N195" s="300">
        <v>0</v>
      </c>
      <c r="O195" s="300">
        <v>0</v>
      </c>
      <c r="P195" s="300">
        <v>0</v>
      </c>
      <c r="Q195" s="300">
        <v>0</v>
      </c>
      <c r="R195" s="300">
        <v>0</v>
      </c>
      <c r="S195" s="300">
        <v>0</v>
      </c>
      <c r="T195" s="300">
        <v>0</v>
      </c>
      <c r="U195" s="300">
        <v>0</v>
      </c>
      <c r="V195" s="300">
        <v>0</v>
      </c>
      <c r="W195" s="300">
        <v>5046630</v>
      </c>
      <c r="X195" s="300">
        <v>0</v>
      </c>
      <c r="Y195" s="300">
        <v>0</v>
      </c>
      <c r="Z195" s="300">
        <v>0</v>
      </c>
      <c r="AA195" s="300">
        <v>0</v>
      </c>
      <c r="AB195" s="300">
        <v>0</v>
      </c>
      <c r="AC195" s="300"/>
      <c r="AD195" s="300"/>
      <c r="AE195" s="300"/>
      <c r="AF195" s="300"/>
      <c r="AG195" s="300"/>
      <c r="AH195" s="300"/>
      <c r="AI195" s="300"/>
      <c r="AJ195" s="300"/>
      <c r="AK195" s="300"/>
      <c r="AL195" s="300"/>
      <c r="AM195" s="300"/>
      <c r="AN195" s="300"/>
      <c r="AO195" s="300"/>
      <c r="AP195" s="300"/>
      <c r="AQ195" s="300"/>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row>
    <row r="196" spans="2:103" x14ac:dyDescent="0.4">
      <c r="B196" s="303" t="s">
        <v>314</v>
      </c>
      <c r="C196" s="304"/>
      <c r="D196" s="304"/>
      <c r="E196" s="304"/>
      <c r="F196" s="304"/>
      <c r="G196" s="304"/>
      <c r="H196" s="304"/>
      <c r="I196" s="304"/>
      <c r="J196" s="304"/>
      <c r="K196" s="304"/>
      <c r="L196" s="304"/>
      <c r="M196" s="304"/>
      <c r="N196" s="304"/>
      <c r="O196" s="304"/>
      <c r="P196" s="304"/>
      <c r="Q196" s="304"/>
      <c r="R196" s="304"/>
      <c r="S196" s="304"/>
      <c r="T196" s="304"/>
      <c r="U196" s="304"/>
      <c r="V196" s="304"/>
      <c r="W196" s="304"/>
      <c r="X196" s="304"/>
      <c r="Y196" s="304"/>
      <c r="Z196" s="304"/>
      <c r="AA196" s="304"/>
      <c r="AB196" s="304"/>
      <c r="AC196" s="304"/>
      <c r="AD196" s="304"/>
      <c r="AE196" s="304"/>
      <c r="AF196" s="304"/>
      <c r="AG196" s="304"/>
      <c r="AH196" s="304"/>
      <c r="AI196" s="304"/>
      <c r="AJ196" s="304"/>
      <c r="AK196" s="304"/>
      <c r="AL196" s="304"/>
      <c r="AM196" s="304"/>
      <c r="AN196" s="304"/>
      <c r="AO196" s="304"/>
      <c r="AP196" s="304"/>
      <c r="AQ196" s="305"/>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row>
    <row r="197" spans="2:103" x14ac:dyDescent="0.4">
      <c r="B197" s="301" t="s">
        <v>308</v>
      </c>
      <c r="C197" s="302"/>
      <c r="D197" s="302"/>
      <c r="E197" s="302"/>
      <c r="F197" s="302"/>
      <c r="G197" s="302"/>
      <c r="H197" s="302"/>
      <c r="I197" s="302"/>
      <c r="J197" s="302"/>
      <c r="K197" s="302"/>
      <c r="L197" s="302"/>
      <c r="M197" s="302"/>
      <c r="N197" s="302"/>
      <c r="O197" s="302"/>
      <c r="P197" s="302"/>
      <c r="Q197" s="302"/>
      <c r="R197" s="302"/>
      <c r="S197" s="302"/>
      <c r="T197" s="302"/>
      <c r="U197" s="302"/>
      <c r="V197" s="302"/>
      <c r="W197" s="302"/>
      <c r="X197" s="302"/>
      <c r="Y197" s="302"/>
      <c r="Z197" s="302"/>
      <c r="AA197" s="302"/>
      <c r="AB197" s="302"/>
      <c r="AC197" s="302"/>
      <c r="AD197" s="302"/>
      <c r="AE197" s="302"/>
      <c r="AF197" s="302"/>
      <c r="AG197" s="302"/>
      <c r="AH197" s="302"/>
      <c r="AI197" s="302"/>
      <c r="AJ197" s="302"/>
      <c r="AK197" s="302"/>
      <c r="AL197" s="302"/>
      <c r="AM197" s="302"/>
      <c r="AN197" s="302"/>
      <c r="AO197" s="302"/>
      <c r="AP197" s="302"/>
      <c r="AQ197" s="302"/>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row>
    <row r="198" spans="2:103" x14ac:dyDescent="0.4">
      <c r="B198" s="269" t="s">
        <v>309</v>
      </c>
      <c r="C198" s="200"/>
      <c r="D198" s="200"/>
      <c r="E198" s="200"/>
      <c r="F198" s="200"/>
      <c r="G198" s="200"/>
      <c r="H198" s="200"/>
      <c r="I198" s="200"/>
      <c r="J198" s="200"/>
      <c r="K198" s="200"/>
      <c r="L198" s="200"/>
      <c r="M198" s="200"/>
      <c r="N198" s="200"/>
      <c r="O198" s="200"/>
      <c r="P198" s="200"/>
      <c r="Q198" s="200"/>
      <c r="R198" s="200"/>
      <c r="S198" s="200"/>
      <c r="T198" s="200"/>
      <c r="U198" s="200"/>
      <c r="V198" s="200"/>
      <c r="W198" s="200"/>
      <c r="X198" s="200"/>
      <c r="Y198" s="200"/>
      <c r="Z198" s="200"/>
      <c r="AA198" s="200"/>
      <c r="AB198" s="200"/>
      <c r="AC198" s="200"/>
      <c r="AD198" s="200"/>
      <c r="AE198" s="200"/>
      <c r="AF198" s="200"/>
      <c r="AG198" s="200"/>
      <c r="AH198" s="200"/>
      <c r="AI198" s="200"/>
      <c r="AJ198" s="200"/>
      <c r="AK198" s="200"/>
      <c r="AL198" s="200"/>
      <c r="AM198" s="200"/>
      <c r="AN198" s="200"/>
      <c r="AO198" s="200"/>
      <c r="AP198" s="200"/>
      <c r="AQ198" s="200"/>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row>
    <row r="199" spans="2:103" x14ac:dyDescent="0.4">
      <c r="B199" s="269" t="s">
        <v>328</v>
      </c>
      <c r="C199" s="200"/>
      <c r="D199" s="200"/>
      <c r="E199" s="200"/>
      <c r="F199" s="200"/>
      <c r="G199" s="200"/>
      <c r="H199" s="200"/>
      <c r="I199" s="200"/>
      <c r="J199" s="200"/>
      <c r="K199" s="200"/>
      <c r="L199" s="200"/>
      <c r="M199" s="200"/>
      <c r="N199" s="200"/>
      <c r="O199" s="200"/>
      <c r="P199" s="200"/>
      <c r="Q199" s="200"/>
      <c r="R199" s="200"/>
      <c r="S199" s="200"/>
      <c r="T199" s="200"/>
      <c r="U199" s="200"/>
      <c r="V199" s="200"/>
      <c r="W199" s="200"/>
      <c r="X199" s="200"/>
      <c r="Y199" s="200"/>
      <c r="Z199" s="200"/>
      <c r="AA199" s="200"/>
      <c r="AB199" s="200"/>
      <c r="AC199" s="200"/>
      <c r="AD199" s="200"/>
      <c r="AE199" s="200"/>
      <c r="AF199" s="200"/>
      <c r="AG199" s="200"/>
      <c r="AH199" s="200"/>
      <c r="AI199" s="200"/>
      <c r="AJ199" s="200"/>
      <c r="AK199" s="200"/>
      <c r="AL199" s="200"/>
      <c r="AM199" s="200"/>
      <c r="AN199" s="200"/>
      <c r="AO199" s="200"/>
      <c r="AP199" s="200"/>
      <c r="AQ199" s="200"/>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row>
    <row r="200" spans="2:103" x14ac:dyDescent="0.4">
      <c r="B200" s="269" t="s">
        <v>312</v>
      </c>
      <c r="C200" s="200"/>
      <c r="D200" s="200"/>
      <c r="E200" s="200"/>
      <c r="F200" s="200"/>
      <c r="G200" s="200"/>
      <c r="H200" s="200"/>
      <c r="I200" s="200"/>
      <c r="J200" s="200"/>
      <c r="K200" s="200"/>
      <c r="L200" s="200"/>
      <c r="M200" s="200"/>
      <c r="N200" s="200"/>
      <c r="O200" s="200"/>
      <c r="P200" s="200"/>
      <c r="Q200" s="200"/>
      <c r="R200" s="200"/>
      <c r="S200" s="200"/>
      <c r="T200" s="200"/>
      <c r="U200" s="200"/>
      <c r="V200" s="200"/>
      <c r="W200" s="200"/>
      <c r="X200" s="200"/>
      <c r="Y200" s="200"/>
      <c r="Z200" s="200"/>
      <c r="AA200" s="200"/>
      <c r="AB200" s="200"/>
      <c r="AC200" s="200"/>
      <c r="AD200" s="200"/>
      <c r="AE200" s="200"/>
      <c r="AF200" s="200"/>
      <c r="AG200" s="200"/>
      <c r="AH200" s="200"/>
      <c r="AI200" s="200"/>
      <c r="AJ200" s="200"/>
      <c r="AK200" s="200"/>
      <c r="AL200" s="200"/>
      <c r="AM200" s="200"/>
      <c r="AN200" s="200"/>
      <c r="AO200" s="200"/>
      <c r="AP200" s="200"/>
      <c r="AQ200" s="200"/>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row>
    <row r="201" spans="2:103" x14ac:dyDescent="0.4">
      <c r="B201" s="299" t="s">
        <v>352</v>
      </c>
      <c r="C201" s="300"/>
      <c r="D201" s="300"/>
      <c r="E201" s="300"/>
      <c r="F201" s="300"/>
      <c r="G201" s="300"/>
      <c r="H201" s="300"/>
      <c r="I201" s="300"/>
      <c r="J201" s="300"/>
      <c r="K201" s="300"/>
      <c r="L201" s="300"/>
      <c r="M201" s="300"/>
      <c r="N201" s="300"/>
      <c r="O201" s="300"/>
      <c r="P201" s="300"/>
      <c r="Q201" s="300"/>
      <c r="R201" s="300"/>
      <c r="S201" s="300"/>
      <c r="T201" s="300"/>
      <c r="U201" s="300"/>
      <c r="V201" s="300"/>
      <c r="W201" s="300"/>
      <c r="X201" s="300"/>
      <c r="Y201" s="300"/>
      <c r="Z201" s="300"/>
      <c r="AA201" s="300"/>
      <c r="AB201" s="300"/>
      <c r="AC201" s="300"/>
      <c r="AD201" s="300"/>
      <c r="AE201" s="300"/>
      <c r="AF201" s="300"/>
      <c r="AG201" s="300"/>
      <c r="AH201" s="300"/>
      <c r="AI201" s="300"/>
      <c r="AJ201" s="300"/>
      <c r="AK201" s="300"/>
      <c r="AL201" s="300"/>
      <c r="AM201" s="300"/>
      <c r="AN201" s="300"/>
      <c r="AO201" s="300"/>
      <c r="AP201" s="300"/>
      <c r="AQ201" s="300"/>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row>
    <row r="202" spans="2:103" x14ac:dyDescent="0.4">
      <c r="B202" s="303" t="s">
        <v>447</v>
      </c>
      <c r="C202" s="304"/>
      <c r="D202" s="304"/>
      <c r="E202" s="304"/>
      <c r="F202" s="304"/>
      <c r="G202" s="304"/>
      <c r="H202" s="304"/>
      <c r="I202" s="304"/>
      <c r="J202" s="304"/>
      <c r="K202" s="304"/>
      <c r="L202" s="304"/>
      <c r="M202" s="304"/>
      <c r="N202" s="304"/>
      <c r="O202" s="304"/>
      <c r="P202" s="304"/>
      <c r="Q202" s="304"/>
      <c r="R202" s="304"/>
      <c r="S202" s="304"/>
      <c r="T202" s="304"/>
      <c r="U202" s="304"/>
      <c r="V202" s="304"/>
      <c r="W202" s="304"/>
      <c r="X202" s="304"/>
      <c r="Y202" s="304"/>
      <c r="Z202" s="304"/>
      <c r="AA202" s="304"/>
      <c r="AB202" s="304"/>
      <c r="AC202" s="304"/>
      <c r="AD202" s="304"/>
      <c r="AE202" s="304"/>
      <c r="AF202" s="304"/>
      <c r="AG202" s="304"/>
      <c r="AH202" s="304"/>
      <c r="AI202" s="304"/>
      <c r="AJ202" s="304"/>
      <c r="AK202" s="304"/>
      <c r="AL202" s="304"/>
      <c r="AM202" s="304"/>
      <c r="AN202" s="304"/>
      <c r="AO202" s="304"/>
      <c r="AP202" s="304"/>
      <c r="AQ202" s="305"/>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row>
    <row r="203" spans="2:103" x14ac:dyDescent="0.4">
      <c r="B203" s="299" t="s">
        <v>448</v>
      </c>
      <c r="C203" s="300">
        <v>0</v>
      </c>
      <c r="D203" s="300">
        <v>0</v>
      </c>
      <c r="E203" s="300">
        <v>0</v>
      </c>
      <c r="F203" s="300">
        <v>0</v>
      </c>
      <c r="G203" s="300">
        <v>0</v>
      </c>
      <c r="H203" s="300">
        <v>0</v>
      </c>
      <c r="I203" s="300">
        <v>0</v>
      </c>
      <c r="J203" s="300">
        <v>0</v>
      </c>
      <c r="K203" s="300">
        <v>0</v>
      </c>
      <c r="L203" s="300">
        <v>0</v>
      </c>
      <c r="M203" s="300">
        <v>0</v>
      </c>
      <c r="N203" s="300">
        <v>0</v>
      </c>
      <c r="O203" s="300">
        <v>0</v>
      </c>
      <c r="P203" s="300">
        <v>0</v>
      </c>
      <c r="Q203" s="300">
        <v>0</v>
      </c>
      <c r="R203" s="300">
        <v>0</v>
      </c>
      <c r="S203" s="300">
        <v>0</v>
      </c>
      <c r="T203" s="300">
        <v>0</v>
      </c>
      <c r="U203" s="300">
        <v>0</v>
      </c>
      <c r="V203" s="300">
        <v>0</v>
      </c>
      <c r="W203" s="300">
        <v>0</v>
      </c>
      <c r="X203" s="300">
        <v>0</v>
      </c>
      <c r="Y203" s="300">
        <v>0</v>
      </c>
      <c r="Z203" s="300">
        <v>0</v>
      </c>
      <c r="AA203" s="300">
        <v>0</v>
      </c>
      <c r="AB203" s="300">
        <v>0</v>
      </c>
      <c r="AC203" s="300"/>
      <c r="AD203" s="300"/>
      <c r="AE203" s="300"/>
      <c r="AF203" s="300"/>
      <c r="AG203" s="300"/>
      <c r="AH203" s="300"/>
      <c r="AI203" s="300"/>
      <c r="AJ203" s="300"/>
      <c r="AK203" s="300"/>
      <c r="AL203" s="300"/>
      <c r="AM203" s="300"/>
      <c r="AN203" s="300"/>
      <c r="AO203" s="300"/>
      <c r="AP203" s="300"/>
      <c r="AQ203" s="300"/>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row>
    <row r="204" spans="2:103" x14ac:dyDescent="0.4">
      <c r="B204" s="299" t="s">
        <v>449</v>
      </c>
      <c r="C204" s="300">
        <v>0</v>
      </c>
      <c r="D204" s="300">
        <v>100</v>
      </c>
      <c r="E204" s="300">
        <v>100</v>
      </c>
      <c r="F204" s="300">
        <v>100</v>
      </c>
      <c r="G204" s="300">
        <v>100</v>
      </c>
      <c r="H204" s="300">
        <v>100</v>
      </c>
      <c r="I204" s="300">
        <v>100</v>
      </c>
      <c r="J204" s="300">
        <v>100</v>
      </c>
      <c r="K204" s="300">
        <v>100</v>
      </c>
      <c r="L204" s="300">
        <v>100</v>
      </c>
      <c r="M204" s="300">
        <v>100</v>
      </c>
      <c r="N204" s="300">
        <v>100</v>
      </c>
      <c r="O204" s="300">
        <v>100</v>
      </c>
      <c r="P204" s="300">
        <v>100</v>
      </c>
      <c r="Q204" s="300">
        <v>100</v>
      </c>
      <c r="R204" s="300">
        <v>100</v>
      </c>
      <c r="S204" s="300">
        <v>100</v>
      </c>
      <c r="T204" s="300">
        <v>100</v>
      </c>
      <c r="U204" s="300">
        <v>100</v>
      </c>
      <c r="V204" s="300">
        <v>100</v>
      </c>
      <c r="W204" s="300">
        <v>100</v>
      </c>
      <c r="X204" s="300">
        <v>100</v>
      </c>
      <c r="Y204" s="300">
        <v>100</v>
      </c>
      <c r="Z204" s="300">
        <v>100</v>
      </c>
      <c r="AA204" s="300">
        <v>100</v>
      </c>
      <c r="AB204" s="300">
        <v>100</v>
      </c>
      <c r="AC204" s="300"/>
      <c r="AD204" s="300"/>
      <c r="AE204" s="300"/>
      <c r="AF204" s="300"/>
      <c r="AG204" s="300"/>
      <c r="AH204" s="300"/>
      <c r="AI204" s="300"/>
      <c r="AJ204" s="300"/>
      <c r="AK204" s="300"/>
      <c r="AL204" s="300"/>
      <c r="AM204" s="300"/>
      <c r="AN204" s="300"/>
      <c r="AO204" s="300"/>
      <c r="AP204" s="300"/>
      <c r="AQ204" s="300"/>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row>
    <row r="205" spans="2:103" x14ac:dyDescent="0.4">
      <c r="B205" s="303" t="s">
        <v>322</v>
      </c>
      <c r="C205" s="304"/>
      <c r="D205" s="304"/>
      <c r="E205" s="304"/>
      <c r="F205" s="304"/>
      <c r="G205" s="304"/>
      <c r="H205" s="304"/>
      <c r="I205" s="304"/>
      <c r="J205" s="304"/>
      <c r="K205" s="304"/>
      <c r="L205" s="304"/>
      <c r="M205" s="304"/>
      <c r="N205" s="304"/>
      <c r="O205" s="304"/>
      <c r="P205" s="304"/>
      <c r="Q205" s="304"/>
      <c r="R205" s="304"/>
      <c r="S205" s="304"/>
      <c r="T205" s="304"/>
      <c r="U205" s="304"/>
      <c r="V205" s="304"/>
      <c r="W205" s="304"/>
      <c r="X205" s="304"/>
      <c r="Y205" s="304"/>
      <c r="Z205" s="304"/>
      <c r="AA205" s="304"/>
      <c r="AB205" s="304"/>
      <c r="AC205" s="304"/>
      <c r="AD205" s="304"/>
      <c r="AE205" s="304"/>
      <c r="AF205" s="304"/>
      <c r="AG205" s="304"/>
      <c r="AH205" s="304"/>
      <c r="AI205" s="304"/>
      <c r="AJ205" s="304"/>
      <c r="AK205" s="304"/>
      <c r="AL205" s="304"/>
      <c r="AM205" s="304"/>
      <c r="AN205" s="304"/>
      <c r="AO205" s="304"/>
      <c r="AP205" s="304"/>
      <c r="AQ205" s="305"/>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row>
    <row r="206" spans="2:103" x14ac:dyDescent="0.4">
      <c r="B206" s="47" t="s">
        <v>315</v>
      </c>
      <c r="C206" s="302"/>
      <c r="D206" s="302"/>
      <c r="E206" s="302"/>
      <c r="F206" s="302"/>
      <c r="G206" s="302"/>
      <c r="H206" s="302"/>
      <c r="I206" s="302"/>
      <c r="J206" s="302"/>
      <c r="K206" s="302"/>
      <c r="L206" s="302"/>
      <c r="M206" s="302"/>
      <c r="N206" s="302"/>
      <c r="O206" s="302"/>
      <c r="P206" s="302"/>
      <c r="Q206" s="302"/>
      <c r="R206" s="302"/>
      <c r="S206" s="302"/>
      <c r="T206" s="302"/>
      <c r="U206" s="302"/>
      <c r="V206" s="302"/>
      <c r="W206" s="302"/>
      <c r="X206" s="302"/>
      <c r="Y206" s="302"/>
      <c r="Z206" s="302"/>
      <c r="AA206" s="302"/>
      <c r="AB206" s="302"/>
      <c r="AC206" s="302"/>
      <c r="AD206" s="302"/>
      <c r="AE206" s="302"/>
      <c r="AF206" s="302"/>
      <c r="AG206" s="302"/>
      <c r="AH206" s="302"/>
      <c r="AI206" s="302"/>
      <c r="AJ206" s="302"/>
      <c r="AK206" s="302"/>
      <c r="AL206" s="302"/>
      <c r="AM206" s="302"/>
      <c r="AN206" s="302"/>
      <c r="AO206" s="302"/>
      <c r="AP206" s="302"/>
      <c r="AQ206" s="302"/>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row>
    <row r="207" spans="2:103" x14ac:dyDescent="0.4">
      <c r="B207" s="37" t="s">
        <v>323</v>
      </c>
      <c r="C207" s="200"/>
      <c r="D207" s="200"/>
      <c r="E207" s="200"/>
      <c r="F207" s="200"/>
      <c r="G207" s="200"/>
      <c r="H207" s="200"/>
      <c r="I207" s="200"/>
      <c r="J207" s="200"/>
      <c r="K207" s="200"/>
      <c r="L207" s="200"/>
      <c r="M207" s="200"/>
      <c r="N207" s="200"/>
      <c r="O207" s="200"/>
      <c r="P207" s="200"/>
      <c r="Q207" s="200"/>
      <c r="R207" s="200"/>
      <c r="S207" s="200"/>
      <c r="T207" s="200"/>
      <c r="U207" s="200"/>
      <c r="V207" s="200"/>
      <c r="W207" s="200"/>
      <c r="X207" s="200"/>
      <c r="Y207" s="200"/>
      <c r="Z207" s="200"/>
      <c r="AA207" s="200"/>
      <c r="AB207" s="200"/>
      <c r="AC207" s="200"/>
      <c r="AD207" s="200"/>
      <c r="AE207" s="200"/>
      <c r="AF207" s="200"/>
      <c r="AG207" s="200"/>
      <c r="AH207" s="200"/>
      <c r="AI207" s="200"/>
      <c r="AJ207" s="200"/>
      <c r="AK207" s="200"/>
      <c r="AL207" s="200"/>
      <c r="AM207" s="200"/>
      <c r="AN207" s="200"/>
      <c r="AO207" s="200"/>
      <c r="AP207" s="200"/>
      <c r="AQ207" s="200"/>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row>
    <row r="208" spans="2:103" x14ac:dyDescent="0.4">
      <c r="B208" s="306" t="s">
        <v>324</v>
      </c>
      <c r="C208" s="300"/>
      <c r="D208" s="300"/>
      <c r="E208" s="300"/>
      <c r="F208" s="300"/>
      <c r="G208" s="300"/>
      <c r="H208" s="300"/>
      <c r="I208" s="300"/>
      <c r="J208" s="300"/>
      <c r="K208" s="300"/>
      <c r="L208" s="300"/>
      <c r="M208" s="300"/>
      <c r="N208" s="300"/>
      <c r="O208" s="300"/>
      <c r="P208" s="300"/>
      <c r="Q208" s="300"/>
      <c r="R208" s="300"/>
      <c r="S208" s="300"/>
      <c r="T208" s="300"/>
      <c r="U208" s="300"/>
      <c r="V208" s="300"/>
      <c r="W208" s="300"/>
      <c r="X208" s="300"/>
      <c r="Y208" s="300"/>
      <c r="Z208" s="300"/>
      <c r="AA208" s="300"/>
      <c r="AB208" s="300"/>
      <c r="AC208" s="300"/>
      <c r="AD208" s="300"/>
      <c r="AE208" s="300"/>
      <c r="AF208" s="300"/>
      <c r="AG208" s="300"/>
      <c r="AH208" s="300"/>
      <c r="AI208" s="300"/>
      <c r="AJ208" s="300"/>
      <c r="AK208" s="300"/>
      <c r="AL208" s="300"/>
      <c r="AM208" s="300"/>
      <c r="AN208" s="300"/>
      <c r="AO208" s="300"/>
      <c r="AP208" s="300"/>
      <c r="AQ208" s="300"/>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row>
    <row r="209" spans="2:103" x14ac:dyDescent="0.4">
      <c r="B209" s="303" t="s">
        <v>325</v>
      </c>
      <c r="C209" s="304"/>
      <c r="D209" s="304"/>
      <c r="E209" s="304"/>
      <c r="F209" s="304"/>
      <c r="G209" s="304"/>
      <c r="H209" s="304"/>
      <c r="I209" s="304"/>
      <c r="J209" s="304"/>
      <c r="K209" s="304"/>
      <c r="L209" s="304"/>
      <c r="M209" s="304"/>
      <c r="N209" s="304"/>
      <c r="O209" s="304"/>
      <c r="P209" s="304"/>
      <c r="Q209" s="304"/>
      <c r="R209" s="304"/>
      <c r="S209" s="304"/>
      <c r="T209" s="304"/>
      <c r="U209" s="304"/>
      <c r="V209" s="304"/>
      <c r="W209" s="304"/>
      <c r="X209" s="304"/>
      <c r="Y209" s="304"/>
      <c r="Z209" s="304"/>
      <c r="AA209" s="304"/>
      <c r="AB209" s="304"/>
      <c r="AC209" s="304"/>
      <c r="AD209" s="304"/>
      <c r="AE209" s="304"/>
      <c r="AF209" s="304"/>
      <c r="AG209" s="304"/>
      <c r="AH209" s="304"/>
      <c r="AI209" s="304"/>
      <c r="AJ209" s="304"/>
      <c r="AK209" s="304"/>
      <c r="AL209" s="304"/>
      <c r="AM209" s="304"/>
      <c r="AN209" s="304"/>
      <c r="AO209" s="304"/>
      <c r="AP209" s="304"/>
      <c r="AQ209" s="305"/>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row>
    <row r="210" spans="2:103" x14ac:dyDescent="0.4">
      <c r="B210" s="307" t="s">
        <v>326</v>
      </c>
      <c r="C210" s="302"/>
      <c r="D210" s="302"/>
      <c r="E210" s="302"/>
      <c r="F210" s="302"/>
      <c r="G210" s="302"/>
      <c r="H210" s="302"/>
      <c r="I210" s="302"/>
      <c r="J210" s="302"/>
      <c r="K210" s="302"/>
      <c r="L210" s="302"/>
      <c r="M210" s="302"/>
      <c r="N210" s="302"/>
      <c r="O210" s="302"/>
      <c r="P210" s="302"/>
      <c r="Q210" s="302"/>
      <c r="R210" s="302"/>
      <c r="S210" s="302"/>
      <c r="T210" s="302"/>
      <c r="U210" s="302"/>
      <c r="V210" s="302"/>
      <c r="W210" s="302"/>
      <c r="X210" s="302"/>
      <c r="Y210" s="302"/>
      <c r="Z210" s="302"/>
      <c r="AA210" s="302"/>
      <c r="AB210" s="302"/>
      <c r="AC210" s="302"/>
      <c r="AD210" s="302"/>
      <c r="AE210" s="302"/>
      <c r="AF210" s="302"/>
      <c r="AG210" s="302"/>
      <c r="AH210" s="302"/>
      <c r="AI210" s="302"/>
      <c r="AJ210" s="302"/>
      <c r="AK210" s="302"/>
      <c r="AL210" s="302"/>
      <c r="AM210" s="302"/>
      <c r="AN210" s="302"/>
      <c r="AO210" s="302"/>
      <c r="AP210" s="302"/>
      <c r="AQ210" s="302"/>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row>
    <row r="211" spans="2:103" x14ac:dyDescent="0.4">
      <c r="B211" s="266" t="s">
        <v>260</v>
      </c>
      <c r="AQ211" s="229"/>
    </row>
    <row r="212" spans="2:103" x14ac:dyDescent="0.4">
      <c r="B212" s="267" t="s">
        <v>280</v>
      </c>
      <c r="C212" s="252">
        <v>0</v>
      </c>
      <c r="D212" s="252">
        <v>0</v>
      </c>
      <c r="E212" s="252">
        <v>0</v>
      </c>
      <c r="F212" s="252">
        <v>0</v>
      </c>
      <c r="G212" s="252">
        <v>0</v>
      </c>
      <c r="H212" s="252">
        <v>0</v>
      </c>
      <c r="I212" s="252">
        <v>0</v>
      </c>
      <c r="J212" s="252">
        <v>0</v>
      </c>
      <c r="K212" s="252">
        <v>0</v>
      </c>
      <c r="L212" s="252">
        <v>0</v>
      </c>
      <c r="M212" s="252">
        <v>0</v>
      </c>
      <c r="N212" s="252">
        <v>0</v>
      </c>
      <c r="O212" s="252">
        <v>0</v>
      </c>
      <c r="P212" s="252">
        <v>0</v>
      </c>
      <c r="Q212" s="252">
        <v>0</v>
      </c>
      <c r="R212" s="252">
        <v>0</v>
      </c>
      <c r="S212" s="252">
        <v>0</v>
      </c>
      <c r="T212" s="252">
        <v>0</v>
      </c>
      <c r="U212" s="252">
        <v>0</v>
      </c>
      <c r="V212" s="252">
        <v>0</v>
      </c>
      <c r="W212" s="252">
        <v>0</v>
      </c>
      <c r="X212" s="252">
        <v>0</v>
      </c>
      <c r="Y212" s="252">
        <v>0</v>
      </c>
      <c r="Z212" s="252">
        <v>0</v>
      </c>
      <c r="AA212" s="252">
        <v>0</v>
      </c>
      <c r="AB212" s="252">
        <v>0</v>
      </c>
      <c r="AC212" s="252"/>
      <c r="AD212" s="252"/>
      <c r="AE212" s="252"/>
      <c r="AF212" s="252"/>
      <c r="AG212" s="252"/>
      <c r="AH212" s="252"/>
      <c r="AI212" s="252"/>
      <c r="AJ212" s="252"/>
      <c r="AK212" s="252"/>
      <c r="AL212" s="252"/>
      <c r="AM212" s="252"/>
      <c r="AN212" s="252"/>
      <c r="AO212" s="252"/>
      <c r="AP212" s="252"/>
      <c r="AQ212" s="252"/>
    </row>
    <row r="213" spans="2:103" x14ac:dyDescent="0.4">
      <c r="B213" s="267" t="s">
        <v>281</v>
      </c>
      <c r="C213" s="255">
        <v>0</v>
      </c>
      <c r="D213" s="255">
        <v>0</v>
      </c>
      <c r="E213" s="255">
        <v>0</v>
      </c>
      <c r="F213" s="255">
        <v>0</v>
      </c>
      <c r="G213" s="255">
        <v>0</v>
      </c>
      <c r="H213" s="255">
        <v>0</v>
      </c>
      <c r="I213" s="255">
        <v>0</v>
      </c>
      <c r="J213" s="255">
        <v>0</v>
      </c>
      <c r="K213" s="255">
        <v>0</v>
      </c>
      <c r="L213" s="255">
        <v>0</v>
      </c>
      <c r="M213" s="255">
        <v>0</v>
      </c>
      <c r="N213" s="255">
        <v>0</v>
      </c>
      <c r="O213" s="255">
        <v>0</v>
      </c>
      <c r="P213" s="255">
        <v>0</v>
      </c>
      <c r="Q213" s="255">
        <v>0</v>
      </c>
      <c r="R213" s="255">
        <v>0</v>
      </c>
      <c r="S213" s="255">
        <v>0</v>
      </c>
      <c r="T213" s="255">
        <v>0</v>
      </c>
      <c r="U213" s="255">
        <v>0</v>
      </c>
      <c r="V213" s="255">
        <v>0</v>
      </c>
      <c r="W213" s="255">
        <v>0</v>
      </c>
      <c r="X213" s="255">
        <v>0</v>
      </c>
      <c r="Y213" s="255">
        <v>0</v>
      </c>
      <c r="Z213" s="255">
        <v>0</v>
      </c>
      <c r="AA213" s="255">
        <v>0</v>
      </c>
      <c r="AB213" s="255">
        <v>0</v>
      </c>
      <c r="AC213" s="255"/>
      <c r="AD213" s="255"/>
      <c r="AE213" s="255"/>
      <c r="AF213" s="255"/>
      <c r="AG213" s="255"/>
      <c r="AH213" s="255"/>
      <c r="AI213" s="255"/>
      <c r="AJ213" s="255"/>
      <c r="AK213" s="255"/>
      <c r="AL213" s="255"/>
      <c r="AM213" s="255"/>
      <c r="AN213" s="255"/>
      <c r="AO213" s="255"/>
      <c r="AP213" s="255"/>
      <c r="AQ213" s="255"/>
    </row>
    <row r="214" spans="2:103" x14ac:dyDescent="0.4">
      <c r="B214" s="267" t="s">
        <v>282</v>
      </c>
      <c r="C214" s="255">
        <v>0</v>
      </c>
      <c r="D214" s="255">
        <v>0</v>
      </c>
      <c r="E214" s="255">
        <v>0</v>
      </c>
      <c r="F214" s="255">
        <v>0</v>
      </c>
      <c r="G214" s="255">
        <v>0</v>
      </c>
      <c r="H214" s="255">
        <v>0</v>
      </c>
      <c r="I214" s="255">
        <v>0</v>
      </c>
      <c r="J214" s="255">
        <v>0</v>
      </c>
      <c r="K214" s="255">
        <v>0</v>
      </c>
      <c r="L214" s="255">
        <v>0</v>
      </c>
      <c r="M214" s="255">
        <v>0</v>
      </c>
      <c r="N214" s="255">
        <v>0</v>
      </c>
      <c r="O214" s="255">
        <v>0</v>
      </c>
      <c r="P214" s="255">
        <v>0</v>
      </c>
      <c r="Q214" s="255">
        <v>0</v>
      </c>
      <c r="R214" s="255">
        <v>0</v>
      </c>
      <c r="S214" s="255">
        <v>0</v>
      </c>
      <c r="T214" s="255">
        <v>0</v>
      </c>
      <c r="U214" s="255">
        <v>0</v>
      </c>
      <c r="V214" s="255">
        <v>0</v>
      </c>
      <c r="W214" s="255">
        <v>0</v>
      </c>
      <c r="X214" s="255">
        <v>0</v>
      </c>
      <c r="Y214" s="255">
        <v>0</v>
      </c>
      <c r="Z214" s="255">
        <v>0</v>
      </c>
      <c r="AA214" s="255">
        <v>0</v>
      </c>
      <c r="AB214" s="255">
        <v>0</v>
      </c>
      <c r="AC214" s="255"/>
      <c r="AD214" s="255"/>
      <c r="AE214" s="255"/>
      <c r="AF214" s="255"/>
      <c r="AG214" s="255"/>
      <c r="AH214" s="255"/>
      <c r="AI214" s="255"/>
      <c r="AJ214" s="255"/>
      <c r="AK214" s="255"/>
      <c r="AL214" s="255"/>
      <c r="AM214" s="255"/>
      <c r="AN214" s="255"/>
      <c r="AO214" s="255"/>
      <c r="AP214" s="255"/>
      <c r="AQ214" s="255"/>
    </row>
    <row r="215" spans="2:103" x14ac:dyDescent="0.4">
      <c r="B215" s="266" t="s">
        <v>287</v>
      </c>
      <c r="AQ215" s="28"/>
    </row>
    <row r="216" spans="2:103" x14ac:dyDescent="0.4">
      <c r="B216" s="267" t="s">
        <v>288</v>
      </c>
      <c r="C216" s="34"/>
      <c r="D216" s="252">
        <v>10</v>
      </c>
      <c r="E216" s="252">
        <v>10</v>
      </c>
      <c r="F216" s="252">
        <v>10</v>
      </c>
      <c r="G216" s="252">
        <v>10</v>
      </c>
      <c r="H216" s="252">
        <v>10</v>
      </c>
      <c r="I216" s="252">
        <v>10</v>
      </c>
      <c r="J216" s="252">
        <v>10</v>
      </c>
      <c r="K216" s="252">
        <v>10</v>
      </c>
      <c r="L216" s="252">
        <v>10</v>
      </c>
      <c r="M216" s="252">
        <v>10</v>
      </c>
      <c r="N216" s="252">
        <v>0</v>
      </c>
      <c r="O216" s="252">
        <v>0</v>
      </c>
      <c r="P216" s="252">
        <v>0</v>
      </c>
      <c r="Q216" s="252">
        <v>0</v>
      </c>
      <c r="R216" s="252">
        <v>0</v>
      </c>
      <c r="S216" s="252">
        <v>0</v>
      </c>
      <c r="T216" s="252">
        <v>0</v>
      </c>
      <c r="U216" s="252">
        <v>0</v>
      </c>
      <c r="V216" s="252">
        <v>0</v>
      </c>
      <c r="W216" s="252">
        <v>0</v>
      </c>
      <c r="X216" s="252">
        <v>0</v>
      </c>
      <c r="Y216" s="252">
        <v>0</v>
      </c>
      <c r="Z216" s="252">
        <v>0</v>
      </c>
      <c r="AA216" s="252">
        <v>0</v>
      </c>
      <c r="AB216" s="252">
        <v>0</v>
      </c>
      <c r="AC216" s="252"/>
      <c r="AD216" s="252"/>
      <c r="AE216" s="252"/>
      <c r="AF216" s="252"/>
      <c r="AG216" s="252"/>
      <c r="AH216" s="252"/>
      <c r="AI216" s="252"/>
      <c r="AJ216" s="252"/>
      <c r="AK216" s="252"/>
      <c r="AL216" s="252"/>
      <c r="AM216" s="252"/>
      <c r="AN216" s="252"/>
      <c r="AO216" s="252"/>
      <c r="AP216" s="252"/>
      <c r="AQ216" s="252"/>
    </row>
    <row r="217" spans="2:103" x14ac:dyDescent="0.4">
      <c r="B217" s="282" t="s">
        <v>327</v>
      </c>
      <c r="C217" s="155"/>
      <c r="AQ217" s="310"/>
    </row>
    <row r="218" spans="2:103" x14ac:dyDescent="0.4">
      <c r="B218" s="267" t="s">
        <v>319</v>
      </c>
      <c r="C218" s="345">
        <v>-5038700</v>
      </c>
      <c r="D218" s="252">
        <v>-335314</v>
      </c>
      <c r="E218" s="252">
        <v>-343408</v>
      </c>
      <c r="F218" s="252">
        <v>-348685</v>
      </c>
      <c r="G218" s="252">
        <v>-354127</v>
      </c>
      <c r="H218" s="252">
        <v>-359953</v>
      </c>
      <c r="I218" s="252">
        <v>-366107</v>
      </c>
      <c r="J218" s="252">
        <v>-372537</v>
      </c>
      <c r="K218" s="252">
        <v>-379214</v>
      </c>
      <c r="L218" s="252">
        <v>-386118</v>
      </c>
      <c r="M218" s="345">
        <v>-4361580</v>
      </c>
      <c r="N218" s="252">
        <v>-428863</v>
      </c>
      <c r="O218" s="252">
        <v>-435450</v>
      </c>
      <c r="P218" s="252">
        <v>-442247</v>
      </c>
      <c r="Q218" s="252">
        <v>-449525</v>
      </c>
      <c r="R218" s="252">
        <v>-457210</v>
      </c>
      <c r="S218" s="252">
        <v>-465240</v>
      </c>
      <c r="T218" s="252">
        <v>-473579</v>
      </c>
      <c r="U218" s="252">
        <v>-482203</v>
      </c>
      <c r="V218" s="252">
        <v>-491096</v>
      </c>
      <c r="W218" s="345">
        <v>-5583190</v>
      </c>
      <c r="X218" s="252">
        <v>-548978</v>
      </c>
      <c r="Y218" s="252">
        <v>-557407</v>
      </c>
      <c r="Z218" s="252">
        <v>-566110</v>
      </c>
      <c r="AA218" s="252">
        <v>-575427</v>
      </c>
      <c r="AB218" s="345">
        <v>-1673770</v>
      </c>
      <c r="AC218" s="252"/>
      <c r="AD218" s="252"/>
      <c r="AE218" s="252"/>
      <c r="AF218" s="252"/>
      <c r="AG218" s="252"/>
      <c r="AH218" s="252"/>
      <c r="AI218" s="252"/>
      <c r="AJ218" s="252"/>
      <c r="AK218" s="252"/>
      <c r="AL218" s="252"/>
      <c r="AM218" s="252"/>
      <c r="AN218" s="252"/>
      <c r="AO218" s="252"/>
      <c r="AP218" s="252"/>
      <c r="AQ218" s="252"/>
    </row>
    <row r="219" spans="2:103" x14ac:dyDescent="0.4">
      <c r="B219" s="267" t="s">
        <v>370</v>
      </c>
      <c r="C219" s="252">
        <v>0</v>
      </c>
      <c r="D219" s="345">
        <v>3828780</v>
      </c>
      <c r="E219" s="345">
        <v>3819060</v>
      </c>
      <c r="F219" s="345">
        <v>3771420</v>
      </c>
      <c r="G219" s="345">
        <v>3726630</v>
      </c>
      <c r="H219" s="345">
        <v>3686660</v>
      </c>
      <c r="I219" s="345">
        <v>3649930</v>
      </c>
      <c r="J219" s="345">
        <v>3615600</v>
      </c>
      <c r="K219" s="345">
        <v>3583100</v>
      </c>
      <c r="L219" s="345">
        <v>3552090</v>
      </c>
      <c r="M219" s="345">
        <v>3828780</v>
      </c>
      <c r="N219" s="345">
        <v>3819000</v>
      </c>
      <c r="O219" s="345">
        <v>3771330</v>
      </c>
      <c r="P219" s="345">
        <v>3726560</v>
      </c>
      <c r="Q219" s="345">
        <v>3686590</v>
      </c>
      <c r="R219" s="345">
        <v>3649880</v>
      </c>
      <c r="S219" s="345">
        <v>3615540</v>
      </c>
      <c r="T219" s="345">
        <v>3583050</v>
      </c>
      <c r="U219" s="345">
        <v>3552040</v>
      </c>
      <c r="V219" s="345">
        <v>3522260</v>
      </c>
      <c r="W219" s="345">
        <v>3828780</v>
      </c>
      <c r="X219" s="345">
        <v>3819010</v>
      </c>
      <c r="Y219" s="345">
        <v>3771340</v>
      </c>
      <c r="Z219" s="345">
        <v>3726560</v>
      </c>
      <c r="AA219" s="345">
        <v>3686590</v>
      </c>
      <c r="AB219" s="345">
        <v>3649880</v>
      </c>
      <c r="AC219" s="252"/>
      <c r="AD219" s="252"/>
      <c r="AE219" s="252"/>
      <c r="AF219" s="252"/>
      <c r="AG219" s="252"/>
      <c r="AH219" s="252"/>
      <c r="AI219" s="252"/>
      <c r="AJ219" s="252"/>
      <c r="AK219" s="252"/>
      <c r="AL219" s="252"/>
      <c r="AM219" s="252"/>
      <c r="AN219" s="252"/>
      <c r="AO219" s="252"/>
      <c r="AP219" s="252"/>
      <c r="AQ219" s="252"/>
    </row>
    <row r="220" spans="2:103" x14ac:dyDescent="0.4">
      <c r="B220" s="282" t="s">
        <v>339</v>
      </c>
      <c r="C220" s="155"/>
      <c r="AQ220" s="310"/>
    </row>
    <row r="221" spans="2:103" x14ac:dyDescent="0.4">
      <c r="B221" s="267" t="s">
        <v>340</v>
      </c>
      <c r="C221" s="175"/>
      <c r="D221" s="199"/>
      <c r="E221" s="199"/>
      <c r="F221" s="199"/>
      <c r="G221" s="199"/>
      <c r="H221" s="199"/>
      <c r="I221" s="199"/>
      <c r="J221" s="199"/>
      <c r="K221" s="199"/>
      <c r="L221" s="199"/>
      <c r="M221" s="199"/>
      <c r="N221" s="199"/>
      <c r="O221" s="199"/>
      <c r="P221" s="199"/>
      <c r="Q221" s="199"/>
      <c r="R221" s="199"/>
      <c r="S221" s="199"/>
      <c r="T221" s="199"/>
      <c r="U221" s="199"/>
      <c r="V221" s="199"/>
      <c r="W221" s="199"/>
      <c r="X221" s="199"/>
      <c r="Y221" s="199"/>
      <c r="Z221" s="199"/>
      <c r="AA221" s="199"/>
      <c r="AB221" s="199"/>
      <c r="AC221" s="199"/>
      <c r="AD221" s="199"/>
      <c r="AE221" s="199"/>
      <c r="AF221" s="199"/>
      <c r="AG221" s="199"/>
      <c r="AH221" s="199"/>
      <c r="AI221" s="199"/>
      <c r="AJ221" s="199"/>
      <c r="AK221" s="199"/>
      <c r="AL221" s="199"/>
      <c r="AM221" s="199"/>
      <c r="AN221" s="199"/>
      <c r="AO221" s="199"/>
      <c r="AP221" s="199"/>
      <c r="AQ221" s="199"/>
    </row>
  </sheetData>
  <mergeCells count="1">
    <mergeCell ref="E101:F101"/>
  </mergeCells>
  <dataValidations xWindow="485" yWindow="427" count="8">
    <dataValidation type="list" allowBlank="1" showInputMessage="1" showErrorMessage="1" sqref="H133:H134 E103:F104 E106:F107 E125:H128 F130:G134 E120:H123 E115:H118 D137:G143 C148:C149" xr:uid="{00000000-0002-0000-0000-000000000000}">
      <formula1>"Yes,No"</formula1>
    </dataValidation>
    <dataValidation type="list" allowBlank="1" showInputMessage="1" showErrorMessage="1" sqref="N8 N10:N27" xr:uid="{00000000-0002-0000-0000-000001000000}">
      <formula1>"Initial Year Input, Annual Inputs"</formula1>
    </dataValidation>
    <dataValidation type="list" allowBlank="1" showInputMessage="1" errorTitle="State Depreciation Treatment" error="The single owner workbook does not handle custom depreciation schedules." sqref="C98" xr:uid="{00000000-0002-0000-0000-000002000000}">
      <formula1>$B$137:$B$143</formula1>
    </dataValidation>
    <dataValidation allowBlank="1" showInputMessage="1" showErrorMessage="1" sqref="W9 AH9 G40:J40" xr:uid="{00000000-0002-0000-0000-000003000000}"/>
    <dataValidation allowBlank="1" sqref="C45" xr:uid="{00000000-0002-0000-0000-000004000000}"/>
    <dataValidation errorTitle="Salvage Value" error="This is a calculated value shown for reference -- it should match the value in SAM. It is not used in the single owner workbook calculations." sqref="C54" xr:uid="{00000000-0002-0000-0000-000005000000}"/>
    <dataValidation type="custom" showErrorMessage="1" errorTitle="Target Year Error" error="Please enter a target year less than or equal to the analysis period." sqref="C31" xr:uid="{00000000-0002-0000-0000-000006000000}">
      <formula1>C31&lt;=C38</formula1>
    </dataValidation>
    <dataValidation type="list" allowBlank="1" showInputMessage="1" errorTitle="Federal Depreciation Treatment" sqref="C97" xr:uid="{00000000-0002-0000-0000-000007000000}">
      <formula1>$B$137:$B$143</formula1>
    </dataValidation>
  </dataValidations>
  <pageMargins left="0.5" right="0.5" top="0.5" bottom="0.75" header="0.3" footer="0.3"/>
  <pageSetup scale="73" pageOrder="overThenDown" orientation="landscape" horizontalDpi="4294967294" r:id="rId1"/>
  <rowBreaks count="1" manualBreakCount="1">
    <brk id="111" min="1"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dimension ref="A1:AP751"/>
  <sheetViews>
    <sheetView zoomScaleNormal="100" workbookViewId="0">
      <pane xSplit="1" ySplit="2" topLeftCell="B3" activePane="bottomRight" state="frozen"/>
      <selection pane="topRight" activeCell="B1" sqref="B1"/>
      <selection pane="bottomLeft" activeCell="A3" sqref="A3"/>
      <selection pane="bottomRight"/>
    </sheetView>
  </sheetViews>
  <sheetFormatPr defaultColWidth="9.1328125" defaultRowHeight="13.15" x14ac:dyDescent="0.4"/>
  <cols>
    <col min="1" max="1" width="50.46484375" style="4" customWidth="1"/>
    <col min="2" max="2" width="14.33203125" style="4" customWidth="1"/>
    <col min="3" max="3" width="13.6640625" style="4" customWidth="1"/>
    <col min="4" max="9" width="11.53125" style="4" customWidth="1"/>
    <col min="10" max="10" width="12.6640625" style="4" customWidth="1"/>
    <col min="11" max="11" width="11.53125" style="4" customWidth="1"/>
    <col min="12" max="12" width="12.6640625" style="4" customWidth="1"/>
    <col min="13" max="15" width="11.53125" style="4" customWidth="1"/>
    <col min="16" max="17" width="12.86328125" style="4" customWidth="1"/>
    <col min="18" max="31" width="11.53125" style="4" customWidth="1"/>
    <col min="32" max="32" width="11.46484375" style="4" customWidth="1"/>
    <col min="33" max="42" width="11.53125" style="4" customWidth="1"/>
    <col min="43" max="16384" width="9.1328125" style="4"/>
  </cols>
  <sheetData>
    <row r="1" spans="1:42" ht="20.65" thickBot="1" x14ac:dyDescent="0.75">
      <c r="A1" s="215" t="s">
        <v>180</v>
      </c>
    </row>
    <row r="2" spans="1:42" x14ac:dyDescent="0.4">
      <c r="A2" s="80" t="s">
        <v>1</v>
      </c>
      <c r="B2" s="15">
        <v>0</v>
      </c>
      <c r="C2" s="15">
        <f t="shared" ref="C2:AP2" si="0">IF(B2&lt;analysis_period,B2+1,"")</f>
        <v>1</v>
      </c>
      <c r="D2" s="15">
        <f t="shared" si="0"/>
        <v>2</v>
      </c>
      <c r="E2" s="15">
        <f t="shared" si="0"/>
        <v>3</v>
      </c>
      <c r="F2" s="15">
        <f t="shared" si="0"/>
        <v>4</v>
      </c>
      <c r="G2" s="15">
        <f t="shared" si="0"/>
        <v>5</v>
      </c>
      <c r="H2" s="15">
        <f t="shared" si="0"/>
        <v>6</v>
      </c>
      <c r="I2" s="15">
        <f t="shared" si="0"/>
        <v>7</v>
      </c>
      <c r="J2" s="15">
        <f t="shared" si="0"/>
        <v>8</v>
      </c>
      <c r="K2" s="15">
        <f t="shared" si="0"/>
        <v>9</v>
      </c>
      <c r="L2" s="15">
        <f t="shared" si="0"/>
        <v>10</v>
      </c>
      <c r="M2" s="15">
        <f t="shared" si="0"/>
        <v>11</v>
      </c>
      <c r="N2" s="15">
        <f t="shared" si="0"/>
        <v>12</v>
      </c>
      <c r="O2" s="15">
        <f t="shared" si="0"/>
        <v>13</v>
      </c>
      <c r="P2" s="15">
        <f t="shared" si="0"/>
        <v>14</v>
      </c>
      <c r="Q2" s="15">
        <f t="shared" si="0"/>
        <v>15</v>
      </c>
      <c r="R2" s="15">
        <f t="shared" si="0"/>
        <v>16</v>
      </c>
      <c r="S2" s="15">
        <f t="shared" si="0"/>
        <v>17</v>
      </c>
      <c r="T2" s="15">
        <f t="shared" si="0"/>
        <v>18</v>
      </c>
      <c r="U2" s="15">
        <f t="shared" si="0"/>
        <v>19</v>
      </c>
      <c r="V2" s="15">
        <f t="shared" si="0"/>
        <v>20</v>
      </c>
      <c r="W2" s="15">
        <f t="shared" si="0"/>
        <v>21</v>
      </c>
      <c r="X2" s="15">
        <f t="shared" si="0"/>
        <v>22</v>
      </c>
      <c r="Y2" s="15">
        <f t="shared" si="0"/>
        <v>23</v>
      </c>
      <c r="Z2" s="15">
        <f t="shared" si="0"/>
        <v>24</v>
      </c>
      <c r="AA2" s="15">
        <f t="shared" si="0"/>
        <v>25</v>
      </c>
      <c r="AB2" s="15" t="str">
        <f t="shared" si="0"/>
        <v/>
      </c>
      <c r="AC2" s="15" t="str">
        <f t="shared" si="0"/>
        <v/>
      </c>
      <c r="AD2" s="15" t="str">
        <f t="shared" si="0"/>
        <v/>
      </c>
      <c r="AE2" s="15" t="str">
        <f t="shared" si="0"/>
        <v/>
      </c>
      <c r="AF2" s="15" t="str">
        <f t="shared" si="0"/>
        <v/>
      </c>
      <c r="AG2" s="15" t="str">
        <f t="shared" si="0"/>
        <v/>
      </c>
      <c r="AH2" s="15" t="str">
        <f t="shared" si="0"/>
        <v/>
      </c>
      <c r="AI2" s="15" t="str">
        <f t="shared" si="0"/>
        <v/>
      </c>
      <c r="AJ2" s="15" t="str">
        <f t="shared" si="0"/>
        <v/>
      </c>
      <c r="AK2" s="15" t="str">
        <f t="shared" si="0"/>
        <v/>
      </c>
      <c r="AL2" s="15" t="str">
        <f t="shared" si="0"/>
        <v/>
      </c>
      <c r="AM2" s="15" t="str">
        <f t="shared" si="0"/>
        <v/>
      </c>
      <c r="AN2" s="15" t="str">
        <f t="shared" si="0"/>
        <v/>
      </c>
      <c r="AO2" s="15" t="str">
        <f t="shared" si="0"/>
        <v/>
      </c>
      <c r="AP2" s="15" t="str">
        <f t="shared" si="0"/>
        <v/>
      </c>
    </row>
    <row r="3" spans="1:42" x14ac:dyDescent="0.4">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row>
    <row r="4" spans="1:42" x14ac:dyDescent="0.4">
      <c r="A4" s="80" t="s">
        <v>297</v>
      </c>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row>
    <row r="5" spans="1:42" x14ac:dyDescent="0.4">
      <c r="A5" s="4" t="s">
        <v>329</v>
      </c>
      <c r="B5" s="150">
        <f t="array" ref="B5:AP5">Inputs!C153:AQ153</f>
        <v>0</v>
      </c>
      <c r="C5" s="150">
        <v>55524700</v>
      </c>
      <c r="D5" s="150">
        <v>55245500</v>
      </c>
      <c r="E5" s="150">
        <v>54974100</v>
      </c>
      <c r="F5" s="150">
        <v>54702700</v>
      </c>
      <c r="G5" s="150">
        <v>54429700</v>
      </c>
      <c r="H5" s="150">
        <v>54154400</v>
      </c>
      <c r="I5" s="150">
        <v>53877600</v>
      </c>
      <c r="J5" s="150">
        <v>53599400</v>
      </c>
      <c r="K5" s="150">
        <v>53319700</v>
      </c>
      <c r="L5" s="150">
        <v>53008400</v>
      </c>
      <c r="M5" s="150">
        <v>52724300</v>
      </c>
      <c r="N5" s="150">
        <v>52443100</v>
      </c>
      <c r="O5" s="150">
        <v>52162700</v>
      </c>
      <c r="P5" s="150">
        <v>51882200</v>
      </c>
      <c r="Q5" s="150">
        <v>51601300</v>
      </c>
      <c r="R5" s="150">
        <v>51320000</v>
      </c>
      <c r="S5" s="150">
        <v>51038500</v>
      </c>
      <c r="T5" s="150">
        <v>50756800</v>
      </c>
      <c r="U5" s="150">
        <v>50475000</v>
      </c>
      <c r="V5" s="150">
        <v>50159600</v>
      </c>
      <c r="W5" s="150">
        <v>49874600</v>
      </c>
      <c r="X5" s="150">
        <v>49593100</v>
      </c>
      <c r="Y5" s="150">
        <v>49312700</v>
      </c>
      <c r="Z5" s="150">
        <v>49032200</v>
      </c>
      <c r="AA5" s="150">
        <v>48751300</v>
      </c>
      <c r="AB5" s="150">
        <v>0</v>
      </c>
      <c r="AC5" s="150">
        <v>0</v>
      </c>
      <c r="AD5" s="150">
        <v>0</v>
      </c>
      <c r="AE5" s="150">
        <v>0</v>
      </c>
      <c r="AF5" s="150">
        <v>0</v>
      </c>
      <c r="AG5" s="150">
        <v>0</v>
      </c>
      <c r="AH5" s="150">
        <v>0</v>
      </c>
      <c r="AI5" s="150">
        <v>0</v>
      </c>
      <c r="AJ5" s="150">
        <v>0</v>
      </c>
      <c r="AK5" s="150">
        <v>0</v>
      </c>
      <c r="AL5" s="150">
        <v>0</v>
      </c>
      <c r="AM5" s="150">
        <v>0</v>
      </c>
      <c r="AN5" s="150">
        <v>0</v>
      </c>
      <c r="AO5" s="150">
        <v>0</v>
      </c>
      <c r="AP5" s="150">
        <v>0</v>
      </c>
    </row>
    <row r="6" spans="1:42" x14ac:dyDescent="0.4">
      <c r="A6" s="4" t="s">
        <v>330</v>
      </c>
      <c r="B6" s="292">
        <f t="array" ref="B6:AP6">Inputs!C154:AQ154</f>
        <v>0</v>
      </c>
      <c r="C6" s="292">
        <v>-27012.5</v>
      </c>
      <c r="D6" s="292">
        <v>-27012.5</v>
      </c>
      <c r="E6" s="292">
        <v>-27012.5</v>
      </c>
      <c r="F6" s="292">
        <v>-27012.5</v>
      </c>
      <c r="G6" s="292">
        <v>-27012.5</v>
      </c>
      <c r="H6" s="292">
        <v>-27012.5</v>
      </c>
      <c r="I6" s="292">
        <v>-27012.5</v>
      </c>
      <c r="J6" s="292">
        <v>-27012.5</v>
      </c>
      <c r="K6" s="292">
        <v>-27012.5</v>
      </c>
      <c r="L6" s="292">
        <v>-27012.5</v>
      </c>
      <c r="M6" s="292">
        <v>-27012.5</v>
      </c>
      <c r="N6" s="292">
        <v>-27012.5</v>
      </c>
      <c r="O6" s="292">
        <v>-27012.5</v>
      </c>
      <c r="P6" s="292">
        <v>-27020</v>
      </c>
      <c r="Q6" s="292">
        <v>-27027.599999999999</v>
      </c>
      <c r="R6" s="292">
        <v>-27035.200000000001</v>
      </c>
      <c r="S6" s="292">
        <v>-27042.799999999999</v>
      </c>
      <c r="T6" s="292">
        <v>-27050.3</v>
      </c>
      <c r="U6" s="292">
        <v>-27057.9</v>
      </c>
      <c r="V6" s="292">
        <v>-27065.5</v>
      </c>
      <c r="W6" s="292">
        <v>-27065.5</v>
      </c>
      <c r="X6" s="292">
        <v>-27065.5</v>
      </c>
      <c r="Y6" s="292">
        <v>-27073.1</v>
      </c>
      <c r="Z6" s="292">
        <v>-27088.2</v>
      </c>
      <c r="AA6" s="292">
        <v>-27095.8</v>
      </c>
      <c r="AB6" s="292">
        <v>0</v>
      </c>
      <c r="AC6" s="292">
        <v>0</v>
      </c>
      <c r="AD6" s="292">
        <v>0</v>
      </c>
      <c r="AE6" s="292">
        <v>0</v>
      </c>
      <c r="AF6" s="292">
        <v>0</v>
      </c>
      <c r="AG6" s="292">
        <v>0</v>
      </c>
      <c r="AH6" s="292">
        <v>0</v>
      </c>
      <c r="AI6" s="292">
        <v>0</v>
      </c>
      <c r="AJ6" s="292">
        <v>0</v>
      </c>
      <c r="AK6" s="292">
        <v>0</v>
      </c>
      <c r="AL6" s="292">
        <v>0</v>
      </c>
      <c r="AM6" s="292">
        <v>0</v>
      </c>
      <c r="AN6" s="292">
        <v>0</v>
      </c>
      <c r="AO6" s="292">
        <v>0</v>
      </c>
      <c r="AP6" s="292">
        <v>0</v>
      </c>
    </row>
    <row r="7" spans="1:42" x14ac:dyDescent="0.4">
      <c r="A7" s="17" t="s">
        <v>348</v>
      </c>
      <c r="B7" s="295">
        <f>SUM(B5:B6)</f>
        <v>0</v>
      </c>
      <c r="C7" s="295">
        <f t="shared" ref="C7:AP7" si="1">SUM(C5:C6)</f>
        <v>55497687.5</v>
      </c>
      <c r="D7" s="295">
        <f t="shared" si="1"/>
        <v>55218487.5</v>
      </c>
      <c r="E7" s="295">
        <f t="shared" si="1"/>
        <v>54947087.5</v>
      </c>
      <c r="F7" s="295">
        <f t="shared" si="1"/>
        <v>54675687.5</v>
      </c>
      <c r="G7" s="295">
        <f t="shared" si="1"/>
        <v>54402687.5</v>
      </c>
      <c r="H7" s="295">
        <f t="shared" si="1"/>
        <v>54127387.5</v>
      </c>
      <c r="I7" s="295">
        <f t="shared" si="1"/>
        <v>53850587.5</v>
      </c>
      <c r="J7" s="295">
        <f t="shared" si="1"/>
        <v>53572387.5</v>
      </c>
      <c r="K7" s="295">
        <f t="shared" si="1"/>
        <v>53292687.5</v>
      </c>
      <c r="L7" s="295">
        <f t="shared" si="1"/>
        <v>52981387.5</v>
      </c>
      <c r="M7" s="295">
        <f t="shared" si="1"/>
        <v>52697287.5</v>
      </c>
      <c r="N7" s="295">
        <f t="shared" si="1"/>
        <v>52416087.5</v>
      </c>
      <c r="O7" s="295">
        <f t="shared" si="1"/>
        <v>52135687.5</v>
      </c>
      <c r="P7" s="295">
        <f t="shared" si="1"/>
        <v>51855180</v>
      </c>
      <c r="Q7" s="295">
        <f t="shared" si="1"/>
        <v>51574272.399999999</v>
      </c>
      <c r="R7" s="295">
        <f t="shared" si="1"/>
        <v>51292964.799999997</v>
      </c>
      <c r="S7" s="295">
        <f t="shared" si="1"/>
        <v>51011457.200000003</v>
      </c>
      <c r="T7" s="295">
        <f t="shared" si="1"/>
        <v>50729749.700000003</v>
      </c>
      <c r="U7" s="295">
        <f t="shared" si="1"/>
        <v>50447942.100000001</v>
      </c>
      <c r="V7" s="295">
        <f t="shared" si="1"/>
        <v>50132534.5</v>
      </c>
      <c r="W7" s="295">
        <f t="shared" si="1"/>
        <v>49847534.5</v>
      </c>
      <c r="X7" s="295">
        <f t="shared" si="1"/>
        <v>49566034.5</v>
      </c>
      <c r="Y7" s="295">
        <f t="shared" si="1"/>
        <v>49285626.899999999</v>
      </c>
      <c r="Z7" s="295">
        <f t="shared" si="1"/>
        <v>49005111.799999997</v>
      </c>
      <c r="AA7" s="295">
        <f t="shared" si="1"/>
        <v>48724204.200000003</v>
      </c>
      <c r="AB7" s="295">
        <f t="shared" si="1"/>
        <v>0</v>
      </c>
      <c r="AC7" s="295">
        <f t="shared" si="1"/>
        <v>0</v>
      </c>
      <c r="AD7" s="295">
        <f t="shared" si="1"/>
        <v>0</v>
      </c>
      <c r="AE7" s="295">
        <f t="shared" si="1"/>
        <v>0</v>
      </c>
      <c r="AF7" s="295">
        <f t="shared" si="1"/>
        <v>0</v>
      </c>
      <c r="AG7" s="295">
        <f t="shared" si="1"/>
        <v>0</v>
      </c>
      <c r="AH7" s="295">
        <f t="shared" si="1"/>
        <v>0</v>
      </c>
      <c r="AI7" s="295">
        <f t="shared" si="1"/>
        <v>0</v>
      </c>
      <c r="AJ7" s="295">
        <f t="shared" si="1"/>
        <v>0</v>
      </c>
      <c r="AK7" s="295">
        <f t="shared" si="1"/>
        <v>0</v>
      </c>
      <c r="AL7" s="295">
        <f t="shared" si="1"/>
        <v>0</v>
      </c>
      <c r="AM7" s="295">
        <f t="shared" si="1"/>
        <v>0</v>
      </c>
      <c r="AN7" s="295">
        <f t="shared" si="1"/>
        <v>0</v>
      </c>
      <c r="AO7" s="295">
        <f t="shared" si="1"/>
        <v>0</v>
      </c>
      <c r="AP7" s="295">
        <f t="shared" si="1"/>
        <v>0</v>
      </c>
    </row>
    <row r="8" spans="1:42" x14ac:dyDescent="0.4">
      <c r="A8" s="17" t="s">
        <v>349</v>
      </c>
      <c r="B8" s="295">
        <f t="array" ref="B8:AP10">Inputs!C156:AQ158</f>
        <v>0</v>
      </c>
      <c r="C8" s="295">
        <v>55928300</v>
      </c>
      <c r="D8" s="295">
        <v>55654300</v>
      </c>
      <c r="E8" s="295">
        <v>55379500</v>
      </c>
      <c r="F8" s="295">
        <v>55103500</v>
      </c>
      <c r="G8" s="295">
        <v>54826000</v>
      </c>
      <c r="H8" s="295">
        <v>54546600</v>
      </c>
      <c r="I8" s="295">
        <v>54266000</v>
      </c>
      <c r="J8" s="295">
        <v>53984300</v>
      </c>
      <c r="K8" s="295">
        <v>53701200</v>
      </c>
      <c r="L8" s="295">
        <v>53417300</v>
      </c>
      <c r="M8" s="295">
        <v>53133100</v>
      </c>
      <c r="N8" s="295">
        <v>52848500</v>
      </c>
      <c r="O8" s="295">
        <v>52563500</v>
      </c>
      <c r="P8" s="295">
        <v>52278400</v>
      </c>
      <c r="Q8" s="295">
        <v>51993400</v>
      </c>
      <c r="R8" s="295">
        <v>51708400</v>
      </c>
      <c r="S8" s="295">
        <v>51423400</v>
      </c>
      <c r="T8" s="295">
        <v>51138400</v>
      </c>
      <c r="U8" s="295">
        <v>50853300</v>
      </c>
      <c r="V8" s="295">
        <v>50568300</v>
      </c>
      <c r="W8" s="295">
        <v>50283300</v>
      </c>
      <c r="X8" s="295">
        <v>49998400</v>
      </c>
      <c r="Y8" s="295">
        <v>49713400</v>
      </c>
      <c r="Z8" s="295">
        <v>49428400</v>
      </c>
      <c r="AA8" s="295">
        <v>49143400</v>
      </c>
      <c r="AB8" s="295">
        <v>0</v>
      </c>
      <c r="AC8" s="295">
        <v>0</v>
      </c>
      <c r="AD8" s="295">
        <v>0</v>
      </c>
      <c r="AE8" s="295">
        <v>0</v>
      </c>
      <c r="AF8" s="295">
        <v>0</v>
      </c>
      <c r="AG8" s="295">
        <v>0</v>
      </c>
      <c r="AH8" s="295">
        <v>0</v>
      </c>
      <c r="AI8" s="295">
        <v>0</v>
      </c>
      <c r="AJ8" s="295">
        <v>0</v>
      </c>
      <c r="AK8" s="295">
        <v>0</v>
      </c>
      <c r="AL8" s="295">
        <v>0</v>
      </c>
      <c r="AM8" s="295">
        <v>0</v>
      </c>
      <c r="AN8" s="295">
        <v>0</v>
      </c>
      <c r="AO8" s="295">
        <v>0</v>
      </c>
      <c r="AP8" s="295">
        <v>0</v>
      </c>
    </row>
    <row r="9" spans="1:42" x14ac:dyDescent="0.4">
      <c r="A9" s="17" t="s">
        <v>350</v>
      </c>
      <c r="B9" s="295">
        <v>0</v>
      </c>
      <c r="C9" s="295">
        <v>3828780</v>
      </c>
      <c r="D9" s="295">
        <v>3819060</v>
      </c>
      <c r="E9" s="295">
        <v>3771420</v>
      </c>
      <c r="F9" s="295">
        <v>3726630</v>
      </c>
      <c r="G9" s="295">
        <v>3686660</v>
      </c>
      <c r="H9" s="295">
        <v>3649930</v>
      </c>
      <c r="I9" s="295">
        <v>3615600</v>
      </c>
      <c r="J9" s="295">
        <v>3583100</v>
      </c>
      <c r="K9" s="295">
        <v>3552090</v>
      </c>
      <c r="L9" s="295">
        <v>3828780</v>
      </c>
      <c r="M9" s="295">
        <v>3819000</v>
      </c>
      <c r="N9" s="295">
        <v>3771330</v>
      </c>
      <c r="O9" s="295">
        <v>3726560</v>
      </c>
      <c r="P9" s="295">
        <v>3686590</v>
      </c>
      <c r="Q9" s="295">
        <v>3649880</v>
      </c>
      <c r="R9" s="295">
        <v>3615540</v>
      </c>
      <c r="S9" s="295">
        <v>3583050</v>
      </c>
      <c r="T9" s="295">
        <v>3552040</v>
      </c>
      <c r="U9" s="295">
        <v>3522260</v>
      </c>
      <c r="V9" s="295">
        <v>3828780</v>
      </c>
      <c r="W9" s="295">
        <v>3819010</v>
      </c>
      <c r="X9" s="295">
        <v>3771340</v>
      </c>
      <c r="Y9" s="295">
        <v>3726560</v>
      </c>
      <c r="Z9" s="295">
        <v>3686590</v>
      </c>
      <c r="AA9" s="295">
        <v>3649880</v>
      </c>
      <c r="AB9" s="295">
        <v>0</v>
      </c>
      <c r="AC9" s="295">
        <v>0</v>
      </c>
      <c r="AD9" s="295">
        <v>0</v>
      </c>
      <c r="AE9" s="295">
        <v>0</v>
      </c>
      <c r="AF9" s="295">
        <v>0</v>
      </c>
      <c r="AG9" s="295">
        <v>0</v>
      </c>
      <c r="AH9" s="295">
        <v>0</v>
      </c>
      <c r="AI9" s="295">
        <v>0</v>
      </c>
      <c r="AJ9" s="295">
        <v>0</v>
      </c>
      <c r="AK9" s="295">
        <v>0</v>
      </c>
      <c r="AL9" s="295">
        <v>0</v>
      </c>
      <c r="AM9" s="295">
        <v>0</v>
      </c>
      <c r="AN9" s="295">
        <v>0</v>
      </c>
      <c r="AO9" s="295">
        <v>0</v>
      </c>
      <c r="AP9" s="295">
        <v>0</v>
      </c>
    </row>
    <row r="10" spans="1:42" x14ac:dyDescent="0.4">
      <c r="A10" s="17" t="s">
        <v>351</v>
      </c>
      <c r="B10" s="295">
        <v>0</v>
      </c>
      <c r="C10" s="295">
        <v>0</v>
      </c>
      <c r="D10" s="295">
        <v>0</v>
      </c>
      <c r="E10" s="295">
        <v>0</v>
      </c>
      <c r="F10" s="295">
        <v>0</v>
      </c>
      <c r="G10" s="295">
        <v>0</v>
      </c>
      <c r="H10" s="295">
        <v>0</v>
      </c>
      <c r="I10" s="295">
        <v>0</v>
      </c>
      <c r="J10" s="295">
        <v>0</v>
      </c>
      <c r="K10" s="295">
        <v>0</v>
      </c>
      <c r="L10" s="295">
        <v>0</v>
      </c>
      <c r="M10" s="295">
        <v>0</v>
      </c>
      <c r="N10" s="295">
        <v>0</v>
      </c>
      <c r="O10" s="295">
        <v>0</v>
      </c>
      <c r="P10" s="295">
        <v>0</v>
      </c>
      <c r="Q10" s="295">
        <v>0</v>
      </c>
      <c r="R10" s="295">
        <v>0</v>
      </c>
      <c r="S10" s="295">
        <v>0</v>
      </c>
      <c r="T10" s="295">
        <v>0</v>
      </c>
      <c r="U10" s="295">
        <v>0</v>
      </c>
      <c r="V10" s="295">
        <v>0</v>
      </c>
      <c r="W10" s="295">
        <v>0</v>
      </c>
      <c r="X10" s="295">
        <v>0</v>
      </c>
      <c r="Y10" s="295">
        <v>0</v>
      </c>
      <c r="Z10" s="295">
        <v>0</v>
      </c>
      <c r="AA10" s="295">
        <v>0</v>
      </c>
      <c r="AB10" s="295">
        <v>0</v>
      </c>
      <c r="AC10" s="295">
        <v>0</v>
      </c>
      <c r="AD10" s="295">
        <v>0</v>
      </c>
      <c r="AE10" s="295">
        <v>0</v>
      </c>
      <c r="AF10" s="295">
        <v>0</v>
      </c>
      <c r="AG10" s="295">
        <v>0</v>
      </c>
      <c r="AH10" s="295">
        <v>0</v>
      </c>
      <c r="AI10" s="295">
        <v>0</v>
      </c>
      <c r="AJ10" s="295">
        <v>0</v>
      </c>
      <c r="AK10" s="295">
        <v>0</v>
      </c>
      <c r="AL10" s="295">
        <v>0</v>
      </c>
      <c r="AM10" s="295">
        <v>0</v>
      </c>
      <c r="AN10" s="295">
        <v>0</v>
      </c>
      <c r="AO10" s="295">
        <v>0</v>
      </c>
      <c r="AP10" s="295">
        <v>0</v>
      </c>
    </row>
    <row r="11" spans="1:42" x14ac:dyDescent="0.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row>
    <row r="12" spans="1:42" x14ac:dyDescent="0.4">
      <c r="A12" s="80" t="s">
        <v>298</v>
      </c>
      <c r="B12" s="7"/>
      <c r="C12" s="211"/>
      <c r="D12" s="211"/>
      <c r="E12" s="211"/>
      <c r="F12" s="211"/>
      <c r="G12" s="211"/>
      <c r="H12" s="211"/>
      <c r="I12" s="211"/>
      <c r="J12" s="212"/>
      <c r="K12" s="212"/>
      <c r="L12" s="212"/>
      <c r="M12" s="212"/>
      <c r="N12" s="212"/>
      <c r="O12" s="212"/>
      <c r="P12" s="212"/>
      <c r="Q12" s="212"/>
      <c r="R12" s="212"/>
      <c r="S12" s="212"/>
      <c r="T12" s="212"/>
      <c r="U12" s="212"/>
      <c r="V12" s="212"/>
      <c r="W12" s="212"/>
      <c r="X12" s="212"/>
      <c r="Y12" s="212"/>
      <c r="Z12" s="212"/>
      <c r="AA12" s="212"/>
      <c r="AB12" s="212"/>
      <c r="AC12" s="212"/>
      <c r="AD12" s="212"/>
      <c r="AE12" s="212"/>
      <c r="AF12" s="212"/>
      <c r="AG12" s="212"/>
      <c r="AH12" s="212"/>
      <c r="AI12" s="212"/>
      <c r="AJ12" s="212"/>
      <c r="AK12" s="212"/>
      <c r="AL12" s="212"/>
      <c r="AM12" s="212"/>
      <c r="AN12" s="212"/>
      <c r="AO12" s="212"/>
      <c r="AP12" s="212"/>
    </row>
    <row r="13" spans="1:42" x14ac:dyDescent="0.4">
      <c r="A13" s="4" t="s">
        <v>299</v>
      </c>
      <c r="C13" s="14"/>
      <c r="D13" s="20"/>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row>
    <row r="14" spans="1:42" x14ac:dyDescent="0.4">
      <c r="A14" s="86" t="s">
        <v>292</v>
      </c>
      <c r="C14" s="150">
        <f>C5</f>
        <v>55524700</v>
      </c>
      <c r="D14" s="150">
        <f t="shared" ref="D14:AP14" si="2">D5</f>
        <v>55245500</v>
      </c>
      <c r="E14" s="150">
        <f t="shared" si="2"/>
        <v>54974100</v>
      </c>
      <c r="F14" s="150">
        <f t="shared" si="2"/>
        <v>54702700</v>
      </c>
      <c r="G14" s="150">
        <f t="shared" si="2"/>
        <v>54429700</v>
      </c>
      <c r="H14" s="150">
        <f t="shared" si="2"/>
        <v>54154400</v>
      </c>
      <c r="I14" s="150">
        <f t="shared" si="2"/>
        <v>53877600</v>
      </c>
      <c r="J14" s="150">
        <f t="shared" si="2"/>
        <v>53599400</v>
      </c>
      <c r="K14" s="150">
        <f t="shared" si="2"/>
        <v>53319700</v>
      </c>
      <c r="L14" s="150">
        <f t="shared" si="2"/>
        <v>53008400</v>
      </c>
      <c r="M14" s="150">
        <f t="shared" si="2"/>
        <v>52724300</v>
      </c>
      <c r="N14" s="150">
        <f t="shared" si="2"/>
        <v>52443100</v>
      </c>
      <c r="O14" s="150">
        <f t="shared" si="2"/>
        <v>52162700</v>
      </c>
      <c r="P14" s="150">
        <f t="shared" si="2"/>
        <v>51882200</v>
      </c>
      <c r="Q14" s="150">
        <f t="shared" si="2"/>
        <v>51601300</v>
      </c>
      <c r="R14" s="150">
        <f t="shared" si="2"/>
        <v>51320000</v>
      </c>
      <c r="S14" s="150">
        <f t="shared" si="2"/>
        <v>51038500</v>
      </c>
      <c r="T14" s="150">
        <f t="shared" si="2"/>
        <v>50756800</v>
      </c>
      <c r="U14" s="150">
        <f t="shared" si="2"/>
        <v>50475000</v>
      </c>
      <c r="V14" s="150">
        <f t="shared" si="2"/>
        <v>50159600</v>
      </c>
      <c r="W14" s="150">
        <f t="shared" si="2"/>
        <v>49874600</v>
      </c>
      <c r="X14" s="150">
        <f t="shared" si="2"/>
        <v>49593100</v>
      </c>
      <c r="Y14" s="150">
        <f t="shared" si="2"/>
        <v>49312700</v>
      </c>
      <c r="Z14" s="150">
        <f t="shared" si="2"/>
        <v>49032200</v>
      </c>
      <c r="AA14" s="150">
        <f t="shared" si="2"/>
        <v>48751300</v>
      </c>
      <c r="AB14" s="150">
        <f t="shared" si="2"/>
        <v>0</v>
      </c>
      <c r="AC14" s="150">
        <f t="shared" si="2"/>
        <v>0</v>
      </c>
      <c r="AD14" s="150">
        <f t="shared" si="2"/>
        <v>0</v>
      </c>
      <c r="AE14" s="150">
        <f t="shared" si="2"/>
        <v>0</v>
      </c>
      <c r="AF14" s="150">
        <f t="shared" si="2"/>
        <v>0</v>
      </c>
      <c r="AG14" s="150">
        <f t="shared" si="2"/>
        <v>0</v>
      </c>
      <c r="AH14" s="150">
        <f t="shared" si="2"/>
        <v>0</v>
      </c>
      <c r="AI14" s="150">
        <f t="shared" si="2"/>
        <v>0</v>
      </c>
      <c r="AJ14" s="150">
        <f t="shared" si="2"/>
        <v>0</v>
      </c>
      <c r="AK14" s="150">
        <f t="shared" si="2"/>
        <v>0</v>
      </c>
      <c r="AL14" s="150">
        <f t="shared" si="2"/>
        <v>0</v>
      </c>
      <c r="AM14" s="150">
        <f t="shared" si="2"/>
        <v>0</v>
      </c>
      <c r="AN14" s="150">
        <f t="shared" si="2"/>
        <v>0</v>
      </c>
      <c r="AO14" s="150">
        <f t="shared" si="2"/>
        <v>0</v>
      </c>
      <c r="AP14" s="150">
        <f t="shared" si="2"/>
        <v>0</v>
      </c>
    </row>
    <row r="15" spans="1:42" x14ac:dyDescent="0.4">
      <c r="A15" s="86" t="s">
        <v>10</v>
      </c>
      <c r="B15" s="4">
        <f t="array" ref="B15:AP15">Inputs!C160:AQ160</f>
        <v>0</v>
      </c>
      <c r="C15" s="148">
        <v>8.25</v>
      </c>
      <c r="D15" s="148">
        <v>8.25</v>
      </c>
      <c r="E15" s="148">
        <v>8.25</v>
      </c>
      <c r="F15" s="148">
        <v>8.25</v>
      </c>
      <c r="G15" s="148">
        <v>8.25</v>
      </c>
      <c r="H15" s="148">
        <v>8.25</v>
      </c>
      <c r="I15" s="148">
        <v>8.25</v>
      </c>
      <c r="J15" s="148">
        <v>8.25</v>
      </c>
      <c r="K15" s="148">
        <v>8.25</v>
      </c>
      <c r="L15" s="148">
        <v>8.25</v>
      </c>
      <c r="M15" s="148">
        <v>4.17</v>
      </c>
      <c r="N15" s="148">
        <v>4.17</v>
      </c>
      <c r="O15" s="148">
        <v>4.17</v>
      </c>
      <c r="P15" s="148">
        <v>4.17</v>
      </c>
      <c r="Q15" s="148">
        <v>4.17</v>
      </c>
      <c r="R15" s="148">
        <v>4.17</v>
      </c>
      <c r="S15" s="148">
        <v>4.17</v>
      </c>
      <c r="T15" s="148">
        <v>4.17</v>
      </c>
      <c r="U15" s="148">
        <v>4.17</v>
      </c>
      <c r="V15" s="148">
        <v>4.17</v>
      </c>
      <c r="W15" s="148">
        <v>4.17</v>
      </c>
      <c r="X15" s="148">
        <v>4.17</v>
      </c>
      <c r="Y15" s="148">
        <v>4.17</v>
      </c>
      <c r="Z15" s="148">
        <v>4.17</v>
      </c>
      <c r="AA15" s="148">
        <v>4.17</v>
      </c>
      <c r="AB15" s="148">
        <v>0</v>
      </c>
      <c r="AC15" s="148">
        <v>0</v>
      </c>
      <c r="AD15" s="148">
        <v>0</v>
      </c>
      <c r="AE15" s="148">
        <v>0</v>
      </c>
      <c r="AF15" s="148">
        <v>0</v>
      </c>
      <c r="AG15" s="148">
        <v>0</v>
      </c>
      <c r="AH15" s="148">
        <v>0</v>
      </c>
      <c r="AI15" s="148">
        <v>0</v>
      </c>
      <c r="AJ15" s="148">
        <v>0</v>
      </c>
      <c r="AK15" s="148">
        <v>0</v>
      </c>
      <c r="AL15" s="148">
        <v>0</v>
      </c>
      <c r="AM15" s="148">
        <v>0</v>
      </c>
      <c r="AN15" s="148">
        <v>0</v>
      </c>
      <c r="AO15" s="148">
        <v>0</v>
      </c>
      <c r="AP15" s="148">
        <v>0</v>
      </c>
    </row>
    <row r="16" spans="1:42" x14ac:dyDescent="0.4">
      <c r="A16" s="86" t="s">
        <v>371</v>
      </c>
      <c r="B16" s="119">
        <f t="array" ref="B16:AP16">Inputs!C161:AQ161</f>
        <v>0</v>
      </c>
      <c r="C16" s="125">
        <v>4580780</v>
      </c>
      <c r="D16" s="125">
        <v>4557750</v>
      </c>
      <c r="E16" s="125">
        <v>4535360</v>
      </c>
      <c r="F16" s="125">
        <v>4512970</v>
      </c>
      <c r="G16" s="125">
        <v>4490450</v>
      </c>
      <c r="H16" s="125">
        <v>4467740</v>
      </c>
      <c r="I16" s="125">
        <v>4444900</v>
      </c>
      <c r="J16" s="125">
        <v>4421950</v>
      </c>
      <c r="K16" s="125">
        <v>4398870</v>
      </c>
      <c r="L16" s="125">
        <v>4373200</v>
      </c>
      <c r="M16" s="125">
        <v>2198600</v>
      </c>
      <c r="N16" s="125">
        <v>2186880</v>
      </c>
      <c r="O16" s="125">
        <v>2175180</v>
      </c>
      <c r="P16" s="125">
        <v>2163490</v>
      </c>
      <c r="Q16" s="125">
        <v>2151770</v>
      </c>
      <c r="R16" s="125">
        <v>2140050</v>
      </c>
      <c r="S16" s="125">
        <v>2128310</v>
      </c>
      <c r="T16" s="125">
        <v>2116560</v>
      </c>
      <c r="U16" s="125">
        <v>2104810</v>
      </c>
      <c r="V16" s="125">
        <v>2091650</v>
      </c>
      <c r="W16" s="125">
        <v>2079770</v>
      </c>
      <c r="X16" s="125">
        <v>2068030</v>
      </c>
      <c r="Y16" s="125">
        <v>2056340</v>
      </c>
      <c r="Z16" s="125">
        <v>2044640</v>
      </c>
      <c r="AA16" s="125">
        <v>2032930</v>
      </c>
      <c r="AB16" s="125">
        <v>0</v>
      </c>
      <c r="AC16" s="125">
        <v>0</v>
      </c>
      <c r="AD16" s="125">
        <v>0</v>
      </c>
      <c r="AE16" s="125">
        <v>0</v>
      </c>
      <c r="AF16" s="125">
        <v>0</v>
      </c>
      <c r="AG16" s="125">
        <v>0</v>
      </c>
      <c r="AH16" s="125">
        <v>0</v>
      </c>
      <c r="AI16" s="125">
        <v>0</v>
      </c>
      <c r="AJ16" s="125">
        <v>0</v>
      </c>
      <c r="AK16" s="125">
        <v>0</v>
      </c>
      <c r="AL16" s="125">
        <v>0</v>
      </c>
      <c r="AM16" s="125">
        <v>0</v>
      </c>
      <c r="AN16" s="125">
        <v>0</v>
      </c>
      <c r="AO16" s="125">
        <v>0</v>
      </c>
      <c r="AP16" s="125">
        <v>0</v>
      </c>
    </row>
    <row r="17" spans="1:42" x14ac:dyDescent="0.4">
      <c r="A17" s="17" t="s">
        <v>300</v>
      </c>
      <c r="B17" s="119"/>
      <c r="C17" s="119"/>
      <c r="D17" s="119"/>
      <c r="E17" s="119"/>
      <c r="F17" s="119"/>
      <c r="G17" s="119"/>
      <c r="H17" s="119"/>
      <c r="I17" s="119"/>
      <c r="J17" s="119"/>
      <c r="K17" s="119"/>
      <c r="L17" s="119"/>
      <c r="M17" s="119"/>
      <c r="N17" s="119"/>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row>
    <row r="18" spans="1:42" x14ac:dyDescent="0.4">
      <c r="A18" s="309" t="s">
        <v>302</v>
      </c>
      <c r="B18" s="119">
        <f t="array" ref="B18:AP20">Inputs!C162:AQ164</f>
        <v>0</v>
      </c>
      <c r="C18" s="119">
        <v>0</v>
      </c>
      <c r="D18" s="119">
        <v>0</v>
      </c>
      <c r="E18" s="119">
        <v>0</v>
      </c>
      <c r="F18" s="119">
        <v>0</v>
      </c>
      <c r="G18" s="119">
        <v>0</v>
      </c>
      <c r="H18" s="119">
        <v>0</v>
      </c>
      <c r="I18" s="119">
        <v>0</v>
      </c>
      <c r="J18" s="119">
        <v>0</v>
      </c>
      <c r="K18" s="119">
        <v>0</v>
      </c>
      <c r="L18" s="119">
        <v>0</v>
      </c>
      <c r="M18" s="119">
        <v>0</v>
      </c>
      <c r="N18" s="119">
        <v>0</v>
      </c>
      <c r="O18" s="119">
        <v>0</v>
      </c>
      <c r="P18" s="119">
        <v>0</v>
      </c>
      <c r="Q18" s="119">
        <v>0</v>
      </c>
      <c r="R18" s="119">
        <v>0</v>
      </c>
      <c r="S18" s="119">
        <v>0</v>
      </c>
      <c r="T18" s="119">
        <v>0</v>
      </c>
      <c r="U18" s="119">
        <v>0</v>
      </c>
      <c r="V18" s="119">
        <v>0</v>
      </c>
      <c r="W18" s="119">
        <v>0</v>
      </c>
      <c r="X18" s="119">
        <v>0</v>
      </c>
      <c r="Y18" s="119">
        <v>0</v>
      </c>
      <c r="Z18" s="119">
        <v>0</v>
      </c>
      <c r="AA18" s="119">
        <v>0</v>
      </c>
      <c r="AB18" s="119">
        <v>0</v>
      </c>
      <c r="AC18" s="119">
        <v>0</v>
      </c>
      <c r="AD18" s="119">
        <v>0</v>
      </c>
      <c r="AE18" s="119">
        <v>0</v>
      </c>
      <c r="AF18" s="119">
        <v>0</v>
      </c>
      <c r="AG18" s="119">
        <v>0</v>
      </c>
      <c r="AH18" s="119">
        <v>0</v>
      </c>
      <c r="AI18" s="119">
        <v>0</v>
      </c>
      <c r="AJ18" s="119">
        <v>0</v>
      </c>
      <c r="AK18" s="119">
        <v>0</v>
      </c>
      <c r="AL18" s="119">
        <v>0</v>
      </c>
      <c r="AM18" s="119">
        <v>0</v>
      </c>
      <c r="AN18" s="119">
        <v>0</v>
      </c>
      <c r="AO18" s="119">
        <v>0</v>
      </c>
      <c r="AP18" s="119">
        <v>0</v>
      </c>
    </row>
    <row r="19" spans="1:42" x14ac:dyDescent="0.4">
      <c r="A19" s="309" t="s">
        <v>301</v>
      </c>
      <c r="B19" s="119">
        <v>0</v>
      </c>
      <c r="C19" s="119">
        <v>0</v>
      </c>
      <c r="D19" s="119">
        <v>0</v>
      </c>
      <c r="E19" s="119">
        <v>0</v>
      </c>
      <c r="F19" s="119">
        <v>0</v>
      </c>
      <c r="G19" s="119">
        <v>0</v>
      </c>
      <c r="H19" s="119">
        <v>0</v>
      </c>
      <c r="I19" s="119">
        <v>0</v>
      </c>
      <c r="J19" s="119">
        <v>0</v>
      </c>
      <c r="K19" s="119">
        <v>0</v>
      </c>
      <c r="L19" s="119">
        <v>0</v>
      </c>
      <c r="M19" s="119">
        <v>0</v>
      </c>
      <c r="N19" s="119">
        <v>0</v>
      </c>
      <c r="O19" s="119">
        <v>0</v>
      </c>
      <c r="P19" s="119">
        <v>0</v>
      </c>
      <c r="Q19" s="119">
        <v>0</v>
      </c>
      <c r="R19" s="119">
        <v>0</v>
      </c>
      <c r="S19" s="119">
        <v>0</v>
      </c>
      <c r="T19" s="119">
        <v>0</v>
      </c>
      <c r="U19" s="119">
        <v>0</v>
      </c>
      <c r="V19" s="119">
        <v>0</v>
      </c>
      <c r="W19" s="119">
        <v>0</v>
      </c>
      <c r="X19" s="119">
        <v>0</v>
      </c>
      <c r="Y19" s="119">
        <v>0</v>
      </c>
      <c r="Z19" s="119">
        <v>0</v>
      </c>
      <c r="AA19" s="119">
        <v>0</v>
      </c>
      <c r="AB19" s="119">
        <v>0</v>
      </c>
      <c r="AC19" s="119">
        <v>0</v>
      </c>
      <c r="AD19" s="119">
        <v>0</v>
      </c>
      <c r="AE19" s="119">
        <v>0</v>
      </c>
      <c r="AF19" s="119">
        <v>0</v>
      </c>
      <c r="AG19" s="119">
        <v>0</v>
      </c>
      <c r="AH19" s="119">
        <v>0</v>
      </c>
      <c r="AI19" s="119">
        <v>0</v>
      </c>
      <c r="AJ19" s="119">
        <v>0</v>
      </c>
      <c r="AK19" s="119">
        <v>0</v>
      </c>
      <c r="AL19" s="119">
        <v>0</v>
      </c>
      <c r="AM19" s="119">
        <v>0</v>
      </c>
      <c r="AN19" s="119">
        <v>0</v>
      </c>
      <c r="AO19" s="119">
        <v>0</v>
      </c>
      <c r="AP19" s="119">
        <v>0</v>
      </c>
    </row>
    <row r="20" spans="1:42" x14ac:dyDescent="0.4">
      <c r="A20" s="309" t="s">
        <v>373</v>
      </c>
      <c r="B20" s="119">
        <v>0</v>
      </c>
      <c r="C20" s="119">
        <v>0</v>
      </c>
      <c r="D20" s="119">
        <v>0</v>
      </c>
      <c r="E20" s="119">
        <v>0</v>
      </c>
      <c r="F20" s="119">
        <v>0</v>
      </c>
      <c r="G20" s="119">
        <v>0</v>
      </c>
      <c r="H20" s="119">
        <v>0</v>
      </c>
      <c r="I20" s="119">
        <v>0</v>
      </c>
      <c r="J20" s="119">
        <v>0</v>
      </c>
      <c r="K20" s="119">
        <v>0</v>
      </c>
      <c r="L20" s="119">
        <v>0</v>
      </c>
      <c r="M20" s="119">
        <v>0</v>
      </c>
      <c r="N20" s="119">
        <v>0</v>
      </c>
      <c r="O20" s="119">
        <v>0</v>
      </c>
      <c r="P20" s="119">
        <v>0</v>
      </c>
      <c r="Q20" s="119">
        <v>0</v>
      </c>
      <c r="R20" s="119">
        <v>0</v>
      </c>
      <c r="S20" s="119">
        <v>0</v>
      </c>
      <c r="T20" s="119">
        <v>0</v>
      </c>
      <c r="U20" s="119">
        <v>0</v>
      </c>
      <c r="V20" s="119">
        <v>0</v>
      </c>
      <c r="W20" s="119">
        <v>0</v>
      </c>
      <c r="X20" s="119">
        <v>0</v>
      </c>
      <c r="Y20" s="119">
        <v>0</v>
      </c>
      <c r="Z20" s="119">
        <v>0</v>
      </c>
      <c r="AA20" s="119">
        <v>0</v>
      </c>
      <c r="AB20" s="119">
        <v>0</v>
      </c>
      <c r="AC20" s="119">
        <v>0</v>
      </c>
      <c r="AD20" s="119">
        <v>0</v>
      </c>
      <c r="AE20" s="119">
        <v>0</v>
      </c>
      <c r="AF20" s="119">
        <v>0</v>
      </c>
      <c r="AG20" s="119">
        <v>0</v>
      </c>
      <c r="AH20" s="119">
        <v>0</v>
      </c>
      <c r="AI20" s="119">
        <v>0</v>
      </c>
      <c r="AJ20" s="119">
        <v>0</v>
      </c>
      <c r="AK20" s="119">
        <v>0</v>
      </c>
      <c r="AL20" s="119">
        <v>0</v>
      </c>
      <c r="AM20" s="119">
        <v>0</v>
      </c>
      <c r="AN20" s="119">
        <v>0</v>
      </c>
      <c r="AO20" s="119">
        <v>0</v>
      </c>
      <c r="AP20" s="119">
        <v>0</v>
      </c>
    </row>
    <row r="21" spans="1:42" x14ac:dyDescent="0.4">
      <c r="A21" s="17" t="s">
        <v>450</v>
      </c>
      <c r="B21" s="119">
        <f>SUM(B16:B20)</f>
        <v>0</v>
      </c>
      <c r="C21" s="119">
        <f t="shared" ref="C21:AP21" si="3">SUM(C16:C20)</f>
        <v>4580780</v>
      </c>
      <c r="D21" s="119">
        <f t="shared" si="3"/>
        <v>4557750</v>
      </c>
      <c r="E21" s="119">
        <f t="shared" si="3"/>
        <v>4535360</v>
      </c>
      <c r="F21" s="119">
        <f t="shared" si="3"/>
        <v>4512970</v>
      </c>
      <c r="G21" s="119">
        <f t="shared" si="3"/>
        <v>4490450</v>
      </c>
      <c r="H21" s="119">
        <f t="shared" si="3"/>
        <v>4467740</v>
      </c>
      <c r="I21" s="119">
        <f t="shared" si="3"/>
        <v>4444900</v>
      </c>
      <c r="J21" s="119">
        <f t="shared" si="3"/>
        <v>4421950</v>
      </c>
      <c r="K21" s="119">
        <f t="shared" si="3"/>
        <v>4398870</v>
      </c>
      <c r="L21" s="119">
        <f t="shared" si="3"/>
        <v>4373200</v>
      </c>
      <c r="M21" s="119">
        <f t="shared" si="3"/>
        <v>2198600</v>
      </c>
      <c r="N21" s="119">
        <f t="shared" si="3"/>
        <v>2186880</v>
      </c>
      <c r="O21" s="119">
        <f t="shared" si="3"/>
        <v>2175180</v>
      </c>
      <c r="P21" s="119">
        <f t="shared" si="3"/>
        <v>2163490</v>
      </c>
      <c r="Q21" s="119">
        <f t="shared" si="3"/>
        <v>2151770</v>
      </c>
      <c r="R21" s="119">
        <f t="shared" si="3"/>
        <v>2140050</v>
      </c>
      <c r="S21" s="119">
        <f t="shared" si="3"/>
        <v>2128310</v>
      </c>
      <c r="T21" s="119">
        <f t="shared" si="3"/>
        <v>2116560</v>
      </c>
      <c r="U21" s="119">
        <f t="shared" si="3"/>
        <v>2104810</v>
      </c>
      <c r="V21" s="119">
        <f t="shared" si="3"/>
        <v>2091650</v>
      </c>
      <c r="W21" s="119">
        <f t="shared" si="3"/>
        <v>2079770</v>
      </c>
      <c r="X21" s="119">
        <f t="shared" si="3"/>
        <v>2068030</v>
      </c>
      <c r="Y21" s="119">
        <f t="shared" si="3"/>
        <v>2056340</v>
      </c>
      <c r="Z21" s="119">
        <f t="shared" si="3"/>
        <v>2044640</v>
      </c>
      <c r="AA21" s="119">
        <f t="shared" si="3"/>
        <v>2032930</v>
      </c>
      <c r="AB21" s="119">
        <f t="shared" si="3"/>
        <v>0</v>
      </c>
      <c r="AC21" s="119">
        <f t="shared" si="3"/>
        <v>0</v>
      </c>
      <c r="AD21" s="119">
        <f t="shared" si="3"/>
        <v>0</v>
      </c>
      <c r="AE21" s="119">
        <f t="shared" si="3"/>
        <v>0</v>
      </c>
      <c r="AF21" s="119">
        <f t="shared" si="3"/>
        <v>0</v>
      </c>
      <c r="AG21" s="119">
        <f t="shared" si="3"/>
        <v>0</v>
      </c>
      <c r="AH21" s="119">
        <f t="shared" si="3"/>
        <v>0</v>
      </c>
      <c r="AI21" s="119">
        <f t="shared" si="3"/>
        <v>0</v>
      </c>
      <c r="AJ21" s="119">
        <f t="shared" si="3"/>
        <v>0</v>
      </c>
      <c r="AK21" s="119">
        <f t="shared" si="3"/>
        <v>0</v>
      </c>
      <c r="AL21" s="119">
        <f t="shared" si="3"/>
        <v>0</v>
      </c>
      <c r="AM21" s="119">
        <f t="shared" si="3"/>
        <v>0</v>
      </c>
      <c r="AN21" s="119">
        <f t="shared" si="3"/>
        <v>0</v>
      </c>
      <c r="AO21" s="119">
        <f t="shared" si="3"/>
        <v>0</v>
      </c>
      <c r="AP21" s="119">
        <f t="shared" si="3"/>
        <v>0</v>
      </c>
    </row>
    <row r="22" spans="1:42" x14ac:dyDescent="0.4">
      <c r="A22" s="309" t="s">
        <v>455</v>
      </c>
      <c r="B22" s="97">
        <f t="array" ref="B22:AP22">Inputs!C165:AQ165</f>
        <v>0</v>
      </c>
      <c r="C22" s="148">
        <v>100</v>
      </c>
      <c r="D22" s="148">
        <v>100</v>
      </c>
      <c r="E22" s="148">
        <v>100</v>
      </c>
      <c r="F22" s="148">
        <v>100</v>
      </c>
      <c r="G22" s="148">
        <v>100</v>
      </c>
      <c r="H22" s="148">
        <v>100</v>
      </c>
      <c r="I22" s="148">
        <v>100</v>
      </c>
      <c r="J22" s="148">
        <v>100</v>
      </c>
      <c r="K22" s="148">
        <v>100</v>
      </c>
      <c r="L22" s="148">
        <v>100</v>
      </c>
      <c r="M22" s="148">
        <v>100</v>
      </c>
      <c r="N22" s="148">
        <v>100</v>
      </c>
      <c r="O22" s="148">
        <v>100</v>
      </c>
      <c r="P22" s="148">
        <v>100</v>
      </c>
      <c r="Q22" s="148">
        <v>100</v>
      </c>
      <c r="R22" s="148">
        <v>100</v>
      </c>
      <c r="S22" s="148">
        <v>100</v>
      </c>
      <c r="T22" s="148">
        <v>100</v>
      </c>
      <c r="U22" s="148">
        <v>100</v>
      </c>
      <c r="V22" s="148">
        <v>100</v>
      </c>
      <c r="W22" s="148">
        <v>100</v>
      </c>
      <c r="X22" s="148">
        <v>100</v>
      </c>
      <c r="Y22" s="148">
        <v>100</v>
      </c>
      <c r="Z22" s="148">
        <v>100</v>
      </c>
      <c r="AA22" s="148">
        <v>100</v>
      </c>
      <c r="AB22" s="148">
        <v>0</v>
      </c>
      <c r="AC22" s="148">
        <v>0</v>
      </c>
      <c r="AD22" s="148">
        <v>0</v>
      </c>
      <c r="AE22" s="148">
        <v>0</v>
      </c>
      <c r="AF22" s="148">
        <v>0</v>
      </c>
      <c r="AG22" s="148">
        <v>0</v>
      </c>
      <c r="AH22" s="148">
        <v>0</v>
      </c>
      <c r="AI22" s="148">
        <v>0</v>
      </c>
      <c r="AJ22" s="148">
        <v>0</v>
      </c>
      <c r="AK22" s="148">
        <v>0</v>
      </c>
      <c r="AL22" s="148">
        <v>0</v>
      </c>
      <c r="AM22" s="148">
        <v>0</v>
      </c>
      <c r="AN22" s="148">
        <v>0</v>
      </c>
      <c r="AO22" s="148">
        <v>0</v>
      </c>
      <c r="AP22" s="148">
        <v>0</v>
      </c>
    </row>
    <row r="23" spans="1:42" x14ac:dyDescent="0.4">
      <c r="A23" s="309" t="s">
        <v>451</v>
      </c>
      <c r="B23" s="119">
        <f>B21*B22/100</f>
        <v>0</v>
      </c>
      <c r="C23" s="119">
        <f t="shared" ref="C23:AP23" si="4">C21*C22/100</f>
        <v>4580780</v>
      </c>
      <c r="D23" s="119">
        <f t="shared" si="4"/>
        <v>4557750</v>
      </c>
      <c r="E23" s="119">
        <f t="shared" si="4"/>
        <v>4535360</v>
      </c>
      <c r="F23" s="119">
        <f t="shared" si="4"/>
        <v>4512970</v>
      </c>
      <c r="G23" s="119">
        <f t="shared" si="4"/>
        <v>4490450</v>
      </c>
      <c r="H23" s="119">
        <f t="shared" si="4"/>
        <v>4467740</v>
      </c>
      <c r="I23" s="119">
        <f t="shared" si="4"/>
        <v>4444900</v>
      </c>
      <c r="J23" s="119">
        <f t="shared" si="4"/>
        <v>4421950</v>
      </c>
      <c r="K23" s="119">
        <f t="shared" si="4"/>
        <v>4398870</v>
      </c>
      <c r="L23" s="119">
        <f t="shared" si="4"/>
        <v>4373200</v>
      </c>
      <c r="M23" s="119">
        <f t="shared" si="4"/>
        <v>2198600</v>
      </c>
      <c r="N23" s="119">
        <f t="shared" si="4"/>
        <v>2186880</v>
      </c>
      <c r="O23" s="119">
        <f t="shared" si="4"/>
        <v>2175180</v>
      </c>
      <c r="P23" s="119">
        <f t="shared" si="4"/>
        <v>2163490</v>
      </c>
      <c r="Q23" s="119">
        <f t="shared" si="4"/>
        <v>2151770</v>
      </c>
      <c r="R23" s="119">
        <f t="shared" si="4"/>
        <v>2140050</v>
      </c>
      <c r="S23" s="119">
        <f t="shared" si="4"/>
        <v>2128310</v>
      </c>
      <c r="T23" s="119">
        <f t="shared" si="4"/>
        <v>2116560</v>
      </c>
      <c r="U23" s="119">
        <f t="shared" si="4"/>
        <v>2104810</v>
      </c>
      <c r="V23" s="119">
        <f t="shared" si="4"/>
        <v>2091650</v>
      </c>
      <c r="W23" s="119">
        <f t="shared" si="4"/>
        <v>2079770</v>
      </c>
      <c r="X23" s="119">
        <f t="shared" si="4"/>
        <v>2068030</v>
      </c>
      <c r="Y23" s="119">
        <f t="shared" si="4"/>
        <v>2056340</v>
      </c>
      <c r="Z23" s="119">
        <f t="shared" si="4"/>
        <v>2044640</v>
      </c>
      <c r="AA23" s="119">
        <f t="shared" si="4"/>
        <v>2032930</v>
      </c>
      <c r="AB23" s="119">
        <f t="shared" si="4"/>
        <v>0</v>
      </c>
      <c r="AC23" s="119">
        <f t="shared" si="4"/>
        <v>0</v>
      </c>
      <c r="AD23" s="119">
        <f t="shared" si="4"/>
        <v>0</v>
      </c>
      <c r="AE23" s="119">
        <f t="shared" si="4"/>
        <v>0</v>
      </c>
      <c r="AF23" s="119">
        <f t="shared" si="4"/>
        <v>0</v>
      </c>
      <c r="AG23" s="119">
        <f t="shared" si="4"/>
        <v>0</v>
      </c>
      <c r="AH23" s="119">
        <f t="shared" si="4"/>
        <v>0</v>
      </c>
      <c r="AI23" s="119">
        <f t="shared" si="4"/>
        <v>0</v>
      </c>
      <c r="AJ23" s="119">
        <f t="shared" si="4"/>
        <v>0</v>
      </c>
      <c r="AK23" s="119">
        <f t="shared" si="4"/>
        <v>0</v>
      </c>
      <c r="AL23" s="119">
        <f t="shared" si="4"/>
        <v>0</v>
      </c>
      <c r="AM23" s="119">
        <f t="shared" si="4"/>
        <v>0</v>
      </c>
      <c r="AN23" s="119">
        <f t="shared" si="4"/>
        <v>0</v>
      </c>
      <c r="AO23" s="119">
        <f t="shared" si="4"/>
        <v>0</v>
      </c>
      <c r="AP23" s="119">
        <f t="shared" si="4"/>
        <v>0</v>
      </c>
    </row>
    <row r="24" spans="1:42" x14ac:dyDescent="0.4">
      <c r="A24" s="309"/>
      <c r="B24" s="119"/>
      <c r="C24" s="119"/>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c r="AF24" s="119"/>
      <c r="AG24" s="119"/>
      <c r="AH24" s="119"/>
      <c r="AI24" s="119"/>
      <c r="AJ24" s="119"/>
      <c r="AK24" s="119"/>
      <c r="AL24" s="119"/>
      <c r="AM24" s="119"/>
      <c r="AN24" s="119"/>
      <c r="AO24" s="119"/>
      <c r="AP24" s="119"/>
    </row>
    <row r="25" spans="1:42" x14ac:dyDescent="0.4">
      <c r="A25" s="4" t="s">
        <v>20</v>
      </c>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row>
    <row r="26" spans="1:42" x14ac:dyDescent="0.4">
      <c r="A26" s="86" t="s">
        <v>4</v>
      </c>
      <c r="C26" s="119">
        <f t="shared" ref="C26:AP26" si="5">IF(pbi_fed_for_ds="Yes",C591,0)</f>
        <v>0</v>
      </c>
      <c r="D26" s="119">
        <f t="shared" si="5"/>
        <v>0</v>
      </c>
      <c r="E26" s="119">
        <f t="shared" si="5"/>
        <v>0</v>
      </c>
      <c r="F26" s="119">
        <f t="shared" si="5"/>
        <v>0</v>
      </c>
      <c r="G26" s="119">
        <f t="shared" si="5"/>
        <v>0</v>
      </c>
      <c r="H26" s="119">
        <f t="shared" si="5"/>
        <v>0</v>
      </c>
      <c r="I26" s="119">
        <f t="shared" si="5"/>
        <v>0</v>
      </c>
      <c r="J26" s="119">
        <f t="shared" si="5"/>
        <v>0</v>
      </c>
      <c r="K26" s="119">
        <f t="shared" si="5"/>
        <v>0</v>
      </c>
      <c r="L26" s="119">
        <f t="shared" si="5"/>
        <v>0</v>
      </c>
      <c r="M26" s="119">
        <f t="shared" si="5"/>
        <v>0</v>
      </c>
      <c r="N26" s="119">
        <f t="shared" si="5"/>
        <v>0</v>
      </c>
      <c r="O26" s="119">
        <f t="shared" si="5"/>
        <v>0</v>
      </c>
      <c r="P26" s="119">
        <f t="shared" si="5"/>
        <v>0</v>
      </c>
      <c r="Q26" s="119">
        <f t="shared" si="5"/>
        <v>0</v>
      </c>
      <c r="R26" s="119">
        <f t="shared" si="5"/>
        <v>0</v>
      </c>
      <c r="S26" s="119">
        <f t="shared" si="5"/>
        <v>0</v>
      </c>
      <c r="T26" s="119">
        <f t="shared" si="5"/>
        <v>0</v>
      </c>
      <c r="U26" s="119">
        <f t="shared" si="5"/>
        <v>0</v>
      </c>
      <c r="V26" s="119">
        <f t="shared" si="5"/>
        <v>0</v>
      </c>
      <c r="W26" s="119">
        <f t="shared" si="5"/>
        <v>0</v>
      </c>
      <c r="X26" s="119">
        <f t="shared" si="5"/>
        <v>0</v>
      </c>
      <c r="Y26" s="119">
        <f t="shared" si="5"/>
        <v>0</v>
      </c>
      <c r="Z26" s="119">
        <f t="shared" si="5"/>
        <v>0</v>
      </c>
      <c r="AA26" s="119">
        <f t="shared" si="5"/>
        <v>0</v>
      </c>
      <c r="AB26" s="119">
        <f t="shared" si="5"/>
        <v>0</v>
      </c>
      <c r="AC26" s="119">
        <f t="shared" si="5"/>
        <v>0</v>
      </c>
      <c r="AD26" s="119">
        <f t="shared" si="5"/>
        <v>0</v>
      </c>
      <c r="AE26" s="119">
        <f t="shared" si="5"/>
        <v>0</v>
      </c>
      <c r="AF26" s="119">
        <f t="shared" si="5"/>
        <v>0</v>
      </c>
      <c r="AG26" s="119">
        <f t="shared" si="5"/>
        <v>0</v>
      </c>
      <c r="AH26" s="119">
        <f t="shared" si="5"/>
        <v>0</v>
      </c>
      <c r="AI26" s="119">
        <f t="shared" si="5"/>
        <v>0</v>
      </c>
      <c r="AJ26" s="119">
        <f t="shared" si="5"/>
        <v>0</v>
      </c>
      <c r="AK26" s="119">
        <f t="shared" si="5"/>
        <v>0</v>
      </c>
      <c r="AL26" s="119">
        <f t="shared" si="5"/>
        <v>0</v>
      </c>
      <c r="AM26" s="119">
        <f t="shared" si="5"/>
        <v>0</v>
      </c>
      <c r="AN26" s="119">
        <f t="shared" si="5"/>
        <v>0</v>
      </c>
      <c r="AO26" s="119">
        <f t="shared" si="5"/>
        <v>0</v>
      </c>
      <c r="AP26" s="119">
        <f t="shared" si="5"/>
        <v>0</v>
      </c>
    </row>
    <row r="27" spans="1:42" x14ac:dyDescent="0.4">
      <c r="A27" s="86" t="s">
        <v>5</v>
      </c>
      <c r="C27" s="119">
        <f t="shared" ref="C27:AP27" si="6">IF(pbi_sta_for_ds="Yes",C595,0)</f>
        <v>0</v>
      </c>
      <c r="D27" s="119">
        <f t="shared" si="6"/>
        <v>0</v>
      </c>
      <c r="E27" s="119">
        <f t="shared" si="6"/>
        <v>0</v>
      </c>
      <c r="F27" s="119">
        <f t="shared" si="6"/>
        <v>0</v>
      </c>
      <c r="G27" s="119">
        <f t="shared" si="6"/>
        <v>0</v>
      </c>
      <c r="H27" s="119">
        <f t="shared" si="6"/>
        <v>0</v>
      </c>
      <c r="I27" s="119">
        <f t="shared" si="6"/>
        <v>0</v>
      </c>
      <c r="J27" s="119">
        <f t="shared" si="6"/>
        <v>0</v>
      </c>
      <c r="K27" s="119">
        <f t="shared" si="6"/>
        <v>0</v>
      </c>
      <c r="L27" s="119">
        <f t="shared" si="6"/>
        <v>0</v>
      </c>
      <c r="M27" s="119">
        <f t="shared" si="6"/>
        <v>0</v>
      </c>
      <c r="N27" s="119">
        <f t="shared" si="6"/>
        <v>0</v>
      </c>
      <c r="O27" s="119">
        <f t="shared" si="6"/>
        <v>0</v>
      </c>
      <c r="P27" s="119">
        <f t="shared" si="6"/>
        <v>0</v>
      </c>
      <c r="Q27" s="119">
        <f t="shared" si="6"/>
        <v>0</v>
      </c>
      <c r="R27" s="119">
        <f t="shared" si="6"/>
        <v>0</v>
      </c>
      <c r="S27" s="119">
        <f t="shared" si="6"/>
        <v>0</v>
      </c>
      <c r="T27" s="119">
        <f t="shared" si="6"/>
        <v>0</v>
      </c>
      <c r="U27" s="119">
        <f t="shared" si="6"/>
        <v>0</v>
      </c>
      <c r="V27" s="119">
        <f t="shared" si="6"/>
        <v>0</v>
      </c>
      <c r="W27" s="119">
        <f t="shared" si="6"/>
        <v>0</v>
      </c>
      <c r="X27" s="119">
        <f t="shared" si="6"/>
        <v>0</v>
      </c>
      <c r="Y27" s="119">
        <f t="shared" si="6"/>
        <v>0</v>
      </c>
      <c r="Z27" s="119">
        <f t="shared" si="6"/>
        <v>0</v>
      </c>
      <c r="AA27" s="119">
        <f t="shared" si="6"/>
        <v>0</v>
      </c>
      <c r="AB27" s="119">
        <f t="shared" si="6"/>
        <v>0</v>
      </c>
      <c r="AC27" s="119">
        <f t="shared" si="6"/>
        <v>0</v>
      </c>
      <c r="AD27" s="119">
        <f t="shared" si="6"/>
        <v>0</v>
      </c>
      <c r="AE27" s="119">
        <f t="shared" si="6"/>
        <v>0</v>
      </c>
      <c r="AF27" s="119">
        <f t="shared" si="6"/>
        <v>0</v>
      </c>
      <c r="AG27" s="119">
        <f t="shared" si="6"/>
        <v>0</v>
      </c>
      <c r="AH27" s="119">
        <f t="shared" si="6"/>
        <v>0</v>
      </c>
      <c r="AI27" s="119">
        <f t="shared" si="6"/>
        <v>0</v>
      </c>
      <c r="AJ27" s="119">
        <f t="shared" si="6"/>
        <v>0</v>
      </c>
      <c r="AK27" s="119">
        <f t="shared" si="6"/>
        <v>0</v>
      </c>
      <c r="AL27" s="119">
        <f t="shared" si="6"/>
        <v>0</v>
      </c>
      <c r="AM27" s="119">
        <f t="shared" si="6"/>
        <v>0</v>
      </c>
      <c r="AN27" s="119">
        <f t="shared" si="6"/>
        <v>0</v>
      </c>
      <c r="AO27" s="119">
        <f t="shared" si="6"/>
        <v>0</v>
      </c>
      <c r="AP27" s="119">
        <f t="shared" si="6"/>
        <v>0</v>
      </c>
    </row>
    <row r="28" spans="1:42" x14ac:dyDescent="0.4">
      <c r="A28" s="86" t="s">
        <v>153</v>
      </c>
      <c r="C28" s="119">
        <f t="shared" ref="C28:AP28" si="7">IF(pbi_uti_for_ds="Yes",C599,0)</f>
        <v>0</v>
      </c>
      <c r="D28" s="119">
        <f t="shared" si="7"/>
        <v>0</v>
      </c>
      <c r="E28" s="119">
        <f t="shared" si="7"/>
        <v>0</v>
      </c>
      <c r="F28" s="119">
        <f t="shared" si="7"/>
        <v>0</v>
      </c>
      <c r="G28" s="119">
        <f t="shared" si="7"/>
        <v>0</v>
      </c>
      <c r="H28" s="119">
        <f t="shared" si="7"/>
        <v>0</v>
      </c>
      <c r="I28" s="119">
        <f t="shared" si="7"/>
        <v>0</v>
      </c>
      <c r="J28" s="119">
        <f t="shared" si="7"/>
        <v>0</v>
      </c>
      <c r="K28" s="119">
        <f t="shared" si="7"/>
        <v>0</v>
      </c>
      <c r="L28" s="119">
        <f t="shared" si="7"/>
        <v>0</v>
      </c>
      <c r="M28" s="119">
        <f t="shared" si="7"/>
        <v>0</v>
      </c>
      <c r="N28" s="119">
        <f t="shared" si="7"/>
        <v>0</v>
      </c>
      <c r="O28" s="119">
        <f t="shared" si="7"/>
        <v>0</v>
      </c>
      <c r="P28" s="119">
        <f t="shared" si="7"/>
        <v>0</v>
      </c>
      <c r="Q28" s="119">
        <f t="shared" si="7"/>
        <v>0</v>
      </c>
      <c r="R28" s="119">
        <f t="shared" si="7"/>
        <v>0</v>
      </c>
      <c r="S28" s="119">
        <f t="shared" si="7"/>
        <v>0</v>
      </c>
      <c r="T28" s="119">
        <f t="shared" si="7"/>
        <v>0</v>
      </c>
      <c r="U28" s="119">
        <f t="shared" si="7"/>
        <v>0</v>
      </c>
      <c r="V28" s="119">
        <f t="shared" si="7"/>
        <v>0</v>
      </c>
      <c r="W28" s="119">
        <f t="shared" si="7"/>
        <v>0</v>
      </c>
      <c r="X28" s="119">
        <f t="shared" si="7"/>
        <v>0</v>
      </c>
      <c r="Y28" s="119">
        <f t="shared" si="7"/>
        <v>0</v>
      </c>
      <c r="Z28" s="119">
        <f t="shared" si="7"/>
        <v>0</v>
      </c>
      <c r="AA28" s="119">
        <f t="shared" si="7"/>
        <v>0</v>
      </c>
      <c r="AB28" s="119">
        <f t="shared" si="7"/>
        <v>0</v>
      </c>
      <c r="AC28" s="119">
        <f t="shared" si="7"/>
        <v>0</v>
      </c>
      <c r="AD28" s="119">
        <f t="shared" si="7"/>
        <v>0</v>
      </c>
      <c r="AE28" s="119">
        <f t="shared" si="7"/>
        <v>0</v>
      </c>
      <c r="AF28" s="119">
        <f t="shared" si="7"/>
        <v>0</v>
      </c>
      <c r="AG28" s="119">
        <f t="shared" si="7"/>
        <v>0</v>
      </c>
      <c r="AH28" s="119">
        <f t="shared" si="7"/>
        <v>0</v>
      </c>
      <c r="AI28" s="119">
        <f t="shared" si="7"/>
        <v>0</v>
      </c>
      <c r="AJ28" s="119">
        <f t="shared" si="7"/>
        <v>0</v>
      </c>
      <c r="AK28" s="119">
        <f t="shared" si="7"/>
        <v>0</v>
      </c>
      <c r="AL28" s="119">
        <f t="shared" si="7"/>
        <v>0</v>
      </c>
      <c r="AM28" s="119">
        <f t="shared" si="7"/>
        <v>0</v>
      </c>
      <c r="AN28" s="119">
        <f t="shared" si="7"/>
        <v>0</v>
      </c>
      <c r="AO28" s="119">
        <f t="shared" si="7"/>
        <v>0</v>
      </c>
      <c r="AP28" s="119">
        <f t="shared" si="7"/>
        <v>0</v>
      </c>
    </row>
    <row r="29" spans="1:42" x14ac:dyDescent="0.4">
      <c r="A29" s="86" t="s">
        <v>154</v>
      </c>
      <c r="C29" s="120">
        <f t="shared" ref="C29:AP29" si="8">IF(pbi_oth_for_ds="Yes",C603,0)</f>
        <v>0</v>
      </c>
      <c r="D29" s="120">
        <f t="shared" si="8"/>
        <v>0</v>
      </c>
      <c r="E29" s="120">
        <f t="shared" si="8"/>
        <v>0</v>
      </c>
      <c r="F29" s="120">
        <f t="shared" si="8"/>
        <v>0</v>
      </c>
      <c r="G29" s="120">
        <f t="shared" si="8"/>
        <v>0</v>
      </c>
      <c r="H29" s="120">
        <f t="shared" si="8"/>
        <v>0</v>
      </c>
      <c r="I29" s="120">
        <f t="shared" si="8"/>
        <v>0</v>
      </c>
      <c r="J29" s="120">
        <f t="shared" si="8"/>
        <v>0</v>
      </c>
      <c r="K29" s="120">
        <f t="shared" si="8"/>
        <v>0</v>
      </c>
      <c r="L29" s="120">
        <f t="shared" si="8"/>
        <v>0</v>
      </c>
      <c r="M29" s="120">
        <f t="shared" si="8"/>
        <v>0</v>
      </c>
      <c r="N29" s="120">
        <f t="shared" si="8"/>
        <v>0</v>
      </c>
      <c r="O29" s="120">
        <f t="shared" si="8"/>
        <v>0</v>
      </c>
      <c r="P29" s="120">
        <f t="shared" si="8"/>
        <v>0</v>
      </c>
      <c r="Q29" s="120">
        <f t="shared" si="8"/>
        <v>0</v>
      </c>
      <c r="R29" s="120">
        <f t="shared" si="8"/>
        <v>0</v>
      </c>
      <c r="S29" s="120">
        <f t="shared" si="8"/>
        <v>0</v>
      </c>
      <c r="T29" s="120">
        <f t="shared" si="8"/>
        <v>0</v>
      </c>
      <c r="U29" s="120">
        <f t="shared" si="8"/>
        <v>0</v>
      </c>
      <c r="V29" s="120">
        <f t="shared" si="8"/>
        <v>0</v>
      </c>
      <c r="W29" s="120">
        <f t="shared" si="8"/>
        <v>0</v>
      </c>
      <c r="X29" s="120">
        <f t="shared" si="8"/>
        <v>0</v>
      </c>
      <c r="Y29" s="120">
        <f t="shared" si="8"/>
        <v>0</v>
      </c>
      <c r="Z29" s="120">
        <f t="shared" si="8"/>
        <v>0</v>
      </c>
      <c r="AA29" s="120">
        <f t="shared" si="8"/>
        <v>0</v>
      </c>
      <c r="AB29" s="120">
        <f t="shared" si="8"/>
        <v>0</v>
      </c>
      <c r="AC29" s="120">
        <f t="shared" si="8"/>
        <v>0</v>
      </c>
      <c r="AD29" s="120">
        <f t="shared" si="8"/>
        <v>0</v>
      </c>
      <c r="AE29" s="120">
        <f t="shared" si="8"/>
        <v>0</v>
      </c>
      <c r="AF29" s="120">
        <f t="shared" si="8"/>
        <v>0</v>
      </c>
      <c r="AG29" s="120">
        <f t="shared" si="8"/>
        <v>0</v>
      </c>
      <c r="AH29" s="120">
        <f t="shared" si="8"/>
        <v>0</v>
      </c>
      <c r="AI29" s="120">
        <f t="shared" si="8"/>
        <v>0</v>
      </c>
      <c r="AJ29" s="120">
        <f t="shared" si="8"/>
        <v>0</v>
      </c>
      <c r="AK29" s="120">
        <f t="shared" si="8"/>
        <v>0</v>
      </c>
      <c r="AL29" s="120">
        <f t="shared" si="8"/>
        <v>0</v>
      </c>
      <c r="AM29" s="120">
        <f t="shared" si="8"/>
        <v>0</v>
      </c>
      <c r="AN29" s="120">
        <f t="shared" si="8"/>
        <v>0</v>
      </c>
      <c r="AO29" s="120">
        <f t="shared" si="8"/>
        <v>0</v>
      </c>
      <c r="AP29" s="120">
        <f t="shared" si="8"/>
        <v>0</v>
      </c>
    </row>
    <row r="30" spans="1:42" x14ac:dyDescent="0.4">
      <c r="A30" s="86" t="s">
        <v>21</v>
      </c>
      <c r="C30" s="119">
        <f>SUM(C26:C29)</f>
        <v>0</v>
      </c>
      <c r="D30" s="119">
        <f t="shared" ref="D30:AP30" si="9">SUM(D26:D29)</f>
        <v>0</v>
      </c>
      <c r="E30" s="119">
        <f t="shared" si="9"/>
        <v>0</v>
      </c>
      <c r="F30" s="119">
        <f t="shared" si="9"/>
        <v>0</v>
      </c>
      <c r="G30" s="119">
        <f t="shared" si="9"/>
        <v>0</v>
      </c>
      <c r="H30" s="119">
        <f t="shared" si="9"/>
        <v>0</v>
      </c>
      <c r="I30" s="119">
        <f t="shared" si="9"/>
        <v>0</v>
      </c>
      <c r="J30" s="119">
        <f t="shared" si="9"/>
        <v>0</v>
      </c>
      <c r="K30" s="119">
        <f t="shared" si="9"/>
        <v>0</v>
      </c>
      <c r="L30" s="119">
        <f t="shared" si="9"/>
        <v>0</v>
      </c>
      <c r="M30" s="119">
        <f t="shared" si="9"/>
        <v>0</v>
      </c>
      <c r="N30" s="119">
        <f t="shared" si="9"/>
        <v>0</v>
      </c>
      <c r="O30" s="119">
        <f t="shared" si="9"/>
        <v>0</v>
      </c>
      <c r="P30" s="119">
        <f t="shared" si="9"/>
        <v>0</v>
      </c>
      <c r="Q30" s="119">
        <f t="shared" si="9"/>
        <v>0</v>
      </c>
      <c r="R30" s="119">
        <f t="shared" si="9"/>
        <v>0</v>
      </c>
      <c r="S30" s="119">
        <f t="shared" si="9"/>
        <v>0</v>
      </c>
      <c r="T30" s="119">
        <f t="shared" si="9"/>
        <v>0</v>
      </c>
      <c r="U30" s="119">
        <f t="shared" si="9"/>
        <v>0</v>
      </c>
      <c r="V30" s="119">
        <f t="shared" si="9"/>
        <v>0</v>
      </c>
      <c r="W30" s="119">
        <f t="shared" si="9"/>
        <v>0</v>
      </c>
      <c r="X30" s="119">
        <f t="shared" si="9"/>
        <v>0</v>
      </c>
      <c r="Y30" s="119">
        <f t="shared" si="9"/>
        <v>0</v>
      </c>
      <c r="Z30" s="119">
        <f t="shared" si="9"/>
        <v>0</v>
      </c>
      <c r="AA30" s="119">
        <f t="shared" si="9"/>
        <v>0</v>
      </c>
      <c r="AB30" s="119">
        <f t="shared" si="9"/>
        <v>0</v>
      </c>
      <c r="AC30" s="119">
        <f t="shared" si="9"/>
        <v>0</v>
      </c>
      <c r="AD30" s="119">
        <f t="shared" si="9"/>
        <v>0</v>
      </c>
      <c r="AE30" s="119">
        <f t="shared" si="9"/>
        <v>0</v>
      </c>
      <c r="AF30" s="119">
        <f t="shared" si="9"/>
        <v>0</v>
      </c>
      <c r="AG30" s="119">
        <f t="shared" si="9"/>
        <v>0</v>
      </c>
      <c r="AH30" s="119">
        <f t="shared" si="9"/>
        <v>0</v>
      </c>
      <c r="AI30" s="119">
        <f t="shared" si="9"/>
        <v>0</v>
      </c>
      <c r="AJ30" s="119">
        <f t="shared" si="9"/>
        <v>0</v>
      </c>
      <c r="AK30" s="119">
        <f t="shared" si="9"/>
        <v>0</v>
      </c>
      <c r="AL30" s="119">
        <f t="shared" si="9"/>
        <v>0</v>
      </c>
      <c r="AM30" s="119">
        <f t="shared" si="9"/>
        <v>0</v>
      </c>
      <c r="AN30" s="119">
        <f t="shared" si="9"/>
        <v>0</v>
      </c>
      <c r="AO30" s="119">
        <f t="shared" si="9"/>
        <v>0</v>
      </c>
      <c r="AP30" s="119">
        <f t="shared" si="9"/>
        <v>0</v>
      </c>
    </row>
    <row r="31" spans="1:42" x14ac:dyDescent="0.4">
      <c r="A31" s="17" t="s">
        <v>293</v>
      </c>
      <c r="C31" s="119">
        <f t="shared" ref="C31:AP31" si="10">IF(C2=analysis_period,total_installed_cost*salvage_percentage/100,0)</f>
        <v>0</v>
      </c>
      <c r="D31" s="119">
        <f t="shared" si="10"/>
        <v>0</v>
      </c>
      <c r="E31" s="119">
        <f t="shared" si="10"/>
        <v>0</v>
      </c>
      <c r="F31" s="119">
        <f t="shared" si="10"/>
        <v>0</v>
      </c>
      <c r="G31" s="119">
        <f t="shared" si="10"/>
        <v>0</v>
      </c>
      <c r="H31" s="119">
        <f t="shared" si="10"/>
        <v>0</v>
      </c>
      <c r="I31" s="119">
        <f t="shared" si="10"/>
        <v>0</v>
      </c>
      <c r="J31" s="119">
        <f t="shared" si="10"/>
        <v>0</v>
      </c>
      <c r="K31" s="119">
        <f t="shared" si="10"/>
        <v>0</v>
      </c>
      <c r="L31" s="119">
        <f t="shared" si="10"/>
        <v>0</v>
      </c>
      <c r="M31" s="119">
        <f t="shared" si="10"/>
        <v>0</v>
      </c>
      <c r="N31" s="119">
        <f t="shared" si="10"/>
        <v>0</v>
      </c>
      <c r="O31" s="119">
        <f t="shared" si="10"/>
        <v>0</v>
      </c>
      <c r="P31" s="119">
        <f t="shared" si="10"/>
        <v>0</v>
      </c>
      <c r="Q31" s="119">
        <f t="shared" si="10"/>
        <v>0</v>
      </c>
      <c r="R31" s="119">
        <f t="shared" si="10"/>
        <v>0</v>
      </c>
      <c r="S31" s="119">
        <f t="shared" si="10"/>
        <v>0</v>
      </c>
      <c r="T31" s="119">
        <f t="shared" si="10"/>
        <v>0</v>
      </c>
      <c r="U31" s="119">
        <f t="shared" si="10"/>
        <v>0</v>
      </c>
      <c r="V31" s="119">
        <f t="shared" si="10"/>
        <v>0</v>
      </c>
      <c r="W31" s="119">
        <f t="shared" si="10"/>
        <v>0</v>
      </c>
      <c r="X31" s="119">
        <f t="shared" si="10"/>
        <v>0</v>
      </c>
      <c r="Y31" s="119">
        <f t="shared" si="10"/>
        <v>0</v>
      </c>
      <c r="Z31" s="119">
        <f t="shared" si="10"/>
        <v>0</v>
      </c>
      <c r="AA31" s="119">
        <f t="shared" si="10"/>
        <v>6383220</v>
      </c>
      <c r="AB31" s="119">
        <f t="shared" si="10"/>
        <v>0</v>
      </c>
      <c r="AC31" s="119">
        <f t="shared" si="10"/>
        <v>0</v>
      </c>
      <c r="AD31" s="119">
        <f t="shared" si="10"/>
        <v>0</v>
      </c>
      <c r="AE31" s="119">
        <f t="shared" si="10"/>
        <v>0</v>
      </c>
      <c r="AF31" s="119">
        <f t="shared" si="10"/>
        <v>0</v>
      </c>
      <c r="AG31" s="119">
        <f t="shared" si="10"/>
        <v>0</v>
      </c>
      <c r="AH31" s="119">
        <f t="shared" si="10"/>
        <v>0</v>
      </c>
      <c r="AI31" s="119">
        <f t="shared" si="10"/>
        <v>0</v>
      </c>
      <c r="AJ31" s="119">
        <f t="shared" si="10"/>
        <v>0</v>
      </c>
      <c r="AK31" s="119">
        <f t="shared" si="10"/>
        <v>0</v>
      </c>
      <c r="AL31" s="119">
        <f t="shared" si="10"/>
        <v>0</v>
      </c>
      <c r="AM31" s="119">
        <f t="shared" si="10"/>
        <v>0</v>
      </c>
      <c r="AN31" s="119">
        <f t="shared" si="10"/>
        <v>0</v>
      </c>
      <c r="AO31" s="119">
        <f t="shared" si="10"/>
        <v>0</v>
      </c>
      <c r="AP31" s="119">
        <f t="shared" si="10"/>
        <v>0</v>
      </c>
    </row>
    <row r="32" spans="1:42" x14ac:dyDescent="0.4">
      <c r="A32" s="17" t="s">
        <v>456</v>
      </c>
      <c r="C32" s="119">
        <f>IF(non_energy_revenue_ds="Yes",Inputs!D166,0)</f>
        <v>0</v>
      </c>
      <c r="D32" s="119">
        <f>IF(non_energy_revenue_ds="Yes",Inputs!E166,0)</f>
        <v>0</v>
      </c>
      <c r="E32" s="119">
        <f>IF(non_energy_revenue_ds="Yes",Inputs!F166,0)</f>
        <v>0</v>
      </c>
      <c r="F32" s="119">
        <f>IF(non_energy_revenue_ds="Yes",Inputs!G166,0)</f>
        <v>0</v>
      </c>
      <c r="G32" s="119">
        <f>IF(non_energy_revenue_ds="Yes",Inputs!H166,0)</f>
        <v>0</v>
      </c>
      <c r="H32" s="119">
        <f>IF(non_energy_revenue_ds="Yes",Inputs!I166,0)</f>
        <v>0</v>
      </c>
      <c r="I32" s="119">
        <f>IF(non_energy_revenue_ds="Yes",Inputs!J166,0)</f>
        <v>0</v>
      </c>
      <c r="J32" s="119">
        <f>IF(non_energy_revenue_ds="Yes",Inputs!K166,0)</f>
        <v>0</v>
      </c>
      <c r="K32" s="119">
        <f>IF(non_energy_revenue_ds="Yes",Inputs!L166,0)</f>
        <v>0</v>
      </c>
      <c r="L32" s="119">
        <f>IF(non_energy_revenue_ds="Yes",Inputs!M166,0)</f>
        <v>0</v>
      </c>
      <c r="M32" s="119">
        <f>IF(non_energy_revenue_ds="Yes",Inputs!N166,0)</f>
        <v>0</v>
      </c>
      <c r="N32" s="119">
        <f>IF(non_energy_revenue_ds="Yes",Inputs!O166,0)</f>
        <v>0</v>
      </c>
      <c r="O32" s="119">
        <f>IF(non_energy_revenue_ds="Yes",Inputs!P166,0)</f>
        <v>0</v>
      </c>
      <c r="P32" s="119">
        <f>IF(non_energy_revenue_ds="Yes",Inputs!Q166,0)</f>
        <v>0</v>
      </c>
      <c r="Q32" s="119">
        <f>IF(non_energy_revenue_ds="Yes",Inputs!R166,0)</f>
        <v>0</v>
      </c>
      <c r="R32" s="119">
        <f>IF(non_energy_revenue_ds="Yes",Inputs!S166,0)</f>
        <v>0</v>
      </c>
      <c r="S32" s="119">
        <f>IF(non_energy_revenue_ds="Yes",Inputs!T166,0)</f>
        <v>0</v>
      </c>
      <c r="T32" s="119">
        <f>IF(non_energy_revenue_ds="Yes",Inputs!U166,0)</f>
        <v>0</v>
      </c>
      <c r="U32" s="119">
        <f>IF(non_energy_revenue_ds="Yes",Inputs!V166,0)</f>
        <v>0</v>
      </c>
      <c r="V32" s="119">
        <f>IF(non_energy_revenue_ds="Yes",Inputs!W166,0)</f>
        <v>0</v>
      </c>
      <c r="W32" s="119">
        <f>IF(non_energy_revenue_ds="Yes",Inputs!X166,0)</f>
        <v>0</v>
      </c>
      <c r="X32" s="119">
        <f>IF(non_energy_revenue_ds="Yes",Inputs!Y166,0)</f>
        <v>0</v>
      </c>
      <c r="Y32" s="119">
        <f>IF(non_energy_revenue_ds="Yes",Inputs!Z166,0)</f>
        <v>0</v>
      </c>
      <c r="Z32" s="119">
        <f>IF(non_energy_revenue_ds="Yes",Inputs!AA166,0)</f>
        <v>0</v>
      </c>
      <c r="AA32" s="119">
        <f>IF(non_energy_revenue_ds="Yes",Inputs!AB166,0)</f>
        <v>0</v>
      </c>
      <c r="AB32" s="119">
        <f>IF(non_energy_revenue_ds="Yes",Inputs!AC166,0)</f>
        <v>0</v>
      </c>
      <c r="AC32" s="119">
        <f>IF(non_energy_revenue_ds="Yes",Inputs!AD166,0)</f>
        <v>0</v>
      </c>
      <c r="AD32" s="119">
        <f>IF(non_energy_revenue_ds="Yes",Inputs!AE166,0)</f>
        <v>0</v>
      </c>
      <c r="AE32" s="119">
        <f>IF(non_energy_revenue_ds="Yes",Inputs!AF166,0)</f>
        <v>0</v>
      </c>
      <c r="AF32" s="119">
        <f>IF(non_energy_revenue_ds="Yes",Inputs!AG166,0)</f>
        <v>0</v>
      </c>
      <c r="AG32" s="119">
        <f>IF(non_energy_revenue_ds="Yes",Inputs!AH166,0)</f>
        <v>0</v>
      </c>
      <c r="AH32" s="119">
        <f>IF(non_energy_revenue_ds="Yes",Inputs!AI166,0)</f>
        <v>0</v>
      </c>
      <c r="AI32" s="119">
        <f>IF(non_energy_revenue_ds="Yes",Inputs!AJ166,0)</f>
        <v>0</v>
      </c>
      <c r="AJ32" s="119">
        <f>IF(non_energy_revenue_ds="Yes",Inputs!AK166,0)</f>
        <v>0</v>
      </c>
      <c r="AK32" s="119">
        <f>IF(non_energy_revenue_ds="Yes",Inputs!AL166,0)</f>
        <v>0</v>
      </c>
      <c r="AL32" s="119">
        <f>IF(non_energy_revenue_ds="Yes",Inputs!AM166,0)</f>
        <v>0</v>
      </c>
      <c r="AM32" s="119">
        <f>IF(non_energy_revenue_ds="Yes",Inputs!AN166,0)</f>
        <v>0</v>
      </c>
      <c r="AN32" s="119">
        <f>IF(non_energy_revenue_ds="Yes",Inputs!AO166,0)</f>
        <v>0</v>
      </c>
      <c r="AO32" s="119">
        <f>IF(non_energy_revenue_ds="Yes",Inputs!AP166,0)</f>
        <v>0</v>
      </c>
      <c r="AP32" s="119">
        <f>IF(non_energy_revenue_ds="Yes",Inputs!AQ166,0)</f>
        <v>0</v>
      </c>
    </row>
    <row r="33" spans="1:42" x14ac:dyDescent="0.4">
      <c r="A33" s="202" t="s">
        <v>58</v>
      </c>
      <c r="B33" s="27"/>
      <c r="C33" s="136">
        <f t="shared" ref="C33:AP33" si="11">IF(C2&lt;=analysis_period,C$23+C$30+C$31+C$32,0)</f>
        <v>4580780</v>
      </c>
      <c r="D33" s="136">
        <f t="shared" si="11"/>
        <v>4557750</v>
      </c>
      <c r="E33" s="136">
        <f t="shared" si="11"/>
        <v>4535360</v>
      </c>
      <c r="F33" s="136">
        <f t="shared" si="11"/>
        <v>4512970</v>
      </c>
      <c r="G33" s="136">
        <f t="shared" si="11"/>
        <v>4490450</v>
      </c>
      <c r="H33" s="136">
        <f t="shared" si="11"/>
        <v>4467740</v>
      </c>
      <c r="I33" s="136">
        <f t="shared" si="11"/>
        <v>4444900</v>
      </c>
      <c r="J33" s="136">
        <f t="shared" si="11"/>
        <v>4421950</v>
      </c>
      <c r="K33" s="136">
        <f t="shared" si="11"/>
        <v>4398870</v>
      </c>
      <c r="L33" s="136">
        <f t="shared" si="11"/>
        <v>4373200</v>
      </c>
      <c r="M33" s="136">
        <f t="shared" si="11"/>
        <v>2198600</v>
      </c>
      <c r="N33" s="136">
        <f t="shared" si="11"/>
        <v>2186880</v>
      </c>
      <c r="O33" s="136">
        <f t="shared" si="11"/>
        <v>2175180</v>
      </c>
      <c r="P33" s="136">
        <f t="shared" si="11"/>
        <v>2163490</v>
      </c>
      <c r="Q33" s="136">
        <f t="shared" si="11"/>
        <v>2151770</v>
      </c>
      <c r="R33" s="136">
        <f t="shared" si="11"/>
        <v>2140050</v>
      </c>
      <c r="S33" s="136">
        <f t="shared" si="11"/>
        <v>2128310</v>
      </c>
      <c r="T33" s="136">
        <f t="shared" si="11"/>
        <v>2116560</v>
      </c>
      <c r="U33" s="136">
        <f t="shared" si="11"/>
        <v>2104810</v>
      </c>
      <c r="V33" s="136">
        <f t="shared" si="11"/>
        <v>2091650</v>
      </c>
      <c r="W33" s="136">
        <f t="shared" si="11"/>
        <v>2079770</v>
      </c>
      <c r="X33" s="136">
        <f t="shared" si="11"/>
        <v>2068030</v>
      </c>
      <c r="Y33" s="136">
        <f t="shared" si="11"/>
        <v>2056340</v>
      </c>
      <c r="Z33" s="136">
        <f t="shared" si="11"/>
        <v>2044640</v>
      </c>
      <c r="AA33" s="136">
        <f t="shared" si="11"/>
        <v>8416150</v>
      </c>
      <c r="AB33" s="136">
        <f t="shared" si="11"/>
        <v>0</v>
      </c>
      <c r="AC33" s="136">
        <f t="shared" si="11"/>
        <v>0</v>
      </c>
      <c r="AD33" s="136">
        <f t="shared" si="11"/>
        <v>0</v>
      </c>
      <c r="AE33" s="136">
        <f t="shared" si="11"/>
        <v>0</v>
      </c>
      <c r="AF33" s="136">
        <f t="shared" si="11"/>
        <v>0</v>
      </c>
      <c r="AG33" s="136">
        <f t="shared" si="11"/>
        <v>0</v>
      </c>
      <c r="AH33" s="136">
        <f t="shared" si="11"/>
        <v>0</v>
      </c>
      <c r="AI33" s="136">
        <f t="shared" si="11"/>
        <v>0</v>
      </c>
      <c r="AJ33" s="136">
        <f t="shared" si="11"/>
        <v>0</v>
      </c>
      <c r="AK33" s="136">
        <f t="shared" si="11"/>
        <v>0</v>
      </c>
      <c r="AL33" s="136">
        <f t="shared" si="11"/>
        <v>0</v>
      </c>
      <c r="AM33" s="136">
        <f t="shared" si="11"/>
        <v>0</v>
      </c>
      <c r="AN33" s="136">
        <f t="shared" si="11"/>
        <v>0</v>
      </c>
      <c r="AO33" s="136">
        <f t="shared" si="11"/>
        <v>0</v>
      </c>
      <c r="AP33" s="136">
        <f t="shared" si="11"/>
        <v>0</v>
      </c>
    </row>
    <row r="34" spans="1:42" x14ac:dyDescent="0.4">
      <c r="A34" s="17"/>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row>
    <row r="35" spans="1:42" x14ac:dyDescent="0.4">
      <c r="A35" s="17" t="s">
        <v>86</v>
      </c>
      <c r="C35" s="119">
        <f>PropertyTaxAssessedValue</f>
        <v>31916100</v>
      </c>
      <c r="D35" s="119">
        <f>IF(D$2&lt;=analysis_period,PropertyTaxAssessedValue*(100-(D$2-1)*prop_tax_assessed_decline)/100,0)</f>
        <v>31916100</v>
      </c>
      <c r="E35" s="119">
        <f t="shared" ref="E35:AP35" si="12">IF(E$2&lt;=analysis_period,PropertyTaxAssessedValue*(100-(E$2-1)*prop_tax_assessed_decline)/100,0)</f>
        <v>31916100</v>
      </c>
      <c r="F35" s="119">
        <f t="shared" si="12"/>
        <v>31916100</v>
      </c>
      <c r="G35" s="119">
        <f t="shared" si="12"/>
        <v>31916100</v>
      </c>
      <c r="H35" s="119">
        <f t="shared" si="12"/>
        <v>31916100</v>
      </c>
      <c r="I35" s="119">
        <f t="shared" si="12"/>
        <v>31916100</v>
      </c>
      <c r="J35" s="119">
        <f t="shared" si="12"/>
        <v>31916100</v>
      </c>
      <c r="K35" s="119">
        <f t="shared" si="12"/>
        <v>31916100</v>
      </c>
      <c r="L35" s="119">
        <f t="shared" si="12"/>
        <v>31916100</v>
      </c>
      <c r="M35" s="119">
        <f t="shared" si="12"/>
        <v>31916100</v>
      </c>
      <c r="N35" s="119">
        <f t="shared" si="12"/>
        <v>31916100</v>
      </c>
      <c r="O35" s="119">
        <f t="shared" si="12"/>
        <v>31916100</v>
      </c>
      <c r="P35" s="119">
        <f t="shared" si="12"/>
        <v>31916100</v>
      </c>
      <c r="Q35" s="119">
        <f t="shared" si="12"/>
        <v>31916100</v>
      </c>
      <c r="R35" s="119">
        <f t="shared" si="12"/>
        <v>31916100</v>
      </c>
      <c r="S35" s="119">
        <f t="shared" si="12"/>
        <v>31916100</v>
      </c>
      <c r="T35" s="119">
        <f t="shared" si="12"/>
        <v>31916100</v>
      </c>
      <c r="U35" s="119">
        <f t="shared" si="12"/>
        <v>31916100</v>
      </c>
      <c r="V35" s="119">
        <f t="shared" si="12"/>
        <v>31916100</v>
      </c>
      <c r="W35" s="119">
        <f t="shared" si="12"/>
        <v>31916100</v>
      </c>
      <c r="X35" s="119">
        <f t="shared" si="12"/>
        <v>31916100</v>
      </c>
      <c r="Y35" s="119">
        <f t="shared" si="12"/>
        <v>31916100</v>
      </c>
      <c r="Z35" s="119">
        <f t="shared" si="12"/>
        <v>31916100</v>
      </c>
      <c r="AA35" s="119">
        <f t="shared" si="12"/>
        <v>31916100</v>
      </c>
      <c r="AB35" s="119">
        <f t="shared" si="12"/>
        <v>0</v>
      </c>
      <c r="AC35" s="119">
        <f t="shared" si="12"/>
        <v>0</v>
      </c>
      <c r="AD35" s="119">
        <f t="shared" si="12"/>
        <v>0</v>
      </c>
      <c r="AE35" s="119">
        <f t="shared" si="12"/>
        <v>0</v>
      </c>
      <c r="AF35" s="119">
        <f t="shared" si="12"/>
        <v>0</v>
      </c>
      <c r="AG35" s="119">
        <f t="shared" si="12"/>
        <v>0</v>
      </c>
      <c r="AH35" s="119">
        <f t="shared" si="12"/>
        <v>0</v>
      </c>
      <c r="AI35" s="119">
        <f t="shared" si="12"/>
        <v>0</v>
      </c>
      <c r="AJ35" s="119">
        <f t="shared" si="12"/>
        <v>0</v>
      </c>
      <c r="AK35" s="119">
        <f t="shared" si="12"/>
        <v>0</v>
      </c>
      <c r="AL35" s="119">
        <f t="shared" si="12"/>
        <v>0</v>
      </c>
      <c r="AM35" s="119">
        <f t="shared" si="12"/>
        <v>0</v>
      </c>
      <c r="AN35" s="119">
        <f t="shared" si="12"/>
        <v>0</v>
      </c>
      <c r="AO35" s="119">
        <f t="shared" si="12"/>
        <v>0</v>
      </c>
      <c r="AP35" s="119">
        <f t="shared" si="12"/>
        <v>0</v>
      </c>
    </row>
    <row r="36" spans="1:42" x14ac:dyDescent="0.4">
      <c r="A36" s="21"/>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row>
    <row r="37" spans="1:42" x14ac:dyDescent="0.4">
      <c r="A37" s="80" t="s">
        <v>218</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row>
    <row r="38" spans="1:42" x14ac:dyDescent="0.4">
      <c r="A38" s="4" t="s">
        <v>198</v>
      </c>
      <c r="C38" s="14"/>
      <c r="D38" s="14"/>
      <c r="E38" s="14"/>
      <c r="F38" s="14"/>
      <c r="G38" s="14"/>
      <c r="H38" s="14"/>
      <c r="I38" s="14"/>
      <c r="J38" s="14"/>
      <c r="K38" s="14"/>
      <c r="L38" s="14"/>
      <c r="M38" s="14"/>
      <c r="N38" s="14"/>
      <c r="O38" s="14"/>
      <c r="P38" s="14"/>
      <c r="Q38" s="14"/>
      <c r="R38" s="14"/>
      <c r="S38" s="14"/>
    </row>
    <row r="39" spans="1:42" x14ac:dyDescent="0.4">
      <c r="A39" s="86" t="s">
        <v>199</v>
      </c>
      <c r="C39" s="119">
        <f>IF(C$2&lt;=analysis_period,IF(om_fixed="n/a",Inputs!D168,om_fixed*(1+inflation_rate/100+om_fixed_escal/100)^B$2),0)</f>
        <v>0</v>
      </c>
      <c r="D39" s="119">
        <f>IF(D$2&lt;=analysis_period,IF(om_fixed="n/a",Inputs!E168,om_fixed*(1+inflation_rate/100+om_fixed_escal/100)^C$2),0)</f>
        <v>0</v>
      </c>
      <c r="E39" s="119">
        <f>IF(E$2&lt;=analysis_period,IF(om_fixed="n/a",Inputs!F168,om_fixed*(1+inflation_rate/100+om_fixed_escal/100)^D$2),0)</f>
        <v>0</v>
      </c>
      <c r="F39" s="119">
        <f>IF(F$2&lt;=analysis_period,IF(om_fixed="n/a",Inputs!G168,om_fixed*(1+inflation_rate/100+om_fixed_escal/100)^E$2),0)</f>
        <v>0</v>
      </c>
      <c r="G39" s="119">
        <f>IF(G$2&lt;=analysis_period,IF(om_fixed="n/a",Inputs!H168,om_fixed*(1+inflation_rate/100+om_fixed_escal/100)^F$2),0)</f>
        <v>0</v>
      </c>
      <c r="H39" s="119">
        <f>IF(H$2&lt;=analysis_period,IF(om_fixed="n/a",Inputs!I168,om_fixed*(1+inflation_rate/100+om_fixed_escal/100)^G$2),0)</f>
        <v>0</v>
      </c>
      <c r="I39" s="119">
        <f>IF(I$2&lt;=analysis_period,IF(om_fixed="n/a",Inputs!J168,om_fixed*(1+inflation_rate/100+om_fixed_escal/100)^H$2),0)</f>
        <v>0</v>
      </c>
      <c r="J39" s="119">
        <f>IF(J$2&lt;=analysis_period,IF(om_fixed="n/a",Inputs!K168,om_fixed*(1+inflation_rate/100+om_fixed_escal/100)^I$2),0)</f>
        <v>0</v>
      </c>
      <c r="K39" s="119">
        <f>IF(K$2&lt;=analysis_period,IF(om_fixed="n/a",Inputs!L168,om_fixed*(1+inflation_rate/100+om_fixed_escal/100)^J$2),0)</f>
        <v>0</v>
      </c>
      <c r="L39" s="119">
        <f>IF(L$2&lt;=analysis_period,IF(om_fixed="n/a",Inputs!M168,om_fixed*(1+inflation_rate/100+om_fixed_escal/100)^K$2),0)</f>
        <v>0</v>
      </c>
      <c r="M39" s="119">
        <f>IF(M$2&lt;=analysis_period,IF(om_fixed="n/a",Inputs!N168,om_fixed*(1+inflation_rate/100+om_fixed_escal/100)^L$2),0)</f>
        <v>0</v>
      </c>
      <c r="N39" s="119">
        <f>IF(N$2&lt;=analysis_period,IF(om_fixed="n/a",Inputs!O168,om_fixed*(1+inflation_rate/100+om_fixed_escal/100)^M$2),0)</f>
        <v>0</v>
      </c>
      <c r="O39" s="119">
        <f>IF(O$2&lt;=analysis_period,IF(om_fixed="n/a",Inputs!P168,om_fixed*(1+inflation_rate/100+om_fixed_escal/100)^N$2),0)</f>
        <v>0</v>
      </c>
      <c r="P39" s="119">
        <f>IF(P$2&lt;=analysis_period,IF(om_fixed="n/a",Inputs!Q168,om_fixed*(1+inflation_rate/100+om_fixed_escal/100)^O$2),0)</f>
        <v>0</v>
      </c>
      <c r="Q39" s="119">
        <f>IF(Q$2&lt;=analysis_period,IF(om_fixed="n/a",Inputs!R168,om_fixed*(1+inflation_rate/100+om_fixed_escal/100)^P$2),0)</f>
        <v>0</v>
      </c>
      <c r="R39" s="119">
        <f>IF(R$2&lt;=analysis_period,IF(om_fixed="n/a",Inputs!S168,om_fixed*(1+inflation_rate/100+om_fixed_escal/100)^Q$2),0)</f>
        <v>0</v>
      </c>
      <c r="S39" s="119">
        <f>IF(S$2&lt;=analysis_period,IF(om_fixed="n/a",Inputs!T168,om_fixed*(1+inflation_rate/100+om_fixed_escal/100)^R$2),0)</f>
        <v>0</v>
      </c>
      <c r="T39" s="119">
        <f>IF(T$2&lt;=analysis_period,IF(om_fixed="n/a",Inputs!U168,om_fixed*(1+inflation_rate/100+om_fixed_escal/100)^S$2),0)</f>
        <v>0</v>
      </c>
      <c r="U39" s="119">
        <f>IF(U$2&lt;=analysis_period,IF(om_fixed="n/a",Inputs!V168,om_fixed*(1+inflation_rate/100+om_fixed_escal/100)^T$2),0)</f>
        <v>0</v>
      </c>
      <c r="V39" s="119">
        <f>IF(V$2&lt;=analysis_period,IF(om_fixed="n/a",Inputs!W168,om_fixed*(1+inflation_rate/100+om_fixed_escal/100)^U$2),0)</f>
        <v>0</v>
      </c>
      <c r="W39" s="119">
        <f>IF(W$2&lt;=analysis_period,IF(om_fixed="n/a",Inputs!X168,om_fixed*(1+inflation_rate/100+om_fixed_escal/100)^V$2),0)</f>
        <v>0</v>
      </c>
      <c r="X39" s="119">
        <f>IF(X$2&lt;=analysis_period,IF(om_fixed="n/a",Inputs!Y168,om_fixed*(1+inflation_rate/100+om_fixed_escal/100)^W$2),0)</f>
        <v>0</v>
      </c>
      <c r="Y39" s="119">
        <f>IF(Y$2&lt;=analysis_period,IF(om_fixed="n/a",Inputs!Z168,om_fixed*(1+inflation_rate/100+om_fixed_escal/100)^X$2),0)</f>
        <v>0</v>
      </c>
      <c r="Z39" s="119">
        <f>IF(Z$2&lt;=analysis_period,IF(om_fixed="n/a",Inputs!AA168,om_fixed*(1+inflation_rate/100+om_fixed_escal/100)^Y$2),0)</f>
        <v>0</v>
      </c>
      <c r="AA39" s="119">
        <f>IF(AA$2&lt;=analysis_period,IF(om_fixed="n/a",Inputs!AB168,om_fixed*(1+inflation_rate/100+om_fixed_escal/100)^Z$2),0)</f>
        <v>0</v>
      </c>
      <c r="AB39" s="119">
        <f>IF(AB$2&lt;=analysis_period,IF(om_fixed="n/a",Inputs!AC168,om_fixed*(1+inflation_rate/100+om_fixed_escal/100)^AA$2),0)</f>
        <v>0</v>
      </c>
      <c r="AC39" s="119">
        <f>IF(AC$2&lt;=analysis_period,IF(om_fixed="n/a",Inputs!AD168,om_fixed*(1+inflation_rate/100+om_fixed_escal/100)^AB$2),0)</f>
        <v>0</v>
      </c>
      <c r="AD39" s="119">
        <f>IF(AD$2&lt;=analysis_period,IF(om_fixed="n/a",Inputs!AE168,om_fixed*(1+inflation_rate/100+om_fixed_escal/100)^AC$2),0)</f>
        <v>0</v>
      </c>
      <c r="AE39" s="119">
        <f>IF(AE$2&lt;=analysis_period,IF(om_fixed="n/a",Inputs!AF168,om_fixed*(1+inflation_rate/100+om_fixed_escal/100)^AD$2),0)</f>
        <v>0</v>
      </c>
      <c r="AF39" s="119">
        <f>IF(AF$2&lt;=analysis_period,IF(om_fixed="n/a",Inputs!AG168,om_fixed*(1+inflation_rate/100+om_fixed_escal/100)^AE$2),0)</f>
        <v>0</v>
      </c>
      <c r="AG39" s="119">
        <f>IF(AG$2&lt;=analysis_period,IF(om_fixed="n/a",Inputs!AH168,om_fixed*(1+inflation_rate/100+om_fixed_escal/100)^AF$2),0)</f>
        <v>0</v>
      </c>
      <c r="AH39" s="119">
        <f>IF(AH$2&lt;=analysis_period,IF(om_fixed="n/a",Inputs!AI168,om_fixed*(1+inflation_rate/100+om_fixed_escal/100)^AG$2),0)</f>
        <v>0</v>
      </c>
      <c r="AI39" s="119">
        <f>IF(AI$2&lt;=analysis_period,IF(om_fixed="n/a",Inputs!AJ168,om_fixed*(1+inflation_rate/100+om_fixed_escal/100)^AH$2),0)</f>
        <v>0</v>
      </c>
      <c r="AJ39" s="119">
        <f>IF(AJ$2&lt;=analysis_period,IF(om_fixed="n/a",Inputs!AK168,om_fixed*(1+inflation_rate/100+om_fixed_escal/100)^AI$2),0)</f>
        <v>0</v>
      </c>
      <c r="AK39" s="119">
        <f>IF(AK$2&lt;=analysis_period,IF(om_fixed="n/a",Inputs!AL168,om_fixed*(1+inflation_rate/100+om_fixed_escal/100)^AJ$2),0)</f>
        <v>0</v>
      </c>
      <c r="AL39" s="119">
        <f>IF(AL$2&lt;=analysis_period,IF(om_fixed="n/a",Inputs!AM168,om_fixed*(1+inflation_rate/100+om_fixed_escal/100)^AK$2),0)</f>
        <v>0</v>
      </c>
      <c r="AM39" s="119">
        <f>IF(AM$2&lt;=analysis_period,IF(om_fixed="n/a",Inputs!AN168,om_fixed*(1+inflation_rate/100+om_fixed_escal/100)^AL$2),0)</f>
        <v>0</v>
      </c>
      <c r="AN39" s="119">
        <f>IF(AN$2&lt;=analysis_period,IF(om_fixed="n/a",Inputs!AO168,om_fixed*(1+inflation_rate/100+om_fixed_escal/100)^AM$2),0)</f>
        <v>0</v>
      </c>
      <c r="AO39" s="119">
        <f>IF(AO$2&lt;=analysis_period,IF(om_fixed="n/a",Inputs!AP168,om_fixed*(1+inflation_rate/100+om_fixed_escal/100)^AN$2),0)</f>
        <v>0</v>
      </c>
      <c r="AP39" s="119">
        <f>IF(AP$2&lt;=analysis_period,IF(om_fixed="n/a",Inputs!AQ168,om_fixed*(1+inflation_rate/100+om_fixed_escal/100)^AO$2),0)</f>
        <v>0</v>
      </c>
    </row>
    <row r="40" spans="1:42" x14ac:dyDescent="0.4">
      <c r="A40" s="86" t="s">
        <v>200</v>
      </c>
    </row>
    <row r="41" spans="1:42" x14ac:dyDescent="0.4">
      <c r="A41" s="87" t="s">
        <v>11</v>
      </c>
      <c r="C41" s="150">
        <f t="shared" ref="C41:AP41" si="13">IF(C$2&lt;=analysis_period,system_capacity,0)</f>
        <v>36007.800000000003</v>
      </c>
      <c r="D41" s="150">
        <f t="shared" si="13"/>
        <v>36007.800000000003</v>
      </c>
      <c r="E41" s="150">
        <f t="shared" si="13"/>
        <v>36007.800000000003</v>
      </c>
      <c r="F41" s="150">
        <f t="shared" si="13"/>
        <v>36007.800000000003</v>
      </c>
      <c r="G41" s="150">
        <f t="shared" si="13"/>
        <v>36007.800000000003</v>
      </c>
      <c r="H41" s="150">
        <f t="shared" si="13"/>
        <v>36007.800000000003</v>
      </c>
      <c r="I41" s="150">
        <f t="shared" si="13"/>
        <v>36007.800000000003</v>
      </c>
      <c r="J41" s="150">
        <f t="shared" si="13"/>
        <v>36007.800000000003</v>
      </c>
      <c r="K41" s="150">
        <f t="shared" si="13"/>
        <v>36007.800000000003</v>
      </c>
      <c r="L41" s="150">
        <f t="shared" si="13"/>
        <v>36007.800000000003</v>
      </c>
      <c r="M41" s="150">
        <f t="shared" si="13"/>
        <v>36007.800000000003</v>
      </c>
      <c r="N41" s="150">
        <f t="shared" si="13"/>
        <v>36007.800000000003</v>
      </c>
      <c r="O41" s="150">
        <f t="shared" si="13"/>
        <v>36007.800000000003</v>
      </c>
      <c r="P41" s="150">
        <f t="shared" si="13"/>
        <v>36007.800000000003</v>
      </c>
      <c r="Q41" s="150">
        <f t="shared" si="13"/>
        <v>36007.800000000003</v>
      </c>
      <c r="R41" s="150">
        <f t="shared" si="13"/>
        <v>36007.800000000003</v>
      </c>
      <c r="S41" s="150">
        <f t="shared" si="13"/>
        <v>36007.800000000003</v>
      </c>
      <c r="T41" s="150">
        <f t="shared" si="13"/>
        <v>36007.800000000003</v>
      </c>
      <c r="U41" s="150">
        <f t="shared" si="13"/>
        <v>36007.800000000003</v>
      </c>
      <c r="V41" s="150">
        <f t="shared" si="13"/>
        <v>36007.800000000003</v>
      </c>
      <c r="W41" s="150">
        <f t="shared" si="13"/>
        <v>36007.800000000003</v>
      </c>
      <c r="X41" s="150">
        <f t="shared" si="13"/>
        <v>36007.800000000003</v>
      </c>
      <c r="Y41" s="150">
        <f t="shared" si="13"/>
        <v>36007.800000000003</v>
      </c>
      <c r="Z41" s="150">
        <f t="shared" si="13"/>
        <v>36007.800000000003</v>
      </c>
      <c r="AA41" s="150">
        <f t="shared" si="13"/>
        <v>36007.800000000003</v>
      </c>
      <c r="AB41" s="150">
        <f t="shared" si="13"/>
        <v>0</v>
      </c>
      <c r="AC41" s="150">
        <f t="shared" si="13"/>
        <v>0</v>
      </c>
      <c r="AD41" s="150">
        <f t="shared" si="13"/>
        <v>0</v>
      </c>
      <c r="AE41" s="150">
        <f t="shared" si="13"/>
        <v>0</v>
      </c>
      <c r="AF41" s="150">
        <f t="shared" si="13"/>
        <v>0</v>
      </c>
      <c r="AG41" s="150">
        <f t="shared" si="13"/>
        <v>0</v>
      </c>
      <c r="AH41" s="150">
        <f t="shared" si="13"/>
        <v>0</v>
      </c>
      <c r="AI41" s="150">
        <f t="shared" si="13"/>
        <v>0</v>
      </c>
      <c r="AJ41" s="150">
        <f t="shared" si="13"/>
        <v>0</v>
      </c>
      <c r="AK41" s="150">
        <f t="shared" si="13"/>
        <v>0</v>
      </c>
      <c r="AL41" s="150">
        <f t="shared" si="13"/>
        <v>0</v>
      </c>
      <c r="AM41" s="150">
        <f t="shared" si="13"/>
        <v>0</v>
      </c>
      <c r="AN41" s="150">
        <f t="shared" si="13"/>
        <v>0</v>
      </c>
      <c r="AO41" s="150">
        <f t="shared" si="13"/>
        <v>0</v>
      </c>
      <c r="AP41" s="150">
        <f t="shared" si="13"/>
        <v>0</v>
      </c>
    </row>
    <row r="42" spans="1:42" x14ac:dyDescent="0.4">
      <c r="A42" s="87" t="s">
        <v>12</v>
      </c>
      <c r="C42" s="148">
        <f>IF(C$2&lt;=analysis_period,IF(om_capacity="n/a",Inputs!D169,om_capacity*(1+inflation_rate/100+om_capacity_escal/100)^B$2),0)</f>
        <v>7.5</v>
      </c>
      <c r="D42" s="148">
        <f>IF(D$2&lt;=analysis_period,IF(om_capacity="n/a",Inputs!E169,om_capacity*(1+inflation_rate/100+om_capacity_escal/100)^C$2),0)</f>
        <v>7.6874999999999991</v>
      </c>
      <c r="E42" s="148">
        <f>IF(E$2&lt;=analysis_period,IF(om_capacity="n/a",Inputs!F169,om_capacity*(1+inflation_rate/100+om_capacity_escal/100)^D$2),0)</f>
        <v>7.8796874999999993</v>
      </c>
      <c r="F42" s="148">
        <f>IF(F$2&lt;=analysis_period,IF(om_capacity="n/a",Inputs!G169,om_capacity*(1+inflation_rate/100+om_capacity_escal/100)^E$2),0)</f>
        <v>8.0766796874999986</v>
      </c>
      <c r="G42" s="148">
        <f>IF(G$2&lt;=analysis_period,IF(om_capacity="n/a",Inputs!H169,om_capacity*(1+inflation_rate/100+om_capacity_escal/100)^F$2),0)</f>
        <v>8.2785966796874977</v>
      </c>
      <c r="H42" s="148">
        <f>IF(H$2&lt;=analysis_period,IF(om_capacity="n/a",Inputs!I169,om_capacity*(1+inflation_rate/100+om_capacity_escal/100)^G$2),0)</f>
        <v>8.485561596679684</v>
      </c>
      <c r="I42" s="148">
        <f>IF(I$2&lt;=analysis_period,IF(om_capacity="n/a",Inputs!J169,om_capacity*(1+inflation_rate/100+om_capacity_escal/100)^H$2),0)</f>
        <v>8.6977006365966769</v>
      </c>
      <c r="J42" s="148">
        <f>IF(J$2&lt;=analysis_period,IF(om_capacity="n/a",Inputs!K169,om_capacity*(1+inflation_rate/100+om_capacity_escal/100)^I$2),0)</f>
        <v>8.9151431525115932</v>
      </c>
      <c r="K42" s="148">
        <f>IF(K$2&lt;=analysis_period,IF(om_capacity="n/a",Inputs!L169,om_capacity*(1+inflation_rate/100+om_capacity_escal/100)^J$2),0)</f>
        <v>9.1380217313243826</v>
      </c>
      <c r="L42" s="148">
        <f>IF(L$2&lt;=analysis_period,IF(om_capacity="n/a",Inputs!M169,om_capacity*(1+inflation_rate/100+om_capacity_escal/100)^K$2),0)</f>
        <v>9.3664722746074904</v>
      </c>
      <c r="M42" s="148">
        <f>IF(M$2&lt;=analysis_period,IF(om_capacity="n/a",Inputs!N169,om_capacity*(1+inflation_rate/100+om_capacity_escal/100)^L$2),0)</f>
        <v>9.6006340814726787</v>
      </c>
      <c r="N42" s="148">
        <f>IF(N$2&lt;=analysis_period,IF(om_capacity="n/a",Inputs!O169,om_capacity*(1+inflation_rate/100+om_capacity_escal/100)^M$2),0)</f>
        <v>9.8406499335094946</v>
      </c>
      <c r="O42" s="148">
        <f>IF(O$2&lt;=analysis_period,IF(om_capacity="n/a",Inputs!P169,om_capacity*(1+inflation_rate/100+om_capacity_escal/100)^N$2),0)</f>
        <v>10.086666181847232</v>
      </c>
      <c r="P42" s="148">
        <f>IF(P$2&lt;=analysis_period,IF(om_capacity="n/a",Inputs!Q169,om_capacity*(1+inflation_rate/100+om_capacity_escal/100)^O$2),0)</f>
        <v>10.338832836393411</v>
      </c>
      <c r="Q42" s="148">
        <f>IF(Q$2&lt;=analysis_period,IF(om_capacity="n/a",Inputs!R169,om_capacity*(1+inflation_rate/100+om_capacity_escal/100)^P$2),0)</f>
        <v>10.597303657303247</v>
      </c>
      <c r="R42" s="148">
        <f>IF(R$2&lt;=analysis_period,IF(om_capacity="n/a",Inputs!S169,om_capacity*(1+inflation_rate/100+om_capacity_escal/100)^Q$2),0)</f>
        <v>10.862236248735829</v>
      </c>
      <c r="S42" s="148">
        <f>IF(S$2&lt;=analysis_period,IF(om_capacity="n/a",Inputs!T169,om_capacity*(1+inflation_rate/100+om_capacity_escal/100)^R$2),0)</f>
        <v>11.133792154954223</v>
      </c>
      <c r="T42" s="148">
        <f>IF(T$2&lt;=analysis_period,IF(om_capacity="n/a",Inputs!U169,om_capacity*(1+inflation_rate/100+om_capacity_escal/100)^S$2),0)</f>
        <v>11.412136958828077</v>
      </c>
      <c r="U42" s="148">
        <f>IF(U$2&lt;=analysis_period,IF(om_capacity="n/a",Inputs!V169,om_capacity*(1+inflation_rate/100+om_capacity_escal/100)^T$2),0)</f>
        <v>11.69744038279878</v>
      </c>
      <c r="V42" s="148">
        <f>IF(V$2&lt;=analysis_period,IF(om_capacity="n/a",Inputs!W169,om_capacity*(1+inflation_rate/100+om_capacity_escal/100)^U$2),0)</f>
        <v>11.98987639236875</v>
      </c>
      <c r="W42" s="148">
        <f>IF(W$2&lt;=analysis_period,IF(om_capacity="n/a",Inputs!X169,om_capacity*(1+inflation_rate/100+om_capacity_escal/100)^V$2),0)</f>
        <v>12.289623302177967</v>
      </c>
      <c r="X42" s="148">
        <f>IF(X$2&lt;=analysis_period,IF(om_capacity="n/a",Inputs!Y169,om_capacity*(1+inflation_rate/100+om_capacity_escal/100)^W$2),0)</f>
        <v>12.596863884732414</v>
      </c>
      <c r="Y42" s="148">
        <f>IF(Y$2&lt;=analysis_period,IF(om_capacity="n/a",Inputs!Z169,om_capacity*(1+inflation_rate/100+om_capacity_escal/100)^X$2),0)</f>
        <v>12.911785481850725</v>
      </c>
      <c r="Z42" s="148">
        <f>IF(Z$2&lt;=analysis_period,IF(om_capacity="n/a",Inputs!AA169,om_capacity*(1+inflation_rate/100+om_capacity_escal/100)^Y$2),0)</f>
        <v>13.234580118896993</v>
      </c>
      <c r="AA42" s="148">
        <f>IF(AA$2&lt;=analysis_period,IF(om_capacity="n/a",Inputs!AB169,om_capacity*(1+inflation_rate/100+om_capacity_escal/100)^Z$2),0)</f>
        <v>13.565444621869418</v>
      </c>
      <c r="AB42" s="148">
        <f>IF(AB$2&lt;=analysis_period,IF(om_capacity="n/a",Inputs!AC169,om_capacity*(1+inflation_rate/100+om_capacity_escal/100)^AA$2),0)</f>
        <v>0</v>
      </c>
      <c r="AC42" s="148">
        <f>IF(AC$2&lt;=analysis_period,IF(om_capacity="n/a",Inputs!AD169,om_capacity*(1+inflation_rate/100+om_capacity_escal/100)^AB$2),0)</f>
        <v>0</v>
      </c>
      <c r="AD42" s="148">
        <f>IF(AD$2&lt;=analysis_period,IF(om_capacity="n/a",Inputs!AE169,om_capacity*(1+inflation_rate/100+om_capacity_escal/100)^AC$2),0)</f>
        <v>0</v>
      </c>
      <c r="AE42" s="148">
        <f>IF(AE$2&lt;=analysis_period,IF(om_capacity="n/a",Inputs!AF169,om_capacity*(1+inflation_rate/100+om_capacity_escal/100)^AD$2),0)</f>
        <v>0</v>
      </c>
      <c r="AF42" s="148">
        <f>IF(AF$2&lt;=analysis_period,IF(om_capacity="n/a",Inputs!AG169,om_capacity*(1+inflation_rate/100+om_capacity_escal/100)^AE$2),0)</f>
        <v>0</v>
      </c>
      <c r="AG42" s="148">
        <f>IF(AG$2&lt;=analysis_period,IF(om_capacity="n/a",Inputs!AH169,om_capacity*(1+inflation_rate/100+om_capacity_escal/100)^AF$2),0)</f>
        <v>0</v>
      </c>
      <c r="AH42" s="148">
        <f>IF(AH$2&lt;=analysis_period,IF(om_capacity="n/a",Inputs!AI169,om_capacity*(1+inflation_rate/100+om_capacity_escal/100)^AG$2),0)</f>
        <v>0</v>
      </c>
      <c r="AI42" s="148">
        <f>IF(AI$2&lt;=analysis_period,IF(om_capacity="n/a",Inputs!AJ169,om_capacity*(1+inflation_rate/100+om_capacity_escal/100)^AH$2),0)</f>
        <v>0</v>
      </c>
      <c r="AJ42" s="148">
        <f>IF(AJ$2&lt;=analysis_period,IF(om_capacity="n/a",Inputs!AK169,om_capacity*(1+inflation_rate/100+om_capacity_escal/100)^AI$2),0)</f>
        <v>0</v>
      </c>
      <c r="AK42" s="148">
        <f>IF(AK$2&lt;=analysis_period,IF(om_capacity="n/a",Inputs!AL169,om_capacity*(1+inflation_rate/100+om_capacity_escal/100)^AJ$2),0)</f>
        <v>0</v>
      </c>
      <c r="AL42" s="148">
        <f>IF(AL$2&lt;=analysis_period,IF(om_capacity="n/a",Inputs!AM169,om_capacity*(1+inflation_rate/100+om_capacity_escal/100)^AK$2),0)</f>
        <v>0</v>
      </c>
      <c r="AM42" s="148">
        <f>IF(AM$2&lt;=analysis_period,IF(om_capacity="n/a",Inputs!AN169,om_capacity*(1+inflation_rate/100+om_capacity_escal/100)^AL$2),0)</f>
        <v>0</v>
      </c>
      <c r="AN42" s="148">
        <f>IF(AN$2&lt;=analysis_period,IF(om_capacity="n/a",Inputs!AO169,om_capacity*(1+inflation_rate/100+om_capacity_escal/100)^AM$2),0)</f>
        <v>0</v>
      </c>
      <c r="AO42" s="148">
        <f>IF(AO$2&lt;=analysis_period,IF(om_capacity="n/a",Inputs!AP169,om_capacity*(1+inflation_rate/100+om_capacity_escal/100)^AN$2),0)</f>
        <v>0</v>
      </c>
      <c r="AP42" s="148">
        <f>IF(AP$2&lt;=analysis_period,IF(om_capacity="n/a",Inputs!AQ169,om_capacity*(1+inflation_rate/100+om_capacity_escal/100)^AO$2),0)</f>
        <v>0</v>
      </c>
    </row>
    <row r="43" spans="1:42" x14ac:dyDescent="0.4">
      <c r="A43" s="87" t="s">
        <v>88</v>
      </c>
      <c r="C43" s="119">
        <f>C41*C42</f>
        <v>270058.5</v>
      </c>
      <c r="D43" s="119">
        <f t="shared" ref="D43:AP43" si="14">D41*D42</f>
        <v>276809.96249999997</v>
      </c>
      <c r="E43" s="119">
        <f t="shared" si="14"/>
        <v>283730.21156249999</v>
      </c>
      <c r="F43" s="119">
        <f t="shared" si="14"/>
        <v>290823.46685156249</v>
      </c>
      <c r="G43" s="119">
        <f t="shared" si="14"/>
        <v>298094.05352285149</v>
      </c>
      <c r="H43" s="119">
        <f t="shared" si="14"/>
        <v>305546.40486092278</v>
      </c>
      <c r="I43" s="119">
        <f t="shared" si="14"/>
        <v>313185.06498244585</v>
      </c>
      <c r="J43" s="119">
        <f t="shared" si="14"/>
        <v>321014.69160700694</v>
      </c>
      <c r="K43" s="119">
        <f t="shared" si="14"/>
        <v>329040.05889718211</v>
      </c>
      <c r="L43" s="119">
        <f t="shared" si="14"/>
        <v>337266.0603696116</v>
      </c>
      <c r="M43" s="119">
        <f t="shared" si="14"/>
        <v>345697.71187885193</v>
      </c>
      <c r="N43" s="119">
        <f t="shared" si="14"/>
        <v>354340.15467582323</v>
      </c>
      <c r="O43" s="119">
        <f t="shared" si="14"/>
        <v>363198.6585427188</v>
      </c>
      <c r="P43" s="119">
        <f t="shared" si="14"/>
        <v>372278.62500628672</v>
      </c>
      <c r="Q43" s="119">
        <f t="shared" si="14"/>
        <v>381585.59063144389</v>
      </c>
      <c r="R43" s="119">
        <f t="shared" si="14"/>
        <v>391125.23039723001</v>
      </c>
      <c r="S43" s="119">
        <f t="shared" si="14"/>
        <v>400903.36115716072</v>
      </c>
      <c r="T43" s="119">
        <f t="shared" si="14"/>
        <v>410925.94518608967</v>
      </c>
      <c r="U43" s="119">
        <f t="shared" si="14"/>
        <v>421199.09381574194</v>
      </c>
      <c r="V43" s="119">
        <f t="shared" si="14"/>
        <v>431729.07116113551</v>
      </c>
      <c r="W43" s="119">
        <f t="shared" si="14"/>
        <v>442522.29794016381</v>
      </c>
      <c r="X43" s="119">
        <f t="shared" si="14"/>
        <v>453585.35538866784</v>
      </c>
      <c r="Y43" s="119">
        <f t="shared" si="14"/>
        <v>464924.98927338456</v>
      </c>
      <c r="Z43" s="119">
        <f t="shared" si="14"/>
        <v>476548.11400521919</v>
      </c>
      <c r="AA43" s="119">
        <f t="shared" si="14"/>
        <v>488461.81685534964</v>
      </c>
      <c r="AB43" s="119">
        <f t="shared" si="14"/>
        <v>0</v>
      </c>
      <c r="AC43" s="119">
        <f t="shared" si="14"/>
        <v>0</v>
      </c>
      <c r="AD43" s="119">
        <f t="shared" si="14"/>
        <v>0</v>
      </c>
      <c r="AE43" s="119">
        <f t="shared" si="14"/>
        <v>0</v>
      </c>
      <c r="AF43" s="119">
        <f t="shared" si="14"/>
        <v>0</v>
      </c>
      <c r="AG43" s="119">
        <f t="shared" si="14"/>
        <v>0</v>
      </c>
      <c r="AH43" s="119">
        <f t="shared" si="14"/>
        <v>0</v>
      </c>
      <c r="AI43" s="119">
        <f t="shared" si="14"/>
        <v>0</v>
      </c>
      <c r="AJ43" s="119">
        <f t="shared" si="14"/>
        <v>0</v>
      </c>
      <c r="AK43" s="119">
        <f t="shared" si="14"/>
        <v>0</v>
      </c>
      <c r="AL43" s="119">
        <f t="shared" si="14"/>
        <v>0</v>
      </c>
      <c r="AM43" s="119">
        <f t="shared" si="14"/>
        <v>0</v>
      </c>
      <c r="AN43" s="119">
        <f t="shared" si="14"/>
        <v>0</v>
      </c>
      <c r="AO43" s="119">
        <f t="shared" si="14"/>
        <v>0</v>
      </c>
      <c r="AP43" s="119">
        <f t="shared" si="14"/>
        <v>0</v>
      </c>
    </row>
    <row r="44" spans="1:42" x14ac:dyDescent="0.4">
      <c r="A44" s="86" t="s">
        <v>201</v>
      </c>
    </row>
    <row r="45" spans="1:42" x14ac:dyDescent="0.4">
      <c r="A45" s="87" t="s">
        <v>14</v>
      </c>
      <c r="C45" s="150">
        <f>IF(C$8=0,C$5,C$8)/1000</f>
        <v>55928.3</v>
      </c>
      <c r="D45" s="150">
        <f t="shared" ref="D45:AP45" si="15">IF(D$8=0,D$5,D$8)/1000</f>
        <v>55654.3</v>
      </c>
      <c r="E45" s="150">
        <f t="shared" si="15"/>
        <v>55379.5</v>
      </c>
      <c r="F45" s="150">
        <f t="shared" si="15"/>
        <v>55103.5</v>
      </c>
      <c r="G45" s="150">
        <f t="shared" si="15"/>
        <v>54826</v>
      </c>
      <c r="H45" s="150">
        <f t="shared" si="15"/>
        <v>54546.6</v>
      </c>
      <c r="I45" s="150">
        <f t="shared" si="15"/>
        <v>54266</v>
      </c>
      <c r="J45" s="150">
        <f t="shared" si="15"/>
        <v>53984.3</v>
      </c>
      <c r="K45" s="150">
        <f t="shared" si="15"/>
        <v>53701.2</v>
      </c>
      <c r="L45" s="150">
        <f t="shared" si="15"/>
        <v>53417.3</v>
      </c>
      <c r="M45" s="150">
        <f t="shared" si="15"/>
        <v>53133.1</v>
      </c>
      <c r="N45" s="150">
        <f t="shared" si="15"/>
        <v>52848.5</v>
      </c>
      <c r="O45" s="150">
        <f t="shared" si="15"/>
        <v>52563.5</v>
      </c>
      <c r="P45" s="150">
        <f t="shared" si="15"/>
        <v>52278.400000000001</v>
      </c>
      <c r="Q45" s="150">
        <f t="shared" si="15"/>
        <v>51993.4</v>
      </c>
      <c r="R45" s="150">
        <f t="shared" si="15"/>
        <v>51708.4</v>
      </c>
      <c r="S45" s="150">
        <f t="shared" si="15"/>
        <v>51423.4</v>
      </c>
      <c r="T45" s="150">
        <f t="shared" si="15"/>
        <v>51138.400000000001</v>
      </c>
      <c r="U45" s="150">
        <f t="shared" si="15"/>
        <v>50853.3</v>
      </c>
      <c r="V45" s="150">
        <f t="shared" si="15"/>
        <v>50568.3</v>
      </c>
      <c r="W45" s="150">
        <f t="shared" si="15"/>
        <v>50283.3</v>
      </c>
      <c r="X45" s="150">
        <f t="shared" si="15"/>
        <v>49998.400000000001</v>
      </c>
      <c r="Y45" s="150">
        <f t="shared" si="15"/>
        <v>49713.4</v>
      </c>
      <c r="Z45" s="150">
        <f t="shared" si="15"/>
        <v>49428.4</v>
      </c>
      <c r="AA45" s="150">
        <f t="shared" si="15"/>
        <v>49143.4</v>
      </c>
      <c r="AB45" s="150">
        <f t="shared" si="15"/>
        <v>0</v>
      </c>
      <c r="AC45" s="150">
        <f t="shared" si="15"/>
        <v>0</v>
      </c>
      <c r="AD45" s="150">
        <f t="shared" si="15"/>
        <v>0</v>
      </c>
      <c r="AE45" s="150">
        <f t="shared" si="15"/>
        <v>0</v>
      </c>
      <c r="AF45" s="150">
        <f t="shared" si="15"/>
        <v>0</v>
      </c>
      <c r="AG45" s="150">
        <f t="shared" si="15"/>
        <v>0</v>
      </c>
      <c r="AH45" s="150">
        <f t="shared" si="15"/>
        <v>0</v>
      </c>
      <c r="AI45" s="150">
        <f t="shared" si="15"/>
        <v>0</v>
      </c>
      <c r="AJ45" s="150">
        <f t="shared" si="15"/>
        <v>0</v>
      </c>
      <c r="AK45" s="150">
        <f t="shared" si="15"/>
        <v>0</v>
      </c>
      <c r="AL45" s="150">
        <f t="shared" si="15"/>
        <v>0</v>
      </c>
      <c r="AM45" s="150">
        <f t="shared" si="15"/>
        <v>0</v>
      </c>
      <c r="AN45" s="150">
        <f t="shared" si="15"/>
        <v>0</v>
      </c>
      <c r="AO45" s="150">
        <f t="shared" si="15"/>
        <v>0</v>
      </c>
      <c r="AP45" s="150">
        <f t="shared" si="15"/>
        <v>0</v>
      </c>
    </row>
    <row r="46" spans="1:42" x14ac:dyDescent="0.4">
      <c r="A46" s="87" t="s">
        <v>15</v>
      </c>
      <c r="C46" s="148">
        <f>IF(C$2&lt;=analysis_period,IF(om_production="n/a",Inputs!D170,om_production*(1+inflation_rate/100+om_production_escal/100)^B$2),0)</f>
        <v>0</v>
      </c>
      <c r="D46" s="148">
        <f>IF(D$2&lt;=analysis_period,IF(om_production="n/a",Inputs!E170,om_production*(1+inflation_rate/100+om_production_escal/100)^C$2),0)</f>
        <v>0</v>
      </c>
      <c r="E46" s="148">
        <f>IF(E$2&lt;=analysis_period,IF(om_production="n/a",Inputs!F170,om_production*(1+inflation_rate/100+om_production_escal/100)^D$2),0)</f>
        <v>0</v>
      </c>
      <c r="F46" s="148">
        <f>IF(F$2&lt;=analysis_period,IF(om_production="n/a",Inputs!G170,om_production*(1+inflation_rate/100+om_production_escal/100)^E$2),0)</f>
        <v>0</v>
      </c>
      <c r="G46" s="148">
        <f>IF(G$2&lt;=analysis_period,IF(om_production="n/a",Inputs!H170,om_production*(1+inflation_rate/100+om_production_escal/100)^F$2),0)</f>
        <v>0</v>
      </c>
      <c r="H46" s="148">
        <f>IF(H$2&lt;=analysis_period,IF(om_production="n/a",Inputs!I170,om_production*(1+inflation_rate/100+om_production_escal/100)^G$2),0)</f>
        <v>0</v>
      </c>
      <c r="I46" s="148">
        <f>IF(I$2&lt;=analysis_period,IF(om_production="n/a",Inputs!J170,om_production*(1+inflation_rate/100+om_production_escal/100)^H$2),0)</f>
        <v>0</v>
      </c>
      <c r="J46" s="148">
        <f>IF(J$2&lt;=analysis_period,IF(om_production="n/a",Inputs!K170,om_production*(1+inflation_rate/100+om_production_escal/100)^I$2),0)</f>
        <v>0</v>
      </c>
      <c r="K46" s="148">
        <f>IF(K$2&lt;=analysis_period,IF(om_production="n/a",Inputs!L170,om_production*(1+inflation_rate/100+om_production_escal/100)^J$2),0)</f>
        <v>0</v>
      </c>
      <c r="L46" s="148">
        <f>IF(L$2&lt;=analysis_period,IF(om_production="n/a",Inputs!M170,om_production*(1+inflation_rate/100+om_production_escal/100)^K$2),0)</f>
        <v>0</v>
      </c>
      <c r="M46" s="148">
        <f>IF(M$2&lt;=analysis_period,IF(om_production="n/a",Inputs!N170,om_production*(1+inflation_rate/100+om_production_escal/100)^L$2),0)</f>
        <v>0</v>
      </c>
      <c r="N46" s="148">
        <f>IF(N$2&lt;=analysis_period,IF(om_production="n/a",Inputs!O170,om_production*(1+inflation_rate/100+om_production_escal/100)^M$2),0)</f>
        <v>0</v>
      </c>
      <c r="O46" s="148">
        <f>IF(O$2&lt;=analysis_period,IF(om_production="n/a",Inputs!P170,om_production*(1+inflation_rate/100+om_production_escal/100)^N$2),0)</f>
        <v>0</v>
      </c>
      <c r="P46" s="148">
        <f>IF(P$2&lt;=analysis_period,IF(om_production="n/a",Inputs!Q170,om_production*(1+inflation_rate/100+om_production_escal/100)^O$2),0)</f>
        <v>0</v>
      </c>
      <c r="Q46" s="148">
        <f>IF(Q$2&lt;=analysis_period,IF(om_production="n/a",Inputs!R170,om_production*(1+inflation_rate/100+om_production_escal/100)^P$2),0)</f>
        <v>0</v>
      </c>
      <c r="R46" s="148">
        <f>IF(R$2&lt;=analysis_period,IF(om_production="n/a",Inputs!S170,om_production*(1+inflation_rate/100+om_production_escal/100)^Q$2),0)</f>
        <v>0</v>
      </c>
      <c r="S46" s="148">
        <f>IF(S$2&lt;=analysis_period,IF(om_production="n/a",Inputs!T170,om_production*(1+inflation_rate/100+om_production_escal/100)^R$2),0)</f>
        <v>0</v>
      </c>
      <c r="T46" s="148">
        <f>IF(T$2&lt;=analysis_period,IF(om_production="n/a",Inputs!U170,om_production*(1+inflation_rate/100+om_production_escal/100)^S$2),0)</f>
        <v>0</v>
      </c>
      <c r="U46" s="148">
        <f>IF(U$2&lt;=analysis_period,IF(om_production="n/a",Inputs!V170,om_production*(1+inflation_rate/100+om_production_escal/100)^T$2),0)</f>
        <v>0</v>
      </c>
      <c r="V46" s="148">
        <f>IF(V$2&lt;=analysis_period,IF(om_production="n/a",Inputs!W170,om_production*(1+inflation_rate/100+om_production_escal/100)^U$2),0)</f>
        <v>0</v>
      </c>
      <c r="W46" s="148">
        <f>IF(W$2&lt;=analysis_period,IF(om_production="n/a",Inputs!X170,om_production*(1+inflation_rate/100+om_production_escal/100)^V$2),0)</f>
        <v>0</v>
      </c>
      <c r="X46" s="148">
        <f>IF(X$2&lt;=analysis_period,IF(om_production="n/a",Inputs!Y170,om_production*(1+inflation_rate/100+om_production_escal/100)^W$2),0)</f>
        <v>0</v>
      </c>
      <c r="Y46" s="148">
        <f>IF(Y$2&lt;=analysis_period,IF(om_production="n/a",Inputs!Z170,om_production*(1+inflation_rate/100+om_production_escal/100)^X$2),0)</f>
        <v>0</v>
      </c>
      <c r="Z46" s="148">
        <f>IF(Z$2&lt;=analysis_period,IF(om_production="n/a",Inputs!AA170,om_production*(1+inflation_rate/100+om_production_escal/100)^Y$2),0)</f>
        <v>0</v>
      </c>
      <c r="AA46" s="148">
        <f>IF(AA$2&lt;=analysis_period,IF(om_production="n/a",Inputs!AB170,om_production*(1+inflation_rate/100+om_production_escal/100)^Z$2),0)</f>
        <v>0</v>
      </c>
      <c r="AB46" s="148">
        <f>IF(AB$2&lt;=analysis_period,IF(om_production="n/a",Inputs!AC170,om_production*(1+inflation_rate/100+om_production_escal/100)^AA$2),0)</f>
        <v>0</v>
      </c>
      <c r="AC46" s="148">
        <f>IF(AC$2&lt;=analysis_period,IF(om_production="n/a",Inputs!AD170,om_production*(1+inflation_rate/100+om_production_escal/100)^AB$2),0)</f>
        <v>0</v>
      </c>
      <c r="AD46" s="148">
        <f>IF(AD$2&lt;=analysis_period,IF(om_production="n/a",Inputs!AE170,om_production*(1+inflation_rate/100+om_production_escal/100)^AC$2),0)</f>
        <v>0</v>
      </c>
      <c r="AE46" s="148">
        <f>IF(AE$2&lt;=analysis_period,IF(om_production="n/a",Inputs!AF170,om_production*(1+inflation_rate/100+om_production_escal/100)^AD$2),0)</f>
        <v>0</v>
      </c>
      <c r="AF46" s="148">
        <f>IF(AF$2&lt;=analysis_period,IF(om_production="n/a",Inputs!AG170,om_production*(1+inflation_rate/100+om_production_escal/100)^AE$2),0)</f>
        <v>0</v>
      </c>
      <c r="AG46" s="148">
        <f>IF(AG$2&lt;=analysis_period,IF(om_production="n/a",Inputs!AH170,om_production*(1+inflation_rate/100+om_production_escal/100)^AF$2),0)</f>
        <v>0</v>
      </c>
      <c r="AH46" s="148">
        <f>IF(AH$2&lt;=analysis_period,IF(om_production="n/a",Inputs!AI170,om_production*(1+inflation_rate/100+om_production_escal/100)^AG$2),0)</f>
        <v>0</v>
      </c>
      <c r="AI46" s="148">
        <f>IF(AI$2&lt;=analysis_period,IF(om_production="n/a",Inputs!AJ170,om_production*(1+inflation_rate/100+om_production_escal/100)^AH$2),0)</f>
        <v>0</v>
      </c>
      <c r="AJ46" s="148">
        <f>IF(AJ$2&lt;=analysis_period,IF(om_production="n/a",Inputs!AK170,om_production*(1+inflation_rate/100+om_production_escal/100)^AI$2),0)</f>
        <v>0</v>
      </c>
      <c r="AK46" s="148">
        <f>IF(AK$2&lt;=analysis_period,IF(om_production="n/a",Inputs!AL170,om_production*(1+inflation_rate/100+om_production_escal/100)^AJ$2),0)</f>
        <v>0</v>
      </c>
      <c r="AL46" s="148">
        <f>IF(AL$2&lt;=analysis_period,IF(om_production="n/a",Inputs!AM170,om_production*(1+inflation_rate/100+om_production_escal/100)^AK$2),0)</f>
        <v>0</v>
      </c>
      <c r="AM46" s="148">
        <f>IF(AM$2&lt;=analysis_period,IF(om_production="n/a",Inputs!AN170,om_production*(1+inflation_rate/100+om_production_escal/100)^AL$2),0)</f>
        <v>0</v>
      </c>
      <c r="AN46" s="148">
        <f>IF(AN$2&lt;=analysis_period,IF(om_production="n/a",Inputs!AO170,om_production*(1+inflation_rate/100+om_production_escal/100)^AM$2),0)</f>
        <v>0</v>
      </c>
      <c r="AO46" s="148">
        <f>IF(AO$2&lt;=analysis_period,IF(om_production="n/a",Inputs!AP170,om_production*(1+inflation_rate/100+om_production_escal/100)^AN$2),0)</f>
        <v>0</v>
      </c>
      <c r="AP46" s="148">
        <f>IF(AP$2&lt;=analysis_period,IF(om_production="n/a",Inputs!AQ170,om_production*(1+inflation_rate/100+om_production_escal/100)^AO$2),0)</f>
        <v>0</v>
      </c>
    </row>
    <row r="47" spans="1:42" x14ac:dyDescent="0.4">
      <c r="A47" s="87" t="s">
        <v>87</v>
      </c>
      <c r="C47" s="151">
        <f>C45*C46</f>
        <v>0</v>
      </c>
      <c r="D47" s="151">
        <f t="shared" ref="D47:AP47" si="16">D45*D46</f>
        <v>0</v>
      </c>
      <c r="E47" s="151">
        <f t="shared" si="16"/>
        <v>0</v>
      </c>
      <c r="F47" s="151">
        <f t="shared" si="16"/>
        <v>0</v>
      </c>
      <c r="G47" s="151">
        <f t="shared" si="16"/>
        <v>0</v>
      </c>
      <c r="H47" s="151">
        <f t="shared" si="16"/>
        <v>0</v>
      </c>
      <c r="I47" s="151">
        <f t="shared" si="16"/>
        <v>0</v>
      </c>
      <c r="J47" s="151">
        <f t="shared" si="16"/>
        <v>0</v>
      </c>
      <c r="K47" s="151">
        <f t="shared" si="16"/>
        <v>0</v>
      </c>
      <c r="L47" s="151">
        <f t="shared" si="16"/>
        <v>0</v>
      </c>
      <c r="M47" s="151">
        <f t="shared" si="16"/>
        <v>0</v>
      </c>
      <c r="N47" s="151">
        <f t="shared" si="16"/>
        <v>0</v>
      </c>
      <c r="O47" s="151">
        <f t="shared" si="16"/>
        <v>0</v>
      </c>
      <c r="P47" s="151">
        <f t="shared" si="16"/>
        <v>0</v>
      </c>
      <c r="Q47" s="151">
        <f t="shared" si="16"/>
        <v>0</v>
      </c>
      <c r="R47" s="151">
        <f t="shared" si="16"/>
        <v>0</v>
      </c>
      <c r="S47" s="151">
        <f t="shared" si="16"/>
        <v>0</v>
      </c>
      <c r="T47" s="151">
        <f t="shared" si="16"/>
        <v>0</v>
      </c>
      <c r="U47" s="151">
        <f t="shared" si="16"/>
        <v>0</v>
      </c>
      <c r="V47" s="151">
        <f t="shared" si="16"/>
        <v>0</v>
      </c>
      <c r="W47" s="151">
        <f t="shared" si="16"/>
        <v>0</v>
      </c>
      <c r="X47" s="151">
        <f t="shared" si="16"/>
        <v>0</v>
      </c>
      <c r="Y47" s="151">
        <f t="shared" si="16"/>
        <v>0</v>
      </c>
      <c r="Z47" s="151">
        <f t="shared" si="16"/>
        <v>0</v>
      </c>
      <c r="AA47" s="151">
        <f t="shared" si="16"/>
        <v>0</v>
      </c>
      <c r="AB47" s="151">
        <f t="shared" si="16"/>
        <v>0</v>
      </c>
      <c r="AC47" s="151">
        <f t="shared" si="16"/>
        <v>0</v>
      </c>
      <c r="AD47" s="151">
        <f t="shared" si="16"/>
        <v>0</v>
      </c>
      <c r="AE47" s="151">
        <f t="shared" si="16"/>
        <v>0</v>
      </c>
      <c r="AF47" s="151">
        <f t="shared" si="16"/>
        <v>0</v>
      </c>
      <c r="AG47" s="151">
        <f t="shared" si="16"/>
        <v>0</v>
      </c>
      <c r="AH47" s="151">
        <f t="shared" si="16"/>
        <v>0</v>
      </c>
      <c r="AI47" s="151">
        <f t="shared" si="16"/>
        <v>0</v>
      </c>
      <c r="AJ47" s="151">
        <f t="shared" si="16"/>
        <v>0</v>
      </c>
      <c r="AK47" s="151">
        <f t="shared" si="16"/>
        <v>0</v>
      </c>
      <c r="AL47" s="151">
        <f t="shared" si="16"/>
        <v>0</v>
      </c>
      <c r="AM47" s="151">
        <f t="shared" si="16"/>
        <v>0</v>
      </c>
      <c r="AN47" s="151">
        <f t="shared" si="16"/>
        <v>0</v>
      </c>
      <c r="AO47" s="151">
        <f t="shared" si="16"/>
        <v>0</v>
      </c>
      <c r="AP47" s="151">
        <f t="shared" si="16"/>
        <v>0</v>
      </c>
    </row>
    <row r="48" spans="1:42" x14ac:dyDescent="0.4">
      <c r="A48" s="86" t="s">
        <v>285</v>
      </c>
      <c r="C48" s="119">
        <f t="array" ref="C48:AP48">Inputs!D190:AQ190</f>
        <v>2228.5300000000002</v>
      </c>
      <c r="D48" s="119">
        <v>2228.5300000000002</v>
      </c>
      <c r="E48" s="119">
        <v>2228.5300000000002</v>
      </c>
      <c r="F48" s="119">
        <v>2228.5300000000002</v>
      </c>
      <c r="G48" s="119">
        <v>2228.5300000000002</v>
      </c>
      <c r="H48" s="119">
        <v>2228.5300000000002</v>
      </c>
      <c r="I48" s="119">
        <v>2228.5300000000002</v>
      </c>
      <c r="J48" s="119">
        <v>2228.5300000000002</v>
      </c>
      <c r="K48" s="119">
        <v>2228.5300000000002</v>
      </c>
      <c r="L48" s="119">
        <v>2228.5300000000002</v>
      </c>
      <c r="M48" s="119">
        <v>1126.42</v>
      </c>
      <c r="N48" s="119">
        <v>1126.42</v>
      </c>
      <c r="O48" s="119">
        <v>1126.42</v>
      </c>
      <c r="P48" s="119">
        <v>1126.74</v>
      </c>
      <c r="Q48" s="119">
        <v>1127.05</v>
      </c>
      <c r="R48" s="119">
        <v>1127.3699999999999</v>
      </c>
      <c r="S48" s="119">
        <v>1127.68</v>
      </c>
      <c r="T48" s="119">
        <v>1128</v>
      </c>
      <c r="U48" s="119">
        <v>1128.31</v>
      </c>
      <c r="V48" s="119">
        <v>1128.6300000000001</v>
      </c>
      <c r="W48" s="119">
        <v>1128.6300000000001</v>
      </c>
      <c r="X48" s="119">
        <v>1128.6300000000001</v>
      </c>
      <c r="Y48" s="119">
        <v>1128.95</v>
      </c>
      <c r="Z48" s="119">
        <v>1129.58</v>
      </c>
      <c r="AA48" s="119">
        <v>1129.8900000000001</v>
      </c>
      <c r="AB48" s="119">
        <v>0</v>
      </c>
      <c r="AC48" s="119">
        <v>0</v>
      </c>
      <c r="AD48" s="119">
        <v>0</v>
      </c>
      <c r="AE48" s="119">
        <v>0</v>
      </c>
      <c r="AF48" s="119">
        <v>0</v>
      </c>
      <c r="AG48" s="119">
        <v>0</v>
      </c>
      <c r="AH48" s="119">
        <v>0</v>
      </c>
      <c r="AI48" s="119">
        <v>0</v>
      </c>
      <c r="AJ48" s="119">
        <v>0</v>
      </c>
      <c r="AK48" s="119">
        <v>0</v>
      </c>
      <c r="AL48" s="119">
        <v>0</v>
      </c>
      <c r="AM48" s="119">
        <v>0</v>
      </c>
      <c r="AN48" s="119">
        <v>0</v>
      </c>
      <c r="AO48" s="119">
        <v>0</v>
      </c>
      <c r="AP48" s="119">
        <v>0</v>
      </c>
    </row>
    <row r="49" spans="1:42" x14ac:dyDescent="0.4">
      <c r="A49" s="86" t="s">
        <v>331</v>
      </c>
      <c r="C49" s="119"/>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19"/>
      <c r="AG49" s="119"/>
      <c r="AH49" s="119"/>
      <c r="AI49" s="119"/>
      <c r="AJ49" s="119"/>
      <c r="AK49" s="119"/>
      <c r="AL49" s="119"/>
      <c r="AM49" s="119"/>
      <c r="AN49" s="119"/>
      <c r="AO49" s="119"/>
      <c r="AP49" s="119"/>
    </row>
    <row r="50" spans="1:42" x14ac:dyDescent="0.4">
      <c r="A50" s="21" t="s">
        <v>310</v>
      </c>
      <c r="B50" s="4">
        <f t="array" ref="B50:AP53">Inputs!C192:AQ195</f>
        <v>0</v>
      </c>
      <c r="C50" s="119">
        <v>0</v>
      </c>
      <c r="D50" s="119">
        <v>0</v>
      </c>
      <c r="E50" s="119">
        <v>0</v>
      </c>
      <c r="F50" s="119">
        <v>0</v>
      </c>
      <c r="G50" s="119">
        <v>0</v>
      </c>
      <c r="H50" s="119">
        <v>0</v>
      </c>
      <c r="I50" s="119">
        <v>0</v>
      </c>
      <c r="J50" s="119">
        <v>0</v>
      </c>
      <c r="K50" s="119">
        <v>0</v>
      </c>
      <c r="L50" s="119">
        <v>0</v>
      </c>
      <c r="M50" s="119">
        <v>0</v>
      </c>
      <c r="N50" s="119">
        <v>0</v>
      </c>
      <c r="O50" s="119">
        <v>0</v>
      </c>
      <c r="P50" s="119">
        <v>0</v>
      </c>
      <c r="Q50" s="119">
        <v>0</v>
      </c>
      <c r="R50" s="119">
        <v>0</v>
      </c>
      <c r="S50" s="119">
        <v>0</v>
      </c>
      <c r="T50" s="119">
        <v>0</v>
      </c>
      <c r="U50" s="119">
        <v>0</v>
      </c>
      <c r="V50" s="119">
        <v>0</v>
      </c>
      <c r="W50" s="119">
        <v>0</v>
      </c>
      <c r="X50" s="119">
        <v>0</v>
      </c>
      <c r="Y50" s="119">
        <v>0</v>
      </c>
      <c r="Z50" s="119">
        <v>0</v>
      </c>
      <c r="AA50" s="119">
        <v>0</v>
      </c>
      <c r="AB50" s="119">
        <v>0</v>
      </c>
      <c r="AC50" s="119">
        <v>0</v>
      </c>
      <c r="AD50" s="119">
        <v>0</v>
      </c>
      <c r="AE50" s="119">
        <v>0</v>
      </c>
      <c r="AF50" s="119">
        <v>0</v>
      </c>
      <c r="AG50" s="119">
        <v>0</v>
      </c>
      <c r="AH50" s="119">
        <v>0</v>
      </c>
      <c r="AI50" s="119">
        <v>0</v>
      </c>
      <c r="AJ50" s="119">
        <v>0</v>
      </c>
      <c r="AK50" s="119">
        <v>0</v>
      </c>
      <c r="AL50" s="119">
        <v>0</v>
      </c>
      <c r="AM50" s="119">
        <v>0</v>
      </c>
      <c r="AN50" s="119">
        <v>0</v>
      </c>
      <c r="AO50" s="119">
        <v>0</v>
      </c>
      <c r="AP50" s="119">
        <v>0</v>
      </c>
    </row>
    <row r="51" spans="1:42" x14ac:dyDescent="0.4">
      <c r="A51" s="21" t="s">
        <v>311</v>
      </c>
      <c r="B51" s="4">
        <v>0</v>
      </c>
      <c r="C51" s="119">
        <v>72926.3</v>
      </c>
      <c r="D51" s="119">
        <v>74749.399999999994</v>
      </c>
      <c r="E51" s="119">
        <v>76618.2</v>
      </c>
      <c r="F51" s="119">
        <v>78533.600000000006</v>
      </c>
      <c r="G51" s="119">
        <v>80497</v>
      </c>
      <c r="H51" s="119">
        <v>82509.399999999994</v>
      </c>
      <c r="I51" s="119">
        <v>84572.1</v>
      </c>
      <c r="J51" s="119">
        <v>86686.399999999994</v>
      </c>
      <c r="K51" s="119">
        <v>88853.6</v>
      </c>
      <c r="L51" s="119">
        <v>91074.9</v>
      </c>
      <c r="M51" s="119">
        <v>93351.8</v>
      </c>
      <c r="N51" s="119">
        <v>95685.6</v>
      </c>
      <c r="O51" s="119">
        <v>98077.7</v>
      </c>
      <c r="P51" s="119">
        <v>100530</v>
      </c>
      <c r="Q51" s="119">
        <v>103043</v>
      </c>
      <c r="R51" s="119">
        <v>105619</v>
      </c>
      <c r="S51" s="119">
        <v>108259</v>
      </c>
      <c r="T51" s="119">
        <v>110966</v>
      </c>
      <c r="U51" s="119">
        <v>113740</v>
      </c>
      <c r="V51" s="119">
        <v>116584</v>
      </c>
      <c r="W51" s="119">
        <v>119498</v>
      </c>
      <c r="X51" s="119">
        <v>122486</v>
      </c>
      <c r="Y51" s="119">
        <v>125548</v>
      </c>
      <c r="Z51" s="119">
        <v>128686</v>
      </c>
      <c r="AA51" s="119">
        <v>131904</v>
      </c>
      <c r="AB51" s="119">
        <v>0</v>
      </c>
      <c r="AC51" s="119">
        <v>0</v>
      </c>
      <c r="AD51" s="119">
        <v>0</v>
      </c>
      <c r="AE51" s="119">
        <v>0</v>
      </c>
      <c r="AF51" s="119">
        <v>0</v>
      </c>
      <c r="AG51" s="119">
        <v>0</v>
      </c>
      <c r="AH51" s="119">
        <v>0</v>
      </c>
      <c r="AI51" s="119">
        <v>0</v>
      </c>
      <c r="AJ51" s="119">
        <v>0</v>
      </c>
      <c r="AK51" s="119">
        <v>0</v>
      </c>
      <c r="AL51" s="119">
        <v>0</v>
      </c>
      <c r="AM51" s="119">
        <v>0</v>
      </c>
      <c r="AN51" s="119">
        <v>0</v>
      </c>
      <c r="AO51" s="119">
        <v>0</v>
      </c>
      <c r="AP51" s="119">
        <v>0</v>
      </c>
    </row>
    <row r="52" spans="1:42" x14ac:dyDescent="0.4">
      <c r="A52" s="21" t="s">
        <v>321</v>
      </c>
      <c r="B52" s="4">
        <v>0</v>
      </c>
      <c r="C52" s="119">
        <v>1952.68</v>
      </c>
      <c r="D52" s="119">
        <v>1996.42</v>
      </c>
      <c r="E52" s="119">
        <v>2020.8</v>
      </c>
      <c r="F52" s="119">
        <v>2046.72</v>
      </c>
      <c r="G52" s="119">
        <v>2075.38</v>
      </c>
      <c r="H52" s="119">
        <v>2106.08</v>
      </c>
      <c r="I52" s="119">
        <v>2138.42</v>
      </c>
      <c r="J52" s="119">
        <v>2172.1799999999998</v>
      </c>
      <c r="K52" s="119">
        <v>2207.2199999999998</v>
      </c>
      <c r="L52" s="119">
        <v>2438.63</v>
      </c>
      <c r="M52" s="119">
        <v>2493.21</v>
      </c>
      <c r="N52" s="119">
        <v>2523.64</v>
      </c>
      <c r="O52" s="119">
        <v>2556.02</v>
      </c>
      <c r="P52" s="119">
        <v>2591.83</v>
      </c>
      <c r="Q52" s="119">
        <v>2630.16</v>
      </c>
      <c r="R52" s="119">
        <v>2670.56</v>
      </c>
      <c r="S52" s="119">
        <v>2712.72</v>
      </c>
      <c r="T52" s="119">
        <v>2756.48</v>
      </c>
      <c r="U52" s="119">
        <v>2801.7</v>
      </c>
      <c r="V52" s="119">
        <v>3121.65</v>
      </c>
      <c r="W52" s="119">
        <v>3191.52</v>
      </c>
      <c r="X52" s="119">
        <v>3230.48</v>
      </c>
      <c r="Y52" s="119">
        <v>3271.92</v>
      </c>
      <c r="Z52" s="119">
        <v>3317.76</v>
      </c>
      <c r="AA52" s="119">
        <v>3366.83</v>
      </c>
      <c r="AB52" s="119">
        <v>0</v>
      </c>
      <c r="AC52" s="119">
        <v>0</v>
      </c>
      <c r="AD52" s="119">
        <v>0</v>
      </c>
      <c r="AE52" s="119">
        <v>0</v>
      </c>
      <c r="AF52" s="119">
        <v>0</v>
      </c>
      <c r="AG52" s="119">
        <v>0</v>
      </c>
      <c r="AH52" s="119">
        <v>0</v>
      </c>
      <c r="AI52" s="119">
        <v>0</v>
      </c>
      <c r="AJ52" s="119">
        <v>0</v>
      </c>
      <c r="AK52" s="119">
        <v>0</v>
      </c>
      <c r="AL52" s="119">
        <v>0</v>
      </c>
      <c r="AM52" s="119">
        <v>0</v>
      </c>
      <c r="AN52" s="119">
        <v>0</v>
      </c>
      <c r="AO52" s="119">
        <v>0</v>
      </c>
      <c r="AP52" s="119">
        <v>0</v>
      </c>
    </row>
    <row r="53" spans="1:42" x14ac:dyDescent="0.4">
      <c r="A53" s="21" t="s">
        <v>279</v>
      </c>
      <c r="B53" s="4">
        <v>0</v>
      </c>
      <c r="C53" s="119">
        <v>0</v>
      </c>
      <c r="D53" s="119">
        <v>0</v>
      </c>
      <c r="E53" s="119">
        <v>0</v>
      </c>
      <c r="F53" s="119">
        <v>0</v>
      </c>
      <c r="G53" s="119">
        <v>0</v>
      </c>
      <c r="H53" s="119">
        <v>0</v>
      </c>
      <c r="I53" s="119">
        <v>0</v>
      </c>
      <c r="J53" s="119">
        <v>0</v>
      </c>
      <c r="K53" s="119">
        <v>0</v>
      </c>
      <c r="L53" s="119">
        <v>3942420</v>
      </c>
      <c r="M53" s="119">
        <v>0</v>
      </c>
      <c r="N53" s="119">
        <v>0</v>
      </c>
      <c r="O53" s="119">
        <v>0</v>
      </c>
      <c r="P53" s="119">
        <v>0</v>
      </c>
      <c r="Q53" s="119">
        <v>0</v>
      </c>
      <c r="R53" s="119">
        <v>0</v>
      </c>
      <c r="S53" s="119">
        <v>0</v>
      </c>
      <c r="T53" s="119">
        <v>0</v>
      </c>
      <c r="U53" s="119">
        <v>0</v>
      </c>
      <c r="V53" s="119">
        <v>5046630</v>
      </c>
      <c r="W53" s="119">
        <v>0</v>
      </c>
      <c r="X53" s="119">
        <v>0</v>
      </c>
      <c r="Y53" s="119">
        <v>0</v>
      </c>
      <c r="Z53" s="119">
        <v>0</v>
      </c>
      <c r="AA53" s="119">
        <v>0</v>
      </c>
      <c r="AB53" s="119">
        <v>0</v>
      </c>
      <c r="AC53" s="119">
        <v>0</v>
      </c>
      <c r="AD53" s="119">
        <v>0</v>
      </c>
      <c r="AE53" s="119">
        <v>0</v>
      </c>
      <c r="AF53" s="119">
        <v>0</v>
      </c>
      <c r="AG53" s="119">
        <v>0</v>
      </c>
      <c r="AH53" s="119">
        <v>0</v>
      </c>
      <c r="AI53" s="119">
        <v>0</v>
      </c>
      <c r="AJ53" s="119">
        <v>0</v>
      </c>
      <c r="AK53" s="119">
        <v>0</v>
      </c>
      <c r="AL53" s="119">
        <v>0</v>
      </c>
      <c r="AM53" s="119">
        <v>0</v>
      </c>
      <c r="AN53" s="119">
        <v>0</v>
      </c>
      <c r="AO53" s="119">
        <v>0</v>
      </c>
      <c r="AP53" s="119">
        <v>0</v>
      </c>
    </row>
    <row r="54" spans="1:42" x14ac:dyDescent="0.4">
      <c r="A54" s="86" t="s">
        <v>313</v>
      </c>
      <c r="C54" s="119"/>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c r="AC54" s="119"/>
      <c r="AD54" s="119"/>
      <c r="AE54" s="119"/>
      <c r="AF54" s="119"/>
      <c r="AG54" s="119"/>
      <c r="AH54" s="119"/>
      <c r="AI54" s="119"/>
      <c r="AJ54" s="119"/>
      <c r="AK54" s="119"/>
      <c r="AL54" s="119"/>
      <c r="AM54" s="119"/>
      <c r="AN54" s="119"/>
      <c r="AO54" s="119"/>
      <c r="AP54" s="119"/>
    </row>
    <row r="55" spans="1:42" x14ac:dyDescent="0.4">
      <c r="A55" s="21" t="s">
        <v>308</v>
      </c>
      <c r="B55" s="119">
        <f t="array" ref="B55:AP59">Inputs!C197:AQ201</f>
        <v>0</v>
      </c>
      <c r="C55" s="119">
        <v>0</v>
      </c>
      <c r="D55" s="119">
        <v>0</v>
      </c>
      <c r="E55" s="119">
        <v>0</v>
      </c>
      <c r="F55" s="119">
        <v>0</v>
      </c>
      <c r="G55" s="119">
        <v>0</v>
      </c>
      <c r="H55" s="119">
        <v>0</v>
      </c>
      <c r="I55" s="119">
        <v>0</v>
      </c>
      <c r="J55" s="119">
        <v>0</v>
      </c>
      <c r="K55" s="119">
        <v>0</v>
      </c>
      <c r="L55" s="119">
        <v>0</v>
      </c>
      <c r="M55" s="119">
        <v>0</v>
      </c>
      <c r="N55" s="119">
        <v>0</v>
      </c>
      <c r="O55" s="119">
        <v>0</v>
      </c>
      <c r="P55" s="119">
        <v>0</v>
      </c>
      <c r="Q55" s="119">
        <v>0</v>
      </c>
      <c r="R55" s="119">
        <v>0</v>
      </c>
      <c r="S55" s="119">
        <v>0</v>
      </c>
      <c r="T55" s="119">
        <v>0</v>
      </c>
      <c r="U55" s="119">
        <v>0</v>
      </c>
      <c r="V55" s="119">
        <v>0</v>
      </c>
      <c r="W55" s="119">
        <v>0</v>
      </c>
      <c r="X55" s="119">
        <v>0</v>
      </c>
      <c r="Y55" s="119">
        <v>0</v>
      </c>
      <c r="Z55" s="119">
        <v>0</v>
      </c>
      <c r="AA55" s="119">
        <v>0</v>
      </c>
      <c r="AB55" s="119">
        <v>0</v>
      </c>
      <c r="AC55" s="119">
        <v>0</v>
      </c>
      <c r="AD55" s="119">
        <v>0</v>
      </c>
      <c r="AE55" s="119">
        <v>0</v>
      </c>
      <c r="AF55" s="119">
        <v>0</v>
      </c>
      <c r="AG55" s="119">
        <v>0</v>
      </c>
      <c r="AH55" s="119">
        <v>0</v>
      </c>
      <c r="AI55" s="119">
        <v>0</v>
      </c>
      <c r="AJ55" s="119">
        <v>0</v>
      </c>
      <c r="AK55" s="119">
        <v>0</v>
      </c>
      <c r="AL55" s="119">
        <v>0</v>
      </c>
      <c r="AM55" s="119">
        <v>0</v>
      </c>
      <c r="AN55" s="119">
        <v>0</v>
      </c>
      <c r="AO55" s="119">
        <v>0</v>
      </c>
      <c r="AP55" s="119">
        <v>0</v>
      </c>
    </row>
    <row r="56" spans="1:42" x14ac:dyDescent="0.4">
      <c r="A56" s="21" t="s">
        <v>309</v>
      </c>
      <c r="B56" s="119">
        <v>0</v>
      </c>
      <c r="C56" s="119">
        <v>0</v>
      </c>
      <c r="D56" s="119">
        <v>0</v>
      </c>
      <c r="E56" s="119">
        <v>0</v>
      </c>
      <c r="F56" s="119">
        <v>0</v>
      </c>
      <c r="G56" s="119">
        <v>0</v>
      </c>
      <c r="H56" s="119">
        <v>0</v>
      </c>
      <c r="I56" s="119">
        <v>0</v>
      </c>
      <c r="J56" s="119">
        <v>0</v>
      </c>
      <c r="K56" s="119">
        <v>0</v>
      </c>
      <c r="L56" s="119">
        <v>0</v>
      </c>
      <c r="M56" s="119">
        <v>0</v>
      </c>
      <c r="N56" s="119">
        <v>0</v>
      </c>
      <c r="O56" s="119">
        <v>0</v>
      </c>
      <c r="P56" s="119">
        <v>0</v>
      </c>
      <c r="Q56" s="119">
        <v>0</v>
      </c>
      <c r="R56" s="119">
        <v>0</v>
      </c>
      <c r="S56" s="119">
        <v>0</v>
      </c>
      <c r="T56" s="119">
        <v>0</v>
      </c>
      <c r="U56" s="119">
        <v>0</v>
      </c>
      <c r="V56" s="119">
        <v>0</v>
      </c>
      <c r="W56" s="119">
        <v>0</v>
      </c>
      <c r="X56" s="119">
        <v>0</v>
      </c>
      <c r="Y56" s="119">
        <v>0</v>
      </c>
      <c r="Z56" s="119">
        <v>0</v>
      </c>
      <c r="AA56" s="119">
        <v>0</v>
      </c>
      <c r="AB56" s="119">
        <v>0</v>
      </c>
      <c r="AC56" s="119">
        <v>0</v>
      </c>
      <c r="AD56" s="119">
        <v>0</v>
      </c>
      <c r="AE56" s="119">
        <v>0</v>
      </c>
      <c r="AF56" s="119">
        <v>0</v>
      </c>
      <c r="AG56" s="119">
        <v>0</v>
      </c>
      <c r="AH56" s="119">
        <v>0</v>
      </c>
      <c r="AI56" s="119">
        <v>0</v>
      </c>
      <c r="AJ56" s="119">
        <v>0</v>
      </c>
      <c r="AK56" s="119">
        <v>0</v>
      </c>
      <c r="AL56" s="119">
        <v>0</v>
      </c>
      <c r="AM56" s="119">
        <v>0</v>
      </c>
      <c r="AN56" s="119">
        <v>0</v>
      </c>
      <c r="AO56" s="119">
        <v>0</v>
      </c>
      <c r="AP56" s="119">
        <v>0</v>
      </c>
    </row>
    <row r="57" spans="1:42" x14ac:dyDescent="0.4">
      <c r="A57" s="21" t="s">
        <v>328</v>
      </c>
      <c r="B57" s="119">
        <v>0</v>
      </c>
      <c r="C57" s="119">
        <v>0</v>
      </c>
      <c r="D57" s="119">
        <v>0</v>
      </c>
      <c r="E57" s="119">
        <v>0</v>
      </c>
      <c r="F57" s="119">
        <v>0</v>
      </c>
      <c r="G57" s="119">
        <v>0</v>
      </c>
      <c r="H57" s="119">
        <v>0</v>
      </c>
      <c r="I57" s="119">
        <v>0</v>
      </c>
      <c r="J57" s="119">
        <v>0</v>
      </c>
      <c r="K57" s="119">
        <v>0</v>
      </c>
      <c r="L57" s="119">
        <v>0</v>
      </c>
      <c r="M57" s="119">
        <v>0</v>
      </c>
      <c r="N57" s="119">
        <v>0</v>
      </c>
      <c r="O57" s="119">
        <v>0</v>
      </c>
      <c r="P57" s="119">
        <v>0</v>
      </c>
      <c r="Q57" s="119">
        <v>0</v>
      </c>
      <c r="R57" s="119">
        <v>0</v>
      </c>
      <c r="S57" s="119">
        <v>0</v>
      </c>
      <c r="T57" s="119">
        <v>0</v>
      </c>
      <c r="U57" s="119">
        <v>0</v>
      </c>
      <c r="V57" s="119">
        <v>0</v>
      </c>
      <c r="W57" s="119">
        <v>0</v>
      </c>
      <c r="X57" s="119">
        <v>0</v>
      </c>
      <c r="Y57" s="119">
        <v>0</v>
      </c>
      <c r="Z57" s="119">
        <v>0</v>
      </c>
      <c r="AA57" s="119">
        <v>0</v>
      </c>
      <c r="AB57" s="119">
        <v>0</v>
      </c>
      <c r="AC57" s="119">
        <v>0</v>
      </c>
      <c r="AD57" s="119">
        <v>0</v>
      </c>
      <c r="AE57" s="119">
        <v>0</v>
      </c>
      <c r="AF57" s="119">
        <v>0</v>
      </c>
      <c r="AG57" s="119">
        <v>0</v>
      </c>
      <c r="AH57" s="119">
        <v>0</v>
      </c>
      <c r="AI57" s="119">
        <v>0</v>
      </c>
      <c r="AJ57" s="119">
        <v>0</v>
      </c>
      <c r="AK57" s="119">
        <v>0</v>
      </c>
      <c r="AL57" s="119">
        <v>0</v>
      </c>
      <c r="AM57" s="119">
        <v>0</v>
      </c>
      <c r="AN57" s="119">
        <v>0</v>
      </c>
      <c r="AO57" s="119">
        <v>0</v>
      </c>
      <c r="AP57" s="119">
        <v>0</v>
      </c>
    </row>
    <row r="58" spans="1:42" x14ac:dyDescent="0.4">
      <c r="A58" s="21" t="s">
        <v>312</v>
      </c>
      <c r="B58" s="119">
        <v>0</v>
      </c>
      <c r="C58" s="119">
        <v>0</v>
      </c>
      <c r="D58" s="119">
        <v>0</v>
      </c>
      <c r="E58" s="119">
        <v>0</v>
      </c>
      <c r="F58" s="119">
        <v>0</v>
      </c>
      <c r="G58" s="119">
        <v>0</v>
      </c>
      <c r="H58" s="119">
        <v>0</v>
      </c>
      <c r="I58" s="119">
        <v>0</v>
      </c>
      <c r="J58" s="119">
        <v>0</v>
      </c>
      <c r="K58" s="119">
        <v>0</v>
      </c>
      <c r="L58" s="119">
        <v>0</v>
      </c>
      <c r="M58" s="119">
        <v>0</v>
      </c>
      <c r="N58" s="119">
        <v>0</v>
      </c>
      <c r="O58" s="119">
        <v>0</v>
      </c>
      <c r="P58" s="119">
        <v>0</v>
      </c>
      <c r="Q58" s="119">
        <v>0</v>
      </c>
      <c r="R58" s="119">
        <v>0</v>
      </c>
      <c r="S58" s="119">
        <v>0</v>
      </c>
      <c r="T58" s="119">
        <v>0</v>
      </c>
      <c r="U58" s="119">
        <v>0</v>
      </c>
      <c r="V58" s="119">
        <v>0</v>
      </c>
      <c r="W58" s="119">
        <v>0</v>
      </c>
      <c r="X58" s="119">
        <v>0</v>
      </c>
      <c r="Y58" s="119">
        <v>0</v>
      </c>
      <c r="Z58" s="119">
        <v>0</v>
      </c>
      <c r="AA58" s="119">
        <v>0</v>
      </c>
      <c r="AB58" s="119">
        <v>0</v>
      </c>
      <c r="AC58" s="119">
        <v>0</v>
      </c>
      <c r="AD58" s="119">
        <v>0</v>
      </c>
      <c r="AE58" s="119">
        <v>0</v>
      </c>
      <c r="AF58" s="119">
        <v>0</v>
      </c>
      <c r="AG58" s="119">
        <v>0</v>
      </c>
      <c r="AH58" s="119">
        <v>0</v>
      </c>
      <c r="AI58" s="119">
        <v>0</v>
      </c>
      <c r="AJ58" s="119">
        <v>0</v>
      </c>
      <c r="AK58" s="119">
        <v>0</v>
      </c>
      <c r="AL58" s="119">
        <v>0</v>
      </c>
      <c r="AM58" s="119">
        <v>0</v>
      </c>
      <c r="AN58" s="119">
        <v>0</v>
      </c>
      <c r="AO58" s="119">
        <v>0</v>
      </c>
      <c r="AP58" s="119">
        <v>0</v>
      </c>
    </row>
    <row r="59" spans="1:42" x14ac:dyDescent="0.4">
      <c r="A59" s="21" t="s">
        <v>352</v>
      </c>
      <c r="B59" s="119">
        <v>0</v>
      </c>
      <c r="C59" s="119">
        <v>0</v>
      </c>
      <c r="D59" s="119">
        <v>0</v>
      </c>
      <c r="E59" s="119">
        <v>0</v>
      </c>
      <c r="F59" s="119">
        <v>0</v>
      </c>
      <c r="G59" s="119">
        <v>0</v>
      </c>
      <c r="H59" s="119">
        <v>0</v>
      </c>
      <c r="I59" s="119">
        <v>0</v>
      </c>
      <c r="J59" s="119">
        <v>0</v>
      </c>
      <c r="K59" s="119">
        <v>0</v>
      </c>
      <c r="L59" s="119">
        <v>0</v>
      </c>
      <c r="M59" s="119">
        <v>0</v>
      </c>
      <c r="N59" s="119">
        <v>0</v>
      </c>
      <c r="O59" s="119">
        <v>0</v>
      </c>
      <c r="P59" s="119">
        <v>0</v>
      </c>
      <c r="Q59" s="119">
        <v>0</v>
      </c>
      <c r="R59" s="119">
        <v>0</v>
      </c>
      <c r="S59" s="119">
        <v>0</v>
      </c>
      <c r="T59" s="119">
        <v>0</v>
      </c>
      <c r="U59" s="119">
        <v>0</v>
      </c>
      <c r="V59" s="119">
        <v>0</v>
      </c>
      <c r="W59" s="119">
        <v>0</v>
      </c>
      <c r="X59" s="119">
        <v>0</v>
      </c>
      <c r="Y59" s="119">
        <v>0</v>
      </c>
      <c r="Z59" s="119">
        <v>0</v>
      </c>
      <c r="AA59" s="119">
        <v>0</v>
      </c>
      <c r="AB59" s="119">
        <v>0</v>
      </c>
      <c r="AC59" s="119">
        <v>0</v>
      </c>
      <c r="AD59" s="119">
        <v>0</v>
      </c>
      <c r="AE59" s="119">
        <v>0</v>
      </c>
      <c r="AF59" s="119">
        <v>0</v>
      </c>
      <c r="AG59" s="119">
        <v>0</v>
      </c>
      <c r="AH59" s="119">
        <v>0</v>
      </c>
      <c r="AI59" s="119">
        <v>0</v>
      </c>
      <c r="AJ59" s="119">
        <v>0</v>
      </c>
      <c r="AK59" s="119">
        <v>0</v>
      </c>
      <c r="AL59" s="119">
        <v>0</v>
      </c>
      <c r="AM59" s="119">
        <v>0</v>
      </c>
      <c r="AN59" s="119">
        <v>0</v>
      </c>
      <c r="AO59" s="119">
        <v>0</v>
      </c>
      <c r="AP59" s="119">
        <v>0</v>
      </c>
    </row>
    <row r="60" spans="1:42" x14ac:dyDescent="0.4">
      <c r="A60" s="86" t="s">
        <v>353</v>
      </c>
      <c r="C60" s="119">
        <f t="shared" ref="C60:AP60" si="17">IF(C2&lt;=analysis_period,om_fuel_cost*annual_fuel_usage/1000*system_heat_rate*(1+om_fuel_cost_escal/100+inflation_rate/100)^B2,0)</f>
        <v>0</v>
      </c>
      <c r="D60" s="119">
        <f t="shared" si="17"/>
        <v>0</v>
      </c>
      <c r="E60" s="119">
        <f t="shared" si="17"/>
        <v>0</v>
      </c>
      <c r="F60" s="119">
        <f t="shared" si="17"/>
        <v>0</v>
      </c>
      <c r="G60" s="119">
        <f t="shared" si="17"/>
        <v>0</v>
      </c>
      <c r="H60" s="119">
        <f t="shared" si="17"/>
        <v>0</v>
      </c>
      <c r="I60" s="119">
        <f t="shared" si="17"/>
        <v>0</v>
      </c>
      <c r="J60" s="119">
        <f t="shared" si="17"/>
        <v>0</v>
      </c>
      <c r="K60" s="119">
        <f t="shared" si="17"/>
        <v>0</v>
      </c>
      <c r="L60" s="119">
        <f t="shared" si="17"/>
        <v>0</v>
      </c>
      <c r="M60" s="119">
        <f t="shared" si="17"/>
        <v>0</v>
      </c>
      <c r="N60" s="119">
        <f t="shared" si="17"/>
        <v>0</v>
      </c>
      <c r="O60" s="119">
        <f t="shared" si="17"/>
        <v>0</v>
      </c>
      <c r="P60" s="119">
        <f t="shared" si="17"/>
        <v>0</v>
      </c>
      <c r="Q60" s="119">
        <f t="shared" si="17"/>
        <v>0</v>
      </c>
      <c r="R60" s="119">
        <f t="shared" si="17"/>
        <v>0</v>
      </c>
      <c r="S60" s="119">
        <f t="shared" si="17"/>
        <v>0</v>
      </c>
      <c r="T60" s="119">
        <f t="shared" si="17"/>
        <v>0</v>
      </c>
      <c r="U60" s="119">
        <f t="shared" si="17"/>
        <v>0</v>
      </c>
      <c r="V60" s="119">
        <f t="shared" si="17"/>
        <v>0</v>
      </c>
      <c r="W60" s="119">
        <f t="shared" si="17"/>
        <v>0</v>
      </c>
      <c r="X60" s="119">
        <f t="shared" si="17"/>
        <v>0</v>
      </c>
      <c r="Y60" s="119">
        <f t="shared" si="17"/>
        <v>0</v>
      </c>
      <c r="Z60" s="119">
        <f t="shared" si="17"/>
        <v>0</v>
      </c>
      <c r="AA60" s="119">
        <f t="shared" si="17"/>
        <v>0</v>
      </c>
      <c r="AB60" s="119">
        <f t="shared" si="17"/>
        <v>0</v>
      </c>
      <c r="AC60" s="119">
        <f t="shared" si="17"/>
        <v>0</v>
      </c>
      <c r="AD60" s="119">
        <f t="shared" si="17"/>
        <v>0</v>
      </c>
      <c r="AE60" s="119">
        <f t="shared" si="17"/>
        <v>0</v>
      </c>
      <c r="AF60" s="119">
        <f t="shared" si="17"/>
        <v>0</v>
      </c>
      <c r="AG60" s="119">
        <f t="shared" si="17"/>
        <v>0</v>
      </c>
      <c r="AH60" s="119">
        <f t="shared" si="17"/>
        <v>0</v>
      </c>
      <c r="AI60" s="119">
        <f t="shared" si="17"/>
        <v>0</v>
      </c>
      <c r="AJ60" s="119">
        <f t="shared" si="17"/>
        <v>0</v>
      </c>
      <c r="AK60" s="119">
        <f t="shared" si="17"/>
        <v>0</v>
      </c>
      <c r="AL60" s="119">
        <f t="shared" si="17"/>
        <v>0</v>
      </c>
      <c r="AM60" s="119">
        <f t="shared" si="17"/>
        <v>0</v>
      </c>
      <c r="AN60" s="119">
        <f t="shared" si="17"/>
        <v>0</v>
      </c>
      <c r="AO60" s="119">
        <f t="shared" si="17"/>
        <v>0</v>
      </c>
      <c r="AP60" s="119">
        <f t="shared" si="17"/>
        <v>0</v>
      </c>
    </row>
    <row r="61" spans="1:42" x14ac:dyDescent="0.4">
      <c r="A61" s="86" t="s">
        <v>202</v>
      </c>
      <c r="B61" s="119">
        <f t="array" ref="B61:AP62">Inputs!C207:AQ208</f>
        <v>0</v>
      </c>
      <c r="C61" s="119">
        <v>0</v>
      </c>
      <c r="D61" s="119">
        <v>0</v>
      </c>
      <c r="E61" s="119">
        <v>0</v>
      </c>
      <c r="F61" s="119">
        <v>0</v>
      </c>
      <c r="G61" s="119">
        <v>0</v>
      </c>
      <c r="H61" s="119">
        <v>0</v>
      </c>
      <c r="I61" s="119">
        <v>0</v>
      </c>
      <c r="J61" s="119">
        <v>0</v>
      </c>
      <c r="K61" s="119">
        <v>0</v>
      </c>
      <c r="L61" s="119">
        <v>0</v>
      </c>
      <c r="M61" s="119">
        <v>0</v>
      </c>
      <c r="N61" s="119">
        <v>0</v>
      </c>
      <c r="O61" s="119">
        <v>0</v>
      </c>
      <c r="P61" s="119">
        <v>0</v>
      </c>
      <c r="Q61" s="119">
        <v>0</v>
      </c>
      <c r="R61" s="119">
        <v>0</v>
      </c>
      <c r="S61" s="119">
        <v>0</v>
      </c>
      <c r="T61" s="119">
        <v>0</v>
      </c>
      <c r="U61" s="119">
        <v>0</v>
      </c>
      <c r="V61" s="119">
        <v>0</v>
      </c>
      <c r="W61" s="119">
        <v>0</v>
      </c>
      <c r="X61" s="119">
        <v>0</v>
      </c>
      <c r="Y61" s="119">
        <v>0</v>
      </c>
      <c r="Z61" s="119">
        <v>0</v>
      </c>
      <c r="AA61" s="119">
        <v>0</v>
      </c>
      <c r="AB61" s="119">
        <v>0</v>
      </c>
      <c r="AC61" s="119">
        <v>0</v>
      </c>
      <c r="AD61" s="119">
        <v>0</v>
      </c>
      <c r="AE61" s="119">
        <v>0</v>
      </c>
      <c r="AF61" s="119">
        <v>0</v>
      </c>
      <c r="AG61" s="119">
        <v>0</v>
      </c>
      <c r="AH61" s="119">
        <v>0</v>
      </c>
      <c r="AI61" s="119">
        <v>0</v>
      </c>
      <c r="AJ61" s="119">
        <v>0</v>
      </c>
      <c r="AK61" s="119">
        <v>0</v>
      </c>
      <c r="AL61" s="119">
        <v>0</v>
      </c>
      <c r="AM61" s="119">
        <v>0</v>
      </c>
      <c r="AN61" s="119">
        <v>0</v>
      </c>
      <c r="AO61" s="119">
        <v>0</v>
      </c>
      <c r="AP61" s="119">
        <v>0</v>
      </c>
    </row>
    <row r="62" spans="1:42" x14ac:dyDescent="0.4">
      <c r="A62" s="86" t="s">
        <v>203</v>
      </c>
      <c r="B62" s="119">
        <v>0</v>
      </c>
      <c r="C62" s="119">
        <v>0</v>
      </c>
      <c r="D62" s="119">
        <v>0</v>
      </c>
      <c r="E62" s="119">
        <v>0</v>
      </c>
      <c r="F62" s="119">
        <v>0</v>
      </c>
      <c r="G62" s="119">
        <v>0</v>
      </c>
      <c r="H62" s="119">
        <v>0</v>
      </c>
      <c r="I62" s="119">
        <v>0</v>
      </c>
      <c r="J62" s="119">
        <v>0</v>
      </c>
      <c r="K62" s="119">
        <v>0</v>
      </c>
      <c r="L62" s="119">
        <v>0</v>
      </c>
      <c r="M62" s="119">
        <v>0</v>
      </c>
      <c r="N62" s="119">
        <v>0</v>
      </c>
      <c r="O62" s="119">
        <v>0</v>
      </c>
      <c r="P62" s="119">
        <v>0</v>
      </c>
      <c r="Q62" s="119">
        <v>0</v>
      </c>
      <c r="R62" s="119">
        <v>0</v>
      </c>
      <c r="S62" s="119">
        <v>0</v>
      </c>
      <c r="T62" s="119">
        <v>0</v>
      </c>
      <c r="U62" s="119">
        <v>0</v>
      </c>
      <c r="V62" s="119">
        <v>0</v>
      </c>
      <c r="W62" s="119">
        <v>0</v>
      </c>
      <c r="X62" s="119">
        <v>0</v>
      </c>
      <c r="Y62" s="119">
        <v>0</v>
      </c>
      <c r="Z62" s="119">
        <v>0</v>
      </c>
      <c r="AA62" s="119">
        <v>0</v>
      </c>
      <c r="AB62" s="119">
        <v>0</v>
      </c>
      <c r="AC62" s="119">
        <v>0</v>
      </c>
      <c r="AD62" s="119">
        <v>0</v>
      </c>
      <c r="AE62" s="119">
        <v>0</v>
      </c>
      <c r="AF62" s="119">
        <v>0</v>
      </c>
      <c r="AG62" s="119">
        <v>0</v>
      </c>
      <c r="AH62" s="119">
        <v>0</v>
      </c>
      <c r="AI62" s="119">
        <v>0</v>
      </c>
      <c r="AJ62" s="119">
        <v>0</v>
      </c>
      <c r="AK62" s="119">
        <v>0</v>
      </c>
      <c r="AL62" s="119">
        <v>0</v>
      </c>
      <c r="AM62" s="119">
        <v>0</v>
      </c>
      <c r="AN62" s="119">
        <v>0</v>
      </c>
      <c r="AO62" s="119">
        <v>0</v>
      </c>
      <c r="AP62" s="119">
        <v>0</v>
      </c>
    </row>
    <row r="63" spans="1:42" x14ac:dyDescent="0.4">
      <c r="A63" s="86" t="s">
        <v>325</v>
      </c>
      <c r="B63" s="119">
        <f t="array" ref="B63:AP63">Inputs!C210:AQ210</f>
        <v>0</v>
      </c>
      <c r="C63" s="119">
        <v>0</v>
      </c>
      <c r="D63" s="119">
        <v>0</v>
      </c>
      <c r="E63" s="119">
        <v>0</v>
      </c>
      <c r="F63" s="119">
        <v>0</v>
      </c>
      <c r="G63" s="119">
        <v>0</v>
      </c>
      <c r="H63" s="119">
        <v>0</v>
      </c>
      <c r="I63" s="119">
        <v>0</v>
      </c>
      <c r="J63" s="119">
        <v>0</v>
      </c>
      <c r="K63" s="119">
        <v>0</v>
      </c>
      <c r="L63" s="119">
        <v>0</v>
      </c>
      <c r="M63" s="119">
        <v>0</v>
      </c>
      <c r="N63" s="119">
        <v>0</v>
      </c>
      <c r="O63" s="119">
        <v>0</v>
      </c>
      <c r="P63" s="119">
        <v>0</v>
      </c>
      <c r="Q63" s="119">
        <v>0</v>
      </c>
      <c r="R63" s="119">
        <v>0</v>
      </c>
      <c r="S63" s="119">
        <v>0</v>
      </c>
      <c r="T63" s="119">
        <v>0</v>
      </c>
      <c r="U63" s="119">
        <v>0</v>
      </c>
      <c r="V63" s="119">
        <v>0</v>
      </c>
      <c r="W63" s="119">
        <v>0</v>
      </c>
      <c r="X63" s="119">
        <v>0</v>
      </c>
      <c r="Y63" s="119">
        <v>0</v>
      </c>
      <c r="Z63" s="119">
        <v>0</v>
      </c>
      <c r="AA63" s="119">
        <v>0</v>
      </c>
      <c r="AB63" s="119">
        <v>0</v>
      </c>
      <c r="AC63" s="119">
        <v>0</v>
      </c>
      <c r="AD63" s="119">
        <v>0</v>
      </c>
      <c r="AE63" s="119">
        <v>0</v>
      </c>
      <c r="AF63" s="119">
        <v>0</v>
      </c>
      <c r="AG63" s="119">
        <v>0</v>
      </c>
      <c r="AH63" s="119">
        <v>0</v>
      </c>
      <c r="AI63" s="119">
        <v>0</v>
      </c>
      <c r="AJ63" s="119">
        <v>0</v>
      </c>
      <c r="AK63" s="119">
        <v>0</v>
      </c>
      <c r="AL63" s="119">
        <v>0</v>
      </c>
      <c r="AM63" s="119">
        <v>0</v>
      </c>
      <c r="AN63" s="119">
        <v>0</v>
      </c>
      <c r="AO63" s="119">
        <v>0</v>
      </c>
      <c r="AP63" s="119">
        <v>0</v>
      </c>
    </row>
    <row r="64" spans="1:42" x14ac:dyDescent="0.4">
      <c r="A64" s="17" t="s">
        <v>341</v>
      </c>
      <c r="C64" s="119">
        <f>IF(C$2&lt;=analysis_period,IF(om_land_lease="n/a",total_land_area*Inputs!D$221,total_land_area*om_land_lease*(1+inflation_rate/100+om_land_lease_escal/100)^B$2),0)</f>
        <v>0</v>
      </c>
      <c r="D64" s="119">
        <f>IF(D$2&lt;=analysis_period,IF(om_land_lease="n/a",total_land_area*Inputs!E$221,total_land_area*om_land_lease*(1+inflation_rate/100+om_land_lease_escal/100)^C$2),0)</f>
        <v>0</v>
      </c>
      <c r="E64" s="119">
        <f>IF(E$2&lt;=analysis_period,IF(om_land_lease="n/a",total_land_area*Inputs!F$221,total_land_area*om_land_lease*(1+inflation_rate/100+om_land_lease_escal/100)^D$2),0)</f>
        <v>0</v>
      </c>
      <c r="F64" s="119">
        <f>IF(F$2&lt;=analysis_period,IF(om_land_lease="n/a",total_land_area*Inputs!G$221,total_land_area*om_land_lease*(1+inflation_rate/100+om_land_lease_escal/100)^E$2),0)</f>
        <v>0</v>
      </c>
      <c r="G64" s="119">
        <f>IF(G$2&lt;=analysis_period,IF(om_land_lease="n/a",total_land_area*Inputs!H$221,total_land_area*om_land_lease*(1+inflation_rate/100+om_land_lease_escal/100)^F$2),0)</f>
        <v>0</v>
      </c>
      <c r="H64" s="119">
        <f>IF(H$2&lt;=analysis_period,IF(om_land_lease="n/a",total_land_area*Inputs!I$221,total_land_area*om_land_lease*(1+inflation_rate/100+om_land_lease_escal/100)^G$2),0)</f>
        <v>0</v>
      </c>
      <c r="I64" s="119">
        <f>IF(I$2&lt;=analysis_period,IF(om_land_lease="n/a",total_land_area*Inputs!J$221,total_land_area*om_land_lease*(1+inflation_rate/100+om_land_lease_escal/100)^H$2),0)</f>
        <v>0</v>
      </c>
      <c r="J64" s="119">
        <f>IF(J$2&lt;=analysis_period,IF(om_land_lease="n/a",total_land_area*Inputs!K$221,total_land_area*om_land_lease*(1+inflation_rate/100+om_land_lease_escal/100)^I$2),0)</f>
        <v>0</v>
      </c>
      <c r="K64" s="119">
        <f>IF(K$2&lt;=analysis_period,IF(om_land_lease="n/a",total_land_area*Inputs!L$221,total_land_area*om_land_lease*(1+inflation_rate/100+om_land_lease_escal/100)^J$2),0)</f>
        <v>0</v>
      </c>
      <c r="L64" s="119">
        <f>IF(L$2&lt;=analysis_period,IF(om_land_lease="n/a",total_land_area*Inputs!M$221,total_land_area*om_land_lease*(1+inflation_rate/100+om_land_lease_escal/100)^K$2),0)</f>
        <v>0</v>
      </c>
      <c r="M64" s="119">
        <f>IF(M$2&lt;=analysis_period,IF(om_land_lease="n/a",total_land_area*Inputs!N$221,total_land_area*om_land_lease*(1+inflation_rate/100+om_land_lease_escal/100)^L$2),0)</f>
        <v>0</v>
      </c>
      <c r="N64" s="119">
        <f>IF(N$2&lt;=analysis_period,IF(om_land_lease="n/a",total_land_area*Inputs!O$221,total_land_area*om_land_lease*(1+inflation_rate/100+om_land_lease_escal/100)^M$2),0)</f>
        <v>0</v>
      </c>
      <c r="O64" s="119">
        <f>IF(O$2&lt;=analysis_period,IF(om_land_lease="n/a",total_land_area*Inputs!P$221,total_land_area*om_land_lease*(1+inflation_rate/100+om_land_lease_escal/100)^N$2),0)</f>
        <v>0</v>
      </c>
      <c r="P64" s="119">
        <f>IF(P$2&lt;=analysis_period,IF(om_land_lease="n/a",total_land_area*Inputs!Q$221,total_land_area*om_land_lease*(1+inflation_rate/100+om_land_lease_escal/100)^O$2),0)</f>
        <v>0</v>
      </c>
      <c r="Q64" s="119">
        <f>IF(Q$2&lt;=analysis_period,IF(om_land_lease="n/a",total_land_area*Inputs!R$221,total_land_area*om_land_lease*(1+inflation_rate/100+om_land_lease_escal/100)^P$2),0)</f>
        <v>0</v>
      </c>
      <c r="R64" s="119">
        <f>IF(R$2&lt;=analysis_period,IF(om_land_lease="n/a",total_land_area*Inputs!S$221,total_land_area*om_land_lease*(1+inflation_rate/100+om_land_lease_escal/100)^Q$2),0)</f>
        <v>0</v>
      </c>
      <c r="S64" s="119">
        <f>IF(S$2&lt;=analysis_period,IF(om_land_lease="n/a",total_land_area*Inputs!T$221,total_land_area*om_land_lease*(1+inflation_rate/100+om_land_lease_escal/100)^R$2),0)</f>
        <v>0</v>
      </c>
      <c r="T64" s="119">
        <f>IF(T$2&lt;=analysis_period,IF(om_land_lease="n/a",total_land_area*Inputs!U$221,total_land_area*om_land_lease*(1+inflation_rate/100+om_land_lease_escal/100)^S$2),0)</f>
        <v>0</v>
      </c>
      <c r="U64" s="119">
        <f>IF(U$2&lt;=analysis_period,IF(om_land_lease="n/a",total_land_area*Inputs!V$221,total_land_area*om_land_lease*(1+inflation_rate/100+om_land_lease_escal/100)^T$2),0)</f>
        <v>0</v>
      </c>
      <c r="V64" s="119">
        <f>IF(V$2&lt;=analysis_period,IF(om_land_lease="n/a",total_land_area*Inputs!W$221,total_land_area*om_land_lease*(1+inflation_rate/100+om_land_lease_escal/100)^U$2),0)</f>
        <v>0</v>
      </c>
      <c r="W64" s="119">
        <f>IF(W$2&lt;=analysis_period,IF(om_land_lease="n/a",total_land_area*Inputs!X$221,total_land_area*om_land_lease*(1+inflation_rate/100+om_land_lease_escal/100)^V$2),0)</f>
        <v>0</v>
      </c>
      <c r="X64" s="119">
        <f>IF(X$2&lt;=analysis_period,IF(om_land_lease="n/a",total_land_area*Inputs!Y$221,total_land_area*om_land_lease*(1+inflation_rate/100+om_land_lease_escal/100)^W$2),0)</f>
        <v>0</v>
      </c>
      <c r="Y64" s="119">
        <f>IF(Y$2&lt;=analysis_period,IF(om_land_lease="n/a",total_land_area*Inputs!Z$221,total_land_area*om_land_lease*(1+inflation_rate/100+om_land_lease_escal/100)^X$2),0)</f>
        <v>0</v>
      </c>
      <c r="Z64" s="119">
        <f>IF(Z$2&lt;=analysis_period,IF(om_land_lease="n/a",total_land_area*Inputs!AA$221,total_land_area*om_land_lease*(1+inflation_rate/100+om_land_lease_escal/100)^Y$2),0)</f>
        <v>0</v>
      </c>
      <c r="AA64" s="119">
        <f>IF(AA$2&lt;=analysis_period,IF(om_land_lease="n/a",total_land_area*Inputs!AB$221,total_land_area*om_land_lease*(1+inflation_rate/100+om_land_lease_escal/100)^Z$2),0)</f>
        <v>0</v>
      </c>
      <c r="AB64" s="119">
        <f>IF(AB$2&lt;=analysis_period,IF(om_land_lease="n/a",total_land_area*Inputs!AC$221,total_land_area*om_land_lease*(1+inflation_rate/100+om_land_lease_escal/100)^AA$2),0)</f>
        <v>0</v>
      </c>
      <c r="AC64" s="119">
        <f>IF(AC$2&lt;=analysis_period,IF(om_land_lease="n/a",total_land_area*Inputs!AD$221,total_land_area*om_land_lease*(1+inflation_rate/100+om_land_lease_escal/100)^AB$2),0)</f>
        <v>0</v>
      </c>
      <c r="AD64" s="119">
        <f>IF(AD$2&lt;=analysis_period,IF(om_land_lease="n/a",total_land_area*Inputs!AE$221,total_land_area*om_land_lease*(1+inflation_rate/100+om_land_lease_escal/100)^AC$2),0)</f>
        <v>0</v>
      </c>
      <c r="AE64" s="119">
        <f>IF(AE$2&lt;=analysis_period,IF(om_land_lease="n/a",total_land_area*Inputs!AF$221,total_land_area*om_land_lease*(1+inflation_rate/100+om_land_lease_escal/100)^AD$2),0)</f>
        <v>0</v>
      </c>
      <c r="AF64" s="119">
        <f>IF(AF$2&lt;=analysis_period,IF(om_land_lease="n/a",total_land_area*Inputs!AG$221,total_land_area*om_land_lease*(1+inflation_rate/100+om_land_lease_escal/100)^AE$2),0)</f>
        <v>0</v>
      </c>
      <c r="AG64" s="119">
        <f>IF(AG$2&lt;=analysis_period,IF(om_land_lease="n/a",total_land_area*Inputs!AH$221,total_land_area*om_land_lease*(1+inflation_rate/100+om_land_lease_escal/100)^AF$2),0)</f>
        <v>0</v>
      </c>
      <c r="AH64" s="119">
        <f>IF(AH$2&lt;=analysis_period,IF(om_land_lease="n/a",total_land_area*Inputs!AI$221,total_land_area*om_land_lease*(1+inflation_rate/100+om_land_lease_escal/100)^AG$2),0)</f>
        <v>0</v>
      </c>
      <c r="AI64" s="119">
        <f>IF(AI$2&lt;=analysis_period,IF(om_land_lease="n/a",total_land_area*Inputs!AJ$221,total_land_area*om_land_lease*(1+inflation_rate/100+om_land_lease_escal/100)^AH$2),0)</f>
        <v>0</v>
      </c>
      <c r="AJ64" s="119">
        <f>IF(AJ$2&lt;=analysis_period,IF(om_land_lease="n/a",total_land_area*Inputs!AK$221,total_land_area*om_land_lease*(1+inflation_rate/100+om_land_lease_escal/100)^AI$2),0)</f>
        <v>0</v>
      </c>
      <c r="AK64" s="119">
        <f>IF(AK$2&lt;=analysis_period,IF(om_land_lease="n/a",total_land_area*Inputs!AL$221,total_land_area*om_land_lease*(1+inflation_rate/100+om_land_lease_escal/100)^AJ$2),0)</f>
        <v>0</v>
      </c>
      <c r="AL64" s="119">
        <f>IF(AL$2&lt;=analysis_period,IF(om_land_lease="n/a",total_land_area*Inputs!AM$221,total_land_area*om_land_lease*(1+inflation_rate/100+om_land_lease_escal/100)^AK$2),0)</f>
        <v>0</v>
      </c>
      <c r="AM64" s="119">
        <f>IF(AM$2&lt;=analysis_period,IF(om_land_lease="n/a",total_land_area*Inputs!AN$221,total_land_area*om_land_lease*(1+inflation_rate/100+om_land_lease_escal/100)^AL$2),0)</f>
        <v>0</v>
      </c>
      <c r="AN64" s="119">
        <f>IF(AN$2&lt;=analysis_period,IF(om_land_lease="n/a",total_land_area*Inputs!AO$221,total_land_area*om_land_lease*(1+inflation_rate/100+om_land_lease_escal/100)^AM$2),0)</f>
        <v>0</v>
      </c>
      <c r="AO64" s="119">
        <f>IF(AO$2&lt;=analysis_period,IF(om_land_lease="n/a",total_land_area*Inputs!AP$221,total_land_area*om_land_lease*(1+inflation_rate/100+om_land_lease_escal/100)^AN$2),0)</f>
        <v>0</v>
      </c>
      <c r="AP64" s="119">
        <f>IF(AP$2&lt;=analysis_period,IF(om_land_lease="n/a",total_land_area*Inputs!AQ$221,total_land_area*om_land_lease*(1+inflation_rate/100+om_land_lease_escal/100)^AO$2),0)</f>
        <v>0</v>
      </c>
    </row>
    <row r="65" spans="1:42" x14ac:dyDescent="0.4">
      <c r="A65" s="17" t="s">
        <v>0</v>
      </c>
      <c r="C65" s="119">
        <f t="shared" ref="C65:AP65" si="18">C35*property_tax_rate/100</f>
        <v>0</v>
      </c>
      <c r="D65" s="119">
        <f t="shared" si="18"/>
        <v>0</v>
      </c>
      <c r="E65" s="119">
        <f t="shared" si="18"/>
        <v>0</v>
      </c>
      <c r="F65" s="119">
        <f t="shared" si="18"/>
        <v>0</v>
      </c>
      <c r="G65" s="119">
        <f t="shared" si="18"/>
        <v>0</v>
      </c>
      <c r="H65" s="119">
        <f t="shared" si="18"/>
        <v>0</v>
      </c>
      <c r="I65" s="119">
        <f t="shared" si="18"/>
        <v>0</v>
      </c>
      <c r="J65" s="119">
        <f t="shared" si="18"/>
        <v>0</v>
      </c>
      <c r="K65" s="119">
        <f t="shared" si="18"/>
        <v>0</v>
      </c>
      <c r="L65" s="119">
        <f t="shared" si="18"/>
        <v>0</v>
      </c>
      <c r="M65" s="119">
        <f t="shared" si="18"/>
        <v>0</v>
      </c>
      <c r="N65" s="119">
        <f t="shared" si="18"/>
        <v>0</v>
      </c>
      <c r="O65" s="119">
        <f t="shared" si="18"/>
        <v>0</v>
      </c>
      <c r="P65" s="119">
        <f t="shared" si="18"/>
        <v>0</v>
      </c>
      <c r="Q65" s="119">
        <f t="shared" si="18"/>
        <v>0</v>
      </c>
      <c r="R65" s="119">
        <f t="shared" si="18"/>
        <v>0</v>
      </c>
      <c r="S65" s="119">
        <f t="shared" si="18"/>
        <v>0</v>
      </c>
      <c r="T65" s="119">
        <f t="shared" si="18"/>
        <v>0</v>
      </c>
      <c r="U65" s="119">
        <f t="shared" si="18"/>
        <v>0</v>
      </c>
      <c r="V65" s="119">
        <f t="shared" si="18"/>
        <v>0</v>
      </c>
      <c r="W65" s="119">
        <f t="shared" si="18"/>
        <v>0</v>
      </c>
      <c r="X65" s="119">
        <f t="shared" si="18"/>
        <v>0</v>
      </c>
      <c r="Y65" s="119">
        <f t="shared" si="18"/>
        <v>0</v>
      </c>
      <c r="Z65" s="119">
        <f t="shared" si="18"/>
        <v>0</v>
      </c>
      <c r="AA65" s="119">
        <f t="shared" si="18"/>
        <v>0</v>
      </c>
      <c r="AB65" s="119">
        <f t="shared" si="18"/>
        <v>0</v>
      </c>
      <c r="AC65" s="119">
        <f t="shared" si="18"/>
        <v>0</v>
      </c>
      <c r="AD65" s="119">
        <f t="shared" si="18"/>
        <v>0</v>
      </c>
      <c r="AE65" s="119">
        <f t="shared" si="18"/>
        <v>0</v>
      </c>
      <c r="AF65" s="119">
        <f t="shared" si="18"/>
        <v>0</v>
      </c>
      <c r="AG65" s="119">
        <f t="shared" si="18"/>
        <v>0</v>
      </c>
      <c r="AH65" s="119">
        <f t="shared" si="18"/>
        <v>0</v>
      </c>
      <c r="AI65" s="119">
        <f t="shared" si="18"/>
        <v>0</v>
      </c>
      <c r="AJ65" s="119">
        <f t="shared" si="18"/>
        <v>0</v>
      </c>
      <c r="AK65" s="119">
        <f t="shared" si="18"/>
        <v>0</v>
      </c>
      <c r="AL65" s="119">
        <f t="shared" si="18"/>
        <v>0</v>
      </c>
      <c r="AM65" s="119">
        <f t="shared" si="18"/>
        <v>0</v>
      </c>
      <c r="AN65" s="119">
        <f t="shared" si="18"/>
        <v>0</v>
      </c>
      <c r="AO65" s="119">
        <f t="shared" si="18"/>
        <v>0</v>
      </c>
      <c r="AP65" s="119">
        <f t="shared" si="18"/>
        <v>0</v>
      </c>
    </row>
    <row r="66" spans="1:42" x14ac:dyDescent="0.4">
      <c r="A66" s="17" t="s">
        <v>35</v>
      </c>
      <c r="C66" s="119">
        <f t="shared" ref="C66:AP66" si="19">IF(C$2&lt;=analysis_period,total_installed_cost*insurance_rate/100*(1+inflation_rate/100)^B$2,0)</f>
        <v>319161</v>
      </c>
      <c r="D66" s="119">
        <f t="shared" si="19"/>
        <v>327140.02499999997</v>
      </c>
      <c r="E66" s="119">
        <f t="shared" si="19"/>
        <v>335318.52562499995</v>
      </c>
      <c r="F66" s="119">
        <f t="shared" si="19"/>
        <v>343701.48876562493</v>
      </c>
      <c r="G66" s="119">
        <f t="shared" si="19"/>
        <v>352294.02598476555</v>
      </c>
      <c r="H66" s="119">
        <f t="shared" si="19"/>
        <v>361101.37663438468</v>
      </c>
      <c r="I66" s="119">
        <f t="shared" si="19"/>
        <v>370128.91105024423</v>
      </c>
      <c r="J66" s="119">
        <f t="shared" si="19"/>
        <v>379382.13382650039</v>
      </c>
      <c r="K66" s="119">
        <f t="shared" si="19"/>
        <v>388866.68717216287</v>
      </c>
      <c r="L66" s="119">
        <f t="shared" si="19"/>
        <v>398588.35435146687</v>
      </c>
      <c r="M66" s="119">
        <f t="shared" si="19"/>
        <v>408553.06321025355</v>
      </c>
      <c r="N66" s="119">
        <f t="shared" si="19"/>
        <v>418766.88979050983</v>
      </c>
      <c r="O66" s="119">
        <f t="shared" si="19"/>
        <v>429236.06203527254</v>
      </c>
      <c r="P66" s="119">
        <f t="shared" si="19"/>
        <v>439966.96358615434</v>
      </c>
      <c r="Q66" s="119">
        <f t="shared" si="19"/>
        <v>450966.13767580816</v>
      </c>
      <c r="R66" s="119">
        <f t="shared" si="19"/>
        <v>462240.29111770343</v>
      </c>
      <c r="S66" s="119">
        <f t="shared" si="19"/>
        <v>473796.29839564598</v>
      </c>
      <c r="T66" s="119">
        <f t="shared" si="19"/>
        <v>485641.20585553709</v>
      </c>
      <c r="U66" s="119">
        <f t="shared" si="19"/>
        <v>497782.23600192554</v>
      </c>
      <c r="V66" s="119">
        <f t="shared" si="19"/>
        <v>510226.79190197366</v>
      </c>
      <c r="W66" s="119">
        <f t="shared" si="19"/>
        <v>522982.46169952292</v>
      </c>
      <c r="X66" s="119">
        <f t="shared" si="19"/>
        <v>536057.02324201097</v>
      </c>
      <c r="Y66" s="119">
        <f t="shared" si="19"/>
        <v>549458.44882306119</v>
      </c>
      <c r="Z66" s="119">
        <f t="shared" si="19"/>
        <v>563194.91004363773</v>
      </c>
      <c r="AA66" s="119">
        <f t="shared" si="19"/>
        <v>577274.78279472864</v>
      </c>
      <c r="AB66" s="119">
        <f t="shared" si="19"/>
        <v>0</v>
      </c>
      <c r="AC66" s="119">
        <f t="shared" si="19"/>
        <v>0</v>
      </c>
      <c r="AD66" s="119">
        <f t="shared" si="19"/>
        <v>0</v>
      </c>
      <c r="AE66" s="119">
        <f t="shared" si="19"/>
        <v>0</v>
      </c>
      <c r="AF66" s="119">
        <f t="shared" si="19"/>
        <v>0</v>
      </c>
      <c r="AG66" s="119">
        <f t="shared" si="19"/>
        <v>0</v>
      </c>
      <c r="AH66" s="119">
        <f t="shared" si="19"/>
        <v>0</v>
      </c>
      <c r="AI66" s="119">
        <f t="shared" si="19"/>
        <v>0</v>
      </c>
      <c r="AJ66" s="119">
        <f t="shared" si="19"/>
        <v>0</v>
      </c>
      <c r="AK66" s="119">
        <f t="shared" si="19"/>
        <v>0</v>
      </c>
      <c r="AL66" s="119">
        <f t="shared" si="19"/>
        <v>0</v>
      </c>
      <c r="AM66" s="119">
        <f t="shared" si="19"/>
        <v>0</v>
      </c>
      <c r="AN66" s="119">
        <f t="shared" si="19"/>
        <v>0</v>
      </c>
      <c r="AO66" s="119">
        <f t="shared" si="19"/>
        <v>0</v>
      </c>
      <c r="AP66" s="119">
        <f t="shared" si="19"/>
        <v>0</v>
      </c>
    </row>
    <row r="67" spans="1:42" x14ac:dyDescent="0.4">
      <c r="A67" s="17" t="s">
        <v>452</v>
      </c>
      <c r="B67" s="119"/>
      <c r="C67" s="120">
        <f>C$39+C$43+C$47+SUM(C50:C53)+SUM(C48:C48)+SUM(C55:C66)</f>
        <v>666327.01</v>
      </c>
      <c r="D67" s="120">
        <f t="shared" ref="D67:AP67" si="20">D$39+D$43+D$47+SUM(D50:D53)+SUM(D48:D48)+SUM(D55:D66)</f>
        <v>682924.33749999991</v>
      </c>
      <c r="E67" s="120">
        <f t="shared" si="20"/>
        <v>699916.26718749991</v>
      </c>
      <c r="F67" s="120">
        <f t="shared" si="20"/>
        <v>717333.80561718741</v>
      </c>
      <c r="G67" s="120">
        <f t="shared" si="20"/>
        <v>735188.98950761708</v>
      </c>
      <c r="H67" s="120">
        <f t="shared" si="20"/>
        <v>753491.79149530747</v>
      </c>
      <c r="I67" s="120">
        <f t="shared" si="20"/>
        <v>772253.02603269019</v>
      </c>
      <c r="J67" s="120">
        <f t="shared" si="20"/>
        <v>791483.93543350731</v>
      </c>
      <c r="K67" s="120">
        <f t="shared" si="20"/>
        <v>811196.09606934502</v>
      </c>
      <c r="L67" s="120">
        <f t="shared" si="20"/>
        <v>4774016.4747210778</v>
      </c>
      <c r="M67" s="120">
        <f t="shared" si="20"/>
        <v>851222.20508910553</v>
      </c>
      <c r="N67" s="120">
        <f t="shared" si="20"/>
        <v>872442.70446633303</v>
      </c>
      <c r="O67" s="120">
        <f t="shared" si="20"/>
        <v>894194.86057799135</v>
      </c>
      <c r="P67" s="120">
        <f t="shared" si="20"/>
        <v>916494.15859244112</v>
      </c>
      <c r="Q67" s="120">
        <f t="shared" si="20"/>
        <v>939351.93830725201</v>
      </c>
      <c r="R67" s="120">
        <f t="shared" si="20"/>
        <v>962782.45151493349</v>
      </c>
      <c r="S67" s="120">
        <f t="shared" si="20"/>
        <v>986799.05955280666</v>
      </c>
      <c r="T67" s="120">
        <f t="shared" si="20"/>
        <v>1011417.6310416268</v>
      </c>
      <c r="U67" s="120">
        <f t="shared" si="20"/>
        <v>1036651.3398176675</v>
      </c>
      <c r="V67" s="120">
        <f t="shared" si="20"/>
        <v>6109420.1430631094</v>
      </c>
      <c r="W67" s="120">
        <f t="shared" si="20"/>
        <v>1089322.9096396868</v>
      </c>
      <c r="X67" s="120">
        <f t="shared" si="20"/>
        <v>1116487.488630679</v>
      </c>
      <c r="Y67" s="120">
        <f t="shared" si="20"/>
        <v>1144332.3080964456</v>
      </c>
      <c r="Z67" s="120">
        <f t="shared" si="20"/>
        <v>1172876.3640488568</v>
      </c>
      <c r="AA67" s="120">
        <f t="shared" si="20"/>
        <v>1202137.3196500782</v>
      </c>
      <c r="AB67" s="120">
        <f t="shared" si="20"/>
        <v>0</v>
      </c>
      <c r="AC67" s="120">
        <f t="shared" si="20"/>
        <v>0</v>
      </c>
      <c r="AD67" s="120">
        <f t="shared" si="20"/>
        <v>0</v>
      </c>
      <c r="AE67" s="120">
        <f t="shared" si="20"/>
        <v>0</v>
      </c>
      <c r="AF67" s="120">
        <f t="shared" si="20"/>
        <v>0</v>
      </c>
      <c r="AG67" s="120">
        <f t="shared" si="20"/>
        <v>0</v>
      </c>
      <c r="AH67" s="120">
        <f t="shared" si="20"/>
        <v>0</v>
      </c>
      <c r="AI67" s="120">
        <f t="shared" si="20"/>
        <v>0</v>
      </c>
      <c r="AJ67" s="120">
        <f t="shared" si="20"/>
        <v>0</v>
      </c>
      <c r="AK67" s="120">
        <f t="shared" si="20"/>
        <v>0</v>
      </c>
      <c r="AL67" s="120">
        <f t="shared" si="20"/>
        <v>0</v>
      </c>
      <c r="AM67" s="120">
        <f t="shared" si="20"/>
        <v>0</v>
      </c>
      <c r="AN67" s="120">
        <f t="shared" si="20"/>
        <v>0</v>
      </c>
      <c r="AO67" s="120">
        <f t="shared" si="20"/>
        <v>0</v>
      </c>
      <c r="AP67" s="120">
        <f t="shared" si="20"/>
        <v>0</v>
      </c>
    </row>
    <row r="68" spans="1:42" x14ac:dyDescent="0.4">
      <c r="A68" s="17" t="s">
        <v>454</v>
      </c>
      <c r="B68" s="108">
        <f t="array" ref="B68:AP68">Inputs!C204:AQ204</f>
        <v>0</v>
      </c>
      <c r="C68" s="108">
        <v>100</v>
      </c>
      <c r="D68" s="108">
        <v>100</v>
      </c>
      <c r="E68" s="108">
        <v>100</v>
      </c>
      <c r="F68" s="108">
        <v>100</v>
      </c>
      <c r="G68" s="108">
        <v>100</v>
      </c>
      <c r="H68" s="108">
        <v>100</v>
      </c>
      <c r="I68" s="108">
        <v>100</v>
      </c>
      <c r="J68" s="108">
        <v>100</v>
      </c>
      <c r="K68" s="108">
        <v>100</v>
      </c>
      <c r="L68" s="108">
        <v>100</v>
      </c>
      <c r="M68" s="108">
        <v>100</v>
      </c>
      <c r="N68" s="108">
        <v>100</v>
      </c>
      <c r="O68" s="108">
        <v>100</v>
      </c>
      <c r="P68" s="108">
        <v>100</v>
      </c>
      <c r="Q68" s="108">
        <v>100</v>
      </c>
      <c r="R68" s="108">
        <v>100</v>
      </c>
      <c r="S68" s="108">
        <v>100</v>
      </c>
      <c r="T68" s="108">
        <v>100</v>
      </c>
      <c r="U68" s="108">
        <v>100</v>
      </c>
      <c r="V68" s="108">
        <v>100</v>
      </c>
      <c r="W68" s="108">
        <v>100</v>
      </c>
      <c r="X68" s="108">
        <v>100</v>
      </c>
      <c r="Y68" s="108">
        <v>100</v>
      </c>
      <c r="Z68" s="108">
        <v>100</v>
      </c>
      <c r="AA68" s="108">
        <v>100</v>
      </c>
      <c r="AB68" s="108">
        <v>0</v>
      </c>
      <c r="AC68" s="108">
        <v>0</v>
      </c>
      <c r="AD68" s="108">
        <v>0</v>
      </c>
      <c r="AE68" s="108">
        <v>0</v>
      </c>
      <c r="AF68" s="108">
        <v>0</v>
      </c>
      <c r="AG68" s="108">
        <v>0</v>
      </c>
      <c r="AH68" s="108">
        <v>0</v>
      </c>
      <c r="AI68" s="108">
        <v>0</v>
      </c>
      <c r="AJ68" s="108">
        <v>0</v>
      </c>
      <c r="AK68" s="108">
        <v>0</v>
      </c>
      <c r="AL68" s="108">
        <v>0</v>
      </c>
      <c r="AM68" s="108">
        <v>0</v>
      </c>
      <c r="AN68" s="108">
        <v>0</v>
      </c>
      <c r="AO68" s="108">
        <v>0</v>
      </c>
      <c r="AP68" s="108">
        <v>0</v>
      </c>
    </row>
    <row r="69" spans="1:42" x14ac:dyDescent="0.4">
      <c r="A69" s="17" t="s">
        <v>453</v>
      </c>
      <c r="B69" s="119"/>
      <c r="C69" s="120">
        <f>C67*C68/100</f>
        <v>666327.01</v>
      </c>
      <c r="D69" s="120">
        <f t="shared" ref="D69:AP69" si="21">D67*D68/100</f>
        <v>682924.33749999991</v>
      </c>
      <c r="E69" s="120">
        <f t="shared" si="21"/>
        <v>699916.26718749991</v>
      </c>
      <c r="F69" s="120">
        <f t="shared" si="21"/>
        <v>717333.80561718752</v>
      </c>
      <c r="G69" s="120">
        <f t="shared" si="21"/>
        <v>735188.98950761708</v>
      </c>
      <c r="H69" s="120">
        <f t="shared" si="21"/>
        <v>753491.79149530758</v>
      </c>
      <c r="I69" s="120">
        <f t="shared" si="21"/>
        <v>772253.02603269031</v>
      </c>
      <c r="J69" s="120">
        <f t="shared" si="21"/>
        <v>791483.93543350731</v>
      </c>
      <c r="K69" s="120">
        <f t="shared" si="21"/>
        <v>811196.09606934502</v>
      </c>
      <c r="L69" s="120">
        <f t="shared" si="21"/>
        <v>4774016.4747210778</v>
      </c>
      <c r="M69" s="120">
        <f t="shared" si="21"/>
        <v>851222.20508910553</v>
      </c>
      <c r="N69" s="120">
        <f t="shared" si="21"/>
        <v>872442.70446633315</v>
      </c>
      <c r="O69" s="120">
        <f t="shared" si="21"/>
        <v>894194.86057799135</v>
      </c>
      <c r="P69" s="120">
        <f t="shared" si="21"/>
        <v>916494.15859244112</v>
      </c>
      <c r="Q69" s="120">
        <f t="shared" si="21"/>
        <v>939351.93830725213</v>
      </c>
      <c r="R69" s="120">
        <f t="shared" si="21"/>
        <v>962782.45151493361</v>
      </c>
      <c r="S69" s="120">
        <f t="shared" si="21"/>
        <v>986799.05955280666</v>
      </c>
      <c r="T69" s="120">
        <f t="shared" si="21"/>
        <v>1011417.6310416268</v>
      </c>
      <c r="U69" s="120">
        <f t="shared" si="21"/>
        <v>1036651.3398176675</v>
      </c>
      <c r="V69" s="120">
        <f t="shared" si="21"/>
        <v>6109420.1430631094</v>
      </c>
      <c r="W69" s="120">
        <f t="shared" si="21"/>
        <v>1089322.9096396868</v>
      </c>
      <c r="X69" s="120">
        <f t="shared" si="21"/>
        <v>1116487.488630679</v>
      </c>
      <c r="Y69" s="120">
        <f t="shared" si="21"/>
        <v>1144332.3080964456</v>
      </c>
      <c r="Z69" s="120">
        <f t="shared" si="21"/>
        <v>1172876.3640488568</v>
      </c>
      <c r="AA69" s="120">
        <f t="shared" si="21"/>
        <v>1202137.3196500782</v>
      </c>
      <c r="AB69" s="120">
        <f t="shared" si="21"/>
        <v>0</v>
      </c>
      <c r="AC69" s="120">
        <f t="shared" si="21"/>
        <v>0</v>
      </c>
      <c r="AD69" s="120">
        <f t="shared" si="21"/>
        <v>0</v>
      </c>
      <c r="AE69" s="120">
        <f t="shared" si="21"/>
        <v>0</v>
      </c>
      <c r="AF69" s="120">
        <f t="shared" si="21"/>
        <v>0</v>
      </c>
      <c r="AG69" s="120">
        <f t="shared" si="21"/>
        <v>0</v>
      </c>
      <c r="AH69" s="120">
        <f t="shared" si="21"/>
        <v>0</v>
      </c>
      <c r="AI69" s="120">
        <f t="shared" si="21"/>
        <v>0</v>
      </c>
      <c r="AJ69" s="120">
        <f t="shared" si="21"/>
        <v>0</v>
      </c>
      <c r="AK69" s="120">
        <f t="shared" si="21"/>
        <v>0</v>
      </c>
      <c r="AL69" s="120">
        <f t="shared" si="21"/>
        <v>0</v>
      </c>
      <c r="AM69" s="120">
        <f t="shared" si="21"/>
        <v>0</v>
      </c>
      <c r="AN69" s="120">
        <f t="shared" si="21"/>
        <v>0</v>
      </c>
      <c r="AO69" s="120">
        <f t="shared" si="21"/>
        <v>0</v>
      </c>
      <c r="AP69" s="120">
        <f t="shared" si="21"/>
        <v>0</v>
      </c>
    </row>
    <row r="70" spans="1:42" x14ac:dyDescent="0.4">
      <c r="A70" s="17" t="s">
        <v>457</v>
      </c>
      <c r="C70" s="119">
        <f>IF(non_energy_expenses_ds="Yes",Inputs!D203,0)</f>
        <v>0</v>
      </c>
      <c r="D70" s="119">
        <f>IF(non_energy_expenses_ds="Yes",Inputs!E203,0)</f>
        <v>0</v>
      </c>
      <c r="E70" s="119">
        <f>IF(non_energy_expenses_ds="Yes",Inputs!F203,0)</f>
        <v>0</v>
      </c>
      <c r="F70" s="119">
        <f>IF(non_energy_expenses_ds="Yes",Inputs!G203,0)</f>
        <v>0</v>
      </c>
      <c r="G70" s="119">
        <f>IF(non_energy_expenses_ds="Yes",Inputs!H203,0)</f>
        <v>0</v>
      </c>
      <c r="H70" s="119">
        <f>IF(non_energy_expenses_ds="Yes",Inputs!I203,0)</f>
        <v>0</v>
      </c>
      <c r="I70" s="119">
        <f>IF(non_energy_expenses_ds="Yes",Inputs!J203,0)</f>
        <v>0</v>
      </c>
      <c r="J70" s="119">
        <f>IF(non_energy_expenses_ds="Yes",Inputs!K203,0)</f>
        <v>0</v>
      </c>
      <c r="K70" s="119">
        <f>IF(non_energy_expenses_ds="Yes",Inputs!L203,0)</f>
        <v>0</v>
      </c>
      <c r="L70" s="119">
        <f>IF(non_energy_expenses_ds="Yes",Inputs!M203,0)</f>
        <v>0</v>
      </c>
      <c r="M70" s="119">
        <f>IF(non_energy_expenses_ds="Yes",Inputs!N203,0)</f>
        <v>0</v>
      </c>
      <c r="N70" s="119">
        <f>IF(non_energy_expenses_ds="Yes",Inputs!O203,0)</f>
        <v>0</v>
      </c>
      <c r="O70" s="119">
        <f>IF(non_energy_expenses_ds="Yes",Inputs!P203,0)</f>
        <v>0</v>
      </c>
      <c r="P70" s="119">
        <f>IF(non_energy_expenses_ds="Yes",Inputs!Q203,0)</f>
        <v>0</v>
      </c>
      <c r="Q70" s="119">
        <f>IF(non_energy_expenses_ds="Yes",Inputs!R203,0)</f>
        <v>0</v>
      </c>
      <c r="R70" s="119">
        <f>IF(non_energy_expenses_ds="Yes",Inputs!S203,0)</f>
        <v>0</v>
      </c>
      <c r="S70" s="119">
        <f>IF(non_energy_expenses_ds="Yes",Inputs!T203,0)</f>
        <v>0</v>
      </c>
      <c r="T70" s="119">
        <f>IF(non_energy_expenses_ds="Yes",Inputs!U203,0)</f>
        <v>0</v>
      </c>
      <c r="U70" s="119">
        <f>IF(non_energy_expenses_ds="Yes",Inputs!V203,0)</f>
        <v>0</v>
      </c>
      <c r="V70" s="119">
        <f>IF(non_energy_expenses_ds="Yes",Inputs!W203,0)</f>
        <v>0</v>
      </c>
      <c r="W70" s="119">
        <f>IF(non_energy_expenses_ds="Yes",Inputs!X203,0)</f>
        <v>0</v>
      </c>
      <c r="X70" s="119">
        <f>IF(non_energy_expenses_ds="Yes",Inputs!Y203,0)</f>
        <v>0</v>
      </c>
      <c r="Y70" s="119">
        <f>IF(non_energy_expenses_ds="Yes",Inputs!Z203,0)</f>
        <v>0</v>
      </c>
      <c r="Z70" s="119">
        <f>IF(non_energy_expenses_ds="Yes",Inputs!AA203,0)</f>
        <v>0</v>
      </c>
      <c r="AA70" s="119">
        <f>IF(non_energy_expenses_ds="Yes",Inputs!AB203,0)</f>
        <v>0</v>
      </c>
      <c r="AB70" s="119">
        <f>IF(non_energy_expenses_ds="Yes",Inputs!AC203,0)</f>
        <v>0</v>
      </c>
      <c r="AC70" s="119">
        <f>IF(non_energy_expenses_ds="Yes",Inputs!AD203,0)</f>
        <v>0</v>
      </c>
      <c r="AD70" s="119">
        <f>IF(non_energy_expenses_ds="Yes",Inputs!AE203,0)</f>
        <v>0</v>
      </c>
      <c r="AE70" s="119">
        <f>IF(non_energy_expenses_ds="Yes",Inputs!AF203,0)</f>
        <v>0</v>
      </c>
      <c r="AF70" s="119">
        <f>IF(non_energy_expenses_ds="Yes",Inputs!AG203,0)</f>
        <v>0</v>
      </c>
      <c r="AG70" s="119">
        <f>IF(non_energy_expenses_ds="Yes",Inputs!AH203,0)</f>
        <v>0</v>
      </c>
      <c r="AH70" s="119">
        <f>IF(non_energy_expenses_ds="Yes",Inputs!AI203,0)</f>
        <v>0</v>
      </c>
      <c r="AI70" s="119">
        <f>IF(non_energy_expenses_ds="Yes",Inputs!AJ203,0)</f>
        <v>0</v>
      </c>
      <c r="AJ70" s="119">
        <f>IF(non_energy_expenses_ds="Yes",Inputs!AK203,0)</f>
        <v>0</v>
      </c>
      <c r="AK70" s="119">
        <f>IF(non_energy_expenses_ds="Yes",Inputs!AL203,0)</f>
        <v>0</v>
      </c>
      <c r="AL70" s="119">
        <f>IF(non_energy_expenses_ds="Yes",Inputs!AM203,0)</f>
        <v>0</v>
      </c>
      <c r="AM70" s="119">
        <f>IF(non_energy_expenses_ds="Yes",Inputs!AN203,0)</f>
        <v>0</v>
      </c>
      <c r="AN70" s="119">
        <f>IF(non_energy_expenses_ds="Yes",Inputs!AO203,0)</f>
        <v>0</v>
      </c>
      <c r="AO70" s="119">
        <f>IF(non_energy_expenses_ds="Yes",Inputs!AP203,0)</f>
        <v>0</v>
      </c>
      <c r="AP70" s="119">
        <f>IF(non_energy_expenses_ds="Yes",Inputs!AQ203,0)</f>
        <v>0</v>
      </c>
    </row>
    <row r="71" spans="1:42" x14ac:dyDescent="0.4">
      <c r="A71" s="27" t="s">
        <v>19</v>
      </c>
      <c r="B71" s="136">
        <f>B70+B69</f>
        <v>0</v>
      </c>
      <c r="C71" s="136">
        <f>C70+C69</f>
        <v>666327.01</v>
      </c>
      <c r="D71" s="136">
        <f t="shared" ref="D71:AP71" si="22">D70+D69</f>
        <v>682924.33749999991</v>
      </c>
      <c r="E71" s="136">
        <f t="shared" si="22"/>
        <v>699916.26718749991</v>
      </c>
      <c r="F71" s="136">
        <f t="shared" si="22"/>
        <v>717333.80561718752</v>
      </c>
      <c r="G71" s="136">
        <f t="shared" si="22"/>
        <v>735188.98950761708</v>
      </c>
      <c r="H71" s="136">
        <f t="shared" si="22"/>
        <v>753491.79149530758</v>
      </c>
      <c r="I71" s="136">
        <f t="shared" si="22"/>
        <v>772253.02603269031</v>
      </c>
      <c r="J71" s="136">
        <f t="shared" si="22"/>
        <v>791483.93543350731</v>
      </c>
      <c r="K71" s="136">
        <f t="shared" si="22"/>
        <v>811196.09606934502</v>
      </c>
      <c r="L71" s="136">
        <f t="shared" si="22"/>
        <v>4774016.4747210778</v>
      </c>
      <c r="M71" s="136">
        <f t="shared" si="22"/>
        <v>851222.20508910553</v>
      </c>
      <c r="N71" s="136">
        <f t="shared" si="22"/>
        <v>872442.70446633315</v>
      </c>
      <c r="O71" s="136">
        <f t="shared" si="22"/>
        <v>894194.86057799135</v>
      </c>
      <c r="P71" s="136">
        <f t="shared" si="22"/>
        <v>916494.15859244112</v>
      </c>
      <c r="Q71" s="136">
        <f t="shared" si="22"/>
        <v>939351.93830725213</v>
      </c>
      <c r="R71" s="136">
        <f t="shared" si="22"/>
        <v>962782.45151493361</v>
      </c>
      <c r="S71" s="136">
        <f t="shared" si="22"/>
        <v>986799.05955280666</v>
      </c>
      <c r="T71" s="136">
        <f t="shared" si="22"/>
        <v>1011417.6310416268</v>
      </c>
      <c r="U71" s="136">
        <f t="shared" si="22"/>
        <v>1036651.3398176675</v>
      </c>
      <c r="V71" s="136">
        <f t="shared" si="22"/>
        <v>6109420.1430631094</v>
      </c>
      <c r="W71" s="136">
        <f t="shared" si="22"/>
        <v>1089322.9096396868</v>
      </c>
      <c r="X71" s="136">
        <f t="shared" si="22"/>
        <v>1116487.488630679</v>
      </c>
      <c r="Y71" s="136">
        <f t="shared" si="22"/>
        <v>1144332.3080964456</v>
      </c>
      <c r="Z71" s="136">
        <f t="shared" si="22"/>
        <v>1172876.3640488568</v>
      </c>
      <c r="AA71" s="136">
        <f t="shared" si="22"/>
        <v>1202137.3196500782</v>
      </c>
      <c r="AB71" s="136">
        <f t="shared" si="22"/>
        <v>0</v>
      </c>
      <c r="AC71" s="136">
        <f t="shared" si="22"/>
        <v>0</v>
      </c>
      <c r="AD71" s="136">
        <f t="shared" si="22"/>
        <v>0</v>
      </c>
      <c r="AE71" s="136">
        <f t="shared" si="22"/>
        <v>0</v>
      </c>
      <c r="AF71" s="136">
        <f t="shared" si="22"/>
        <v>0</v>
      </c>
      <c r="AG71" s="136">
        <f t="shared" si="22"/>
        <v>0</v>
      </c>
      <c r="AH71" s="136">
        <f t="shared" si="22"/>
        <v>0</v>
      </c>
      <c r="AI71" s="136">
        <f t="shared" si="22"/>
        <v>0</v>
      </c>
      <c r="AJ71" s="136">
        <f t="shared" si="22"/>
        <v>0</v>
      </c>
      <c r="AK71" s="136">
        <f t="shared" si="22"/>
        <v>0</v>
      </c>
      <c r="AL71" s="136">
        <f t="shared" si="22"/>
        <v>0</v>
      </c>
      <c r="AM71" s="136">
        <f t="shared" si="22"/>
        <v>0</v>
      </c>
      <c r="AN71" s="136">
        <f t="shared" si="22"/>
        <v>0</v>
      </c>
      <c r="AO71" s="136">
        <f t="shared" si="22"/>
        <v>0</v>
      </c>
      <c r="AP71" s="136">
        <f t="shared" si="22"/>
        <v>0</v>
      </c>
    </row>
    <row r="73" spans="1:42" x14ac:dyDescent="0.4">
      <c r="A73" s="205" t="s">
        <v>29</v>
      </c>
      <c r="B73" s="27"/>
      <c r="C73" s="136">
        <f>C33-C71</f>
        <v>3914452.99</v>
      </c>
      <c r="D73" s="136">
        <f t="shared" ref="D73:AP73" si="23">D33-D71</f>
        <v>3874825.6625000001</v>
      </c>
      <c r="E73" s="136">
        <f t="shared" si="23"/>
        <v>3835443.7328125001</v>
      </c>
      <c r="F73" s="136">
        <f t="shared" si="23"/>
        <v>3795636.1943828124</v>
      </c>
      <c r="G73" s="136">
        <f t="shared" si="23"/>
        <v>3755261.010492383</v>
      </c>
      <c r="H73" s="136">
        <f t="shared" si="23"/>
        <v>3714248.2085046927</v>
      </c>
      <c r="I73" s="136">
        <f t="shared" si="23"/>
        <v>3672646.9739673096</v>
      </c>
      <c r="J73" s="136">
        <f t="shared" si="23"/>
        <v>3630466.0645664926</v>
      </c>
      <c r="K73" s="136">
        <f t="shared" si="23"/>
        <v>3587673.9039306547</v>
      </c>
      <c r="L73" s="136">
        <f t="shared" si="23"/>
        <v>-400816.47472107783</v>
      </c>
      <c r="M73" s="136">
        <f t="shared" si="23"/>
        <v>1347377.7949108945</v>
      </c>
      <c r="N73" s="136">
        <f t="shared" si="23"/>
        <v>1314437.2955336669</v>
      </c>
      <c r="O73" s="136">
        <f t="shared" si="23"/>
        <v>1280985.1394220088</v>
      </c>
      <c r="P73" s="136">
        <f t="shared" si="23"/>
        <v>1246995.8414075589</v>
      </c>
      <c r="Q73" s="136">
        <f t="shared" si="23"/>
        <v>1212418.0616927478</v>
      </c>
      <c r="R73" s="136">
        <f t="shared" si="23"/>
        <v>1177267.5484850663</v>
      </c>
      <c r="S73" s="136">
        <f t="shared" si="23"/>
        <v>1141510.9404471933</v>
      </c>
      <c r="T73" s="136">
        <f t="shared" si="23"/>
        <v>1105142.3689583731</v>
      </c>
      <c r="U73" s="136">
        <f t="shared" si="23"/>
        <v>1068158.6601823326</v>
      </c>
      <c r="V73" s="136">
        <f t="shared" si="23"/>
        <v>-4017770.1430631094</v>
      </c>
      <c r="W73" s="136">
        <f t="shared" si="23"/>
        <v>990447.09036031319</v>
      </c>
      <c r="X73" s="136">
        <f t="shared" si="23"/>
        <v>951542.51136932103</v>
      </c>
      <c r="Y73" s="136">
        <f t="shared" si="23"/>
        <v>912007.69190355437</v>
      </c>
      <c r="Z73" s="136">
        <f t="shared" si="23"/>
        <v>871763.63595114322</v>
      </c>
      <c r="AA73" s="136">
        <f t="shared" si="23"/>
        <v>7214012.6803499218</v>
      </c>
      <c r="AB73" s="136">
        <f t="shared" si="23"/>
        <v>0</v>
      </c>
      <c r="AC73" s="136">
        <f t="shared" si="23"/>
        <v>0</v>
      </c>
      <c r="AD73" s="136">
        <f t="shared" si="23"/>
        <v>0</v>
      </c>
      <c r="AE73" s="136">
        <f t="shared" si="23"/>
        <v>0</v>
      </c>
      <c r="AF73" s="136">
        <f t="shared" si="23"/>
        <v>0</v>
      </c>
      <c r="AG73" s="136">
        <f t="shared" si="23"/>
        <v>0</v>
      </c>
      <c r="AH73" s="136">
        <f t="shared" si="23"/>
        <v>0</v>
      </c>
      <c r="AI73" s="136">
        <f t="shared" si="23"/>
        <v>0</v>
      </c>
      <c r="AJ73" s="136">
        <f t="shared" si="23"/>
        <v>0</v>
      </c>
      <c r="AK73" s="136">
        <f t="shared" si="23"/>
        <v>0</v>
      </c>
      <c r="AL73" s="136">
        <f t="shared" si="23"/>
        <v>0</v>
      </c>
      <c r="AM73" s="136">
        <f t="shared" si="23"/>
        <v>0</v>
      </c>
      <c r="AN73" s="136">
        <f t="shared" si="23"/>
        <v>0</v>
      </c>
      <c r="AO73" s="136">
        <f t="shared" si="23"/>
        <v>0</v>
      </c>
      <c r="AP73" s="136">
        <f t="shared" si="23"/>
        <v>0</v>
      </c>
    </row>
    <row r="74" spans="1:42" x14ac:dyDescent="0.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row>
    <row r="75" spans="1:42" x14ac:dyDescent="0.4">
      <c r="A75" s="80" t="s">
        <v>59</v>
      </c>
      <c r="B75" s="7"/>
      <c r="C75" s="212"/>
      <c r="D75" s="212"/>
      <c r="E75" s="212"/>
      <c r="F75" s="212"/>
      <c r="G75" s="212"/>
      <c r="H75" s="212"/>
      <c r="I75" s="212"/>
      <c r="J75" s="212"/>
      <c r="K75" s="212"/>
      <c r="L75" s="212"/>
      <c r="M75" s="212"/>
      <c r="N75" s="212"/>
      <c r="O75" s="212"/>
      <c r="P75" s="212"/>
      <c r="Q75" s="212"/>
      <c r="R75" s="212"/>
      <c r="S75" s="212"/>
      <c r="T75" s="212"/>
      <c r="U75" s="212"/>
      <c r="V75" s="212"/>
      <c r="W75" s="212"/>
      <c r="X75" s="212"/>
      <c r="Y75" s="212"/>
      <c r="Z75" s="212"/>
      <c r="AA75" s="212"/>
      <c r="AB75" s="212"/>
      <c r="AC75" s="212"/>
      <c r="AD75" s="212"/>
      <c r="AE75" s="212"/>
      <c r="AF75" s="212"/>
      <c r="AG75" s="212"/>
      <c r="AH75" s="212"/>
      <c r="AI75" s="212"/>
      <c r="AJ75" s="212"/>
      <c r="AK75" s="212"/>
      <c r="AL75" s="212"/>
      <c r="AM75" s="212"/>
      <c r="AN75" s="212"/>
      <c r="AO75" s="212"/>
      <c r="AP75" s="212"/>
    </row>
    <row r="76" spans="1:42" x14ac:dyDescent="0.4">
      <c r="A76" s="19" t="s">
        <v>219</v>
      </c>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row>
    <row r="77" spans="1:42" x14ac:dyDescent="0.4">
      <c r="A77" s="17" t="s">
        <v>29</v>
      </c>
      <c r="B77" s="119"/>
      <c r="C77" s="119">
        <f>C73</f>
        <v>3914452.99</v>
      </c>
      <c r="D77" s="119">
        <f t="shared" ref="D77:AP77" si="24">D73</f>
        <v>3874825.6625000001</v>
      </c>
      <c r="E77" s="119">
        <f t="shared" si="24"/>
        <v>3835443.7328125001</v>
      </c>
      <c r="F77" s="119">
        <f t="shared" si="24"/>
        <v>3795636.1943828124</v>
      </c>
      <c r="G77" s="119">
        <f t="shared" si="24"/>
        <v>3755261.010492383</v>
      </c>
      <c r="H77" s="119">
        <f t="shared" si="24"/>
        <v>3714248.2085046927</v>
      </c>
      <c r="I77" s="119">
        <f t="shared" si="24"/>
        <v>3672646.9739673096</v>
      </c>
      <c r="J77" s="119">
        <f t="shared" si="24"/>
        <v>3630466.0645664926</v>
      </c>
      <c r="K77" s="119">
        <f t="shared" si="24"/>
        <v>3587673.9039306547</v>
      </c>
      <c r="L77" s="119">
        <f t="shared" si="24"/>
        <v>-400816.47472107783</v>
      </c>
      <c r="M77" s="119">
        <f t="shared" si="24"/>
        <v>1347377.7949108945</v>
      </c>
      <c r="N77" s="119">
        <f t="shared" si="24"/>
        <v>1314437.2955336669</v>
      </c>
      <c r="O77" s="119">
        <f t="shared" si="24"/>
        <v>1280985.1394220088</v>
      </c>
      <c r="P77" s="119">
        <f t="shared" si="24"/>
        <v>1246995.8414075589</v>
      </c>
      <c r="Q77" s="119">
        <f t="shared" si="24"/>
        <v>1212418.0616927478</v>
      </c>
      <c r="R77" s="119">
        <f t="shared" si="24"/>
        <v>1177267.5484850663</v>
      </c>
      <c r="S77" s="119">
        <f t="shared" si="24"/>
        <v>1141510.9404471933</v>
      </c>
      <c r="T77" s="119">
        <f t="shared" si="24"/>
        <v>1105142.3689583731</v>
      </c>
      <c r="U77" s="119">
        <f t="shared" si="24"/>
        <v>1068158.6601823326</v>
      </c>
      <c r="V77" s="119">
        <f t="shared" si="24"/>
        <v>-4017770.1430631094</v>
      </c>
      <c r="W77" s="119">
        <f t="shared" si="24"/>
        <v>990447.09036031319</v>
      </c>
      <c r="X77" s="119">
        <f t="shared" si="24"/>
        <v>951542.51136932103</v>
      </c>
      <c r="Y77" s="119">
        <f t="shared" si="24"/>
        <v>912007.69190355437</v>
      </c>
      <c r="Z77" s="119">
        <f t="shared" si="24"/>
        <v>871763.63595114322</v>
      </c>
      <c r="AA77" s="119">
        <f t="shared" si="24"/>
        <v>7214012.6803499218</v>
      </c>
      <c r="AB77" s="119">
        <f t="shared" si="24"/>
        <v>0</v>
      </c>
      <c r="AC77" s="119">
        <f t="shared" si="24"/>
        <v>0</v>
      </c>
      <c r="AD77" s="119">
        <f t="shared" si="24"/>
        <v>0</v>
      </c>
      <c r="AE77" s="119">
        <f t="shared" si="24"/>
        <v>0</v>
      </c>
      <c r="AF77" s="119">
        <f t="shared" si="24"/>
        <v>0</v>
      </c>
      <c r="AG77" s="119">
        <f t="shared" si="24"/>
        <v>0</v>
      </c>
      <c r="AH77" s="119">
        <f t="shared" si="24"/>
        <v>0</v>
      </c>
      <c r="AI77" s="119">
        <f t="shared" si="24"/>
        <v>0</v>
      </c>
      <c r="AJ77" s="119">
        <f t="shared" si="24"/>
        <v>0</v>
      </c>
      <c r="AK77" s="119">
        <f t="shared" si="24"/>
        <v>0</v>
      </c>
      <c r="AL77" s="119">
        <f t="shared" si="24"/>
        <v>0</v>
      </c>
      <c r="AM77" s="119">
        <f t="shared" si="24"/>
        <v>0</v>
      </c>
      <c r="AN77" s="119">
        <f t="shared" si="24"/>
        <v>0</v>
      </c>
      <c r="AO77" s="119">
        <f t="shared" si="24"/>
        <v>0</v>
      </c>
      <c r="AP77" s="119">
        <f t="shared" si="24"/>
        <v>0</v>
      </c>
    </row>
    <row r="78" spans="1:42" x14ac:dyDescent="0.4">
      <c r="A78" s="17" t="s">
        <v>156</v>
      </c>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row>
    <row r="79" spans="1:42" x14ac:dyDescent="0.4">
      <c r="A79" s="21" t="str">
        <f>A26</f>
        <v>Federal</v>
      </c>
      <c r="B79" s="97"/>
      <c r="C79" s="119">
        <f t="shared" ref="C79:AP79" si="25">IF(pbi_fed_for_ds="Yes",0,C591)</f>
        <v>0</v>
      </c>
      <c r="D79" s="119">
        <f t="shared" si="25"/>
        <v>0</v>
      </c>
      <c r="E79" s="119">
        <f t="shared" si="25"/>
        <v>0</v>
      </c>
      <c r="F79" s="119">
        <f t="shared" si="25"/>
        <v>0</v>
      </c>
      <c r="G79" s="119">
        <f t="shared" si="25"/>
        <v>0</v>
      </c>
      <c r="H79" s="119">
        <f t="shared" si="25"/>
        <v>0</v>
      </c>
      <c r="I79" s="119">
        <f t="shared" si="25"/>
        <v>0</v>
      </c>
      <c r="J79" s="119">
        <f t="shared" si="25"/>
        <v>0</v>
      </c>
      <c r="K79" s="119">
        <f t="shared" si="25"/>
        <v>0</v>
      </c>
      <c r="L79" s="119">
        <f t="shared" si="25"/>
        <v>0</v>
      </c>
      <c r="M79" s="119">
        <f t="shared" si="25"/>
        <v>0</v>
      </c>
      <c r="N79" s="119">
        <f t="shared" si="25"/>
        <v>0</v>
      </c>
      <c r="O79" s="119">
        <f t="shared" si="25"/>
        <v>0</v>
      </c>
      <c r="P79" s="119">
        <f t="shared" si="25"/>
        <v>0</v>
      </c>
      <c r="Q79" s="119">
        <f t="shared" si="25"/>
        <v>0</v>
      </c>
      <c r="R79" s="119">
        <f t="shared" si="25"/>
        <v>0</v>
      </c>
      <c r="S79" s="119">
        <f t="shared" si="25"/>
        <v>0</v>
      </c>
      <c r="T79" s="119">
        <f t="shared" si="25"/>
        <v>0</v>
      </c>
      <c r="U79" s="119">
        <f t="shared" si="25"/>
        <v>0</v>
      </c>
      <c r="V79" s="119">
        <f t="shared" si="25"/>
        <v>0</v>
      </c>
      <c r="W79" s="119">
        <f t="shared" si="25"/>
        <v>0</v>
      </c>
      <c r="X79" s="119">
        <f t="shared" si="25"/>
        <v>0</v>
      </c>
      <c r="Y79" s="119">
        <f t="shared" si="25"/>
        <v>0</v>
      </c>
      <c r="Z79" s="119">
        <f t="shared" si="25"/>
        <v>0</v>
      </c>
      <c r="AA79" s="119">
        <f t="shared" si="25"/>
        <v>0</v>
      </c>
      <c r="AB79" s="119">
        <f t="shared" si="25"/>
        <v>0</v>
      </c>
      <c r="AC79" s="119">
        <f t="shared" si="25"/>
        <v>0</v>
      </c>
      <c r="AD79" s="119">
        <f t="shared" si="25"/>
        <v>0</v>
      </c>
      <c r="AE79" s="119">
        <f t="shared" si="25"/>
        <v>0</v>
      </c>
      <c r="AF79" s="119">
        <f t="shared" si="25"/>
        <v>0</v>
      </c>
      <c r="AG79" s="119">
        <f t="shared" si="25"/>
        <v>0</v>
      </c>
      <c r="AH79" s="119">
        <f t="shared" si="25"/>
        <v>0</v>
      </c>
      <c r="AI79" s="119">
        <f t="shared" si="25"/>
        <v>0</v>
      </c>
      <c r="AJ79" s="119">
        <f t="shared" si="25"/>
        <v>0</v>
      </c>
      <c r="AK79" s="119">
        <f t="shared" si="25"/>
        <v>0</v>
      </c>
      <c r="AL79" s="119">
        <f t="shared" si="25"/>
        <v>0</v>
      </c>
      <c r="AM79" s="119">
        <f t="shared" si="25"/>
        <v>0</v>
      </c>
      <c r="AN79" s="119">
        <f t="shared" si="25"/>
        <v>0</v>
      </c>
      <c r="AO79" s="119">
        <f t="shared" si="25"/>
        <v>0</v>
      </c>
      <c r="AP79" s="119">
        <f t="shared" si="25"/>
        <v>0</v>
      </c>
    </row>
    <row r="80" spans="1:42" x14ac:dyDescent="0.4">
      <c r="A80" s="21" t="str">
        <f>A27</f>
        <v>State</v>
      </c>
      <c r="B80" s="97"/>
      <c r="C80" s="119">
        <f t="shared" ref="C80:AP80" si="26">IF(pbi_sta_for_ds="Yes",0,C595)</f>
        <v>0</v>
      </c>
      <c r="D80" s="119">
        <f t="shared" si="26"/>
        <v>0</v>
      </c>
      <c r="E80" s="119">
        <f t="shared" si="26"/>
        <v>0</v>
      </c>
      <c r="F80" s="119">
        <f t="shared" si="26"/>
        <v>0</v>
      </c>
      <c r="G80" s="119">
        <f t="shared" si="26"/>
        <v>0</v>
      </c>
      <c r="H80" s="119">
        <f t="shared" si="26"/>
        <v>0</v>
      </c>
      <c r="I80" s="119">
        <f t="shared" si="26"/>
        <v>0</v>
      </c>
      <c r="J80" s="119">
        <f t="shared" si="26"/>
        <v>0</v>
      </c>
      <c r="K80" s="119">
        <f t="shared" si="26"/>
        <v>0</v>
      </c>
      <c r="L80" s="119">
        <f t="shared" si="26"/>
        <v>0</v>
      </c>
      <c r="M80" s="119">
        <f t="shared" si="26"/>
        <v>0</v>
      </c>
      <c r="N80" s="119">
        <f t="shared" si="26"/>
        <v>0</v>
      </c>
      <c r="O80" s="119">
        <f t="shared" si="26"/>
        <v>0</v>
      </c>
      <c r="P80" s="119">
        <f t="shared" si="26"/>
        <v>0</v>
      </c>
      <c r="Q80" s="119">
        <f t="shared" si="26"/>
        <v>0</v>
      </c>
      <c r="R80" s="119">
        <f t="shared" si="26"/>
        <v>0</v>
      </c>
      <c r="S80" s="119">
        <f t="shared" si="26"/>
        <v>0</v>
      </c>
      <c r="T80" s="119">
        <f t="shared" si="26"/>
        <v>0</v>
      </c>
      <c r="U80" s="119">
        <f t="shared" si="26"/>
        <v>0</v>
      </c>
      <c r="V80" s="119">
        <f t="shared" si="26"/>
        <v>0</v>
      </c>
      <c r="W80" s="119">
        <f t="shared" si="26"/>
        <v>0</v>
      </c>
      <c r="X80" s="119">
        <f t="shared" si="26"/>
        <v>0</v>
      </c>
      <c r="Y80" s="119">
        <f t="shared" si="26"/>
        <v>0</v>
      </c>
      <c r="Z80" s="119">
        <f t="shared" si="26"/>
        <v>0</v>
      </c>
      <c r="AA80" s="119">
        <f t="shared" si="26"/>
        <v>0</v>
      </c>
      <c r="AB80" s="119">
        <f t="shared" si="26"/>
        <v>0</v>
      </c>
      <c r="AC80" s="119">
        <f t="shared" si="26"/>
        <v>0</v>
      </c>
      <c r="AD80" s="119">
        <f t="shared" si="26"/>
        <v>0</v>
      </c>
      <c r="AE80" s="119">
        <f t="shared" si="26"/>
        <v>0</v>
      </c>
      <c r="AF80" s="119">
        <f t="shared" si="26"/>
        <v>0</v>
      </c>
      <c r="AG80" s="119">
        <f t="shared" si="26"/>
        <v>0</v>
      </c>
      <c r="AH80" s="119">
        <f t="shared" si="26"/>
        <v>0</v>
      </c>
      <c r="AI80" s="119">
        <f t="shared" si="26"/>
        <v>0</v>
      </c>
      <c r="AJ80" s="119">
        <f t="shared" si="26"/>
        <v>0</v>
      </c>
      <c r="AK80" s="119">
        <f t="shared" si="26"/>
        <v>0</v>
      </c>
      <c r="AL80" s="119">
        <f t="shared" si="26"/>
        <v>0</v>
      </c>
      <c r="AM80" s="119">
        <f t="shared" si="26"/>
        <v>0</v>
      </c>
      <c r="AN80" s="119">
        <f t="shared" si="26"/>
        <v>0</v>
      </c>
      <c r="AO80" s="119">
        <f t="shared" si="26"/>
        <v>0</v>
      </c>
      <c r="AP80" s="119">
        <f t="shared" si="26"/>
        <v>0</v>
      </c>
    </row>
    <row r="81" spans="1:42" x14ac:dyDescent="0.4">
      <c r="A81" s="21" t="str">
        <f>A28</f>
        <v>Utility</v>
      </c>
      <c r="B81" s="97"/>
      <c r="C81" s="119">
        <f t="shared" ref="C81:AP81" si="27">IF(pbi_uti_for_ds="Yes",0,C599)</f>
        <v>0</v>
      </c>
      <c r="D81" s="119">
        <f t="shared" si="27"/>
        <v>0</v>
      </c>
      <c r="E81" s="119">
        <f t="shared" si="27"/>
        <v>0</v>
      </c>
      <c r="F81" s="119">
        <f t="shared" si="27"/>
        <v>0</v>
      </c>
      <c r="G81" s="119">
        <f t="shared" si="27"/>
        <v>0</v>
      </c>
      <c r="H81" s="119">
        <f t="shared" si="27"/>
        <v>0</v>
      </c>
      <c r="I81" s="119">
        <f t="shared" si="27"/>
        <v>0</v>
      </c>
      <c r="J81" s="119">
        <f t="shared" si="27"/>
        <v>0</v>
      </c>
      <c r="K81" s="119">
        <f t="shared" si="27"/>
        <v>0</v>
      </c>
      <c r="L81" s="119">
        <f t="shared" si="27"/>
        <v>0</v>
      </c>
      <c r="M81" s="119">
        <f t="shared" si="27"/>
        <v>0</v>
      </c>
      <c r="N81" s="119">
        <f t="shared" si="27"/>
        <v>0</v>
      </c>
      <c r="O81" s="119">
        <f t="shared" si="27"/>
        <v>0</v>
      </c>
      <c r="P81" s="119">
        <f t="shared" si="27"/>
        <v>0</v>
      </c>
      <c r="Q81" s="119">
        <f t="shared" si="27"/>
        <v>0</v>
      </c>
      <c r="R81" s="119">
        <f t="shared" si="27"/>
        <v>0</v>
      </c>
      <c r="S81" s="119">
        <f t="shared" si="27"/>
        <v>0</v>
      </c>
      <c r="T81" s="119">
        <f t="shared" si="27"/>
        <v>0</v>
      </c>
      <c r="U81" s="119">
        <f t="shared" si="27"/>
        <v>0</v>
      </c>
      <c r="V81" s="119">
        <f t="shared" si="27"/>
        <v>0</v>
      </c>
      <c r="W81" s="119">
        <f t="shared" si="27"/>
        <v>0</v>
      </c>
      <c r="X81" s="119">
        <f t="shared" si="27"/>
        <v>0</v>
      </c>
      <c r="Y81" s="119">
        <f t="shared" si="27"/>
        <v>0</v>
      </c>
      <c r="Z81" s="119">
        <f t="shared" si="27"/>
        <v>0</v>
      </c>
      <c r="AA81" s="119">
        <f t="shared" si="27"/>
        <v>0</v>
      </c>
      <c r="AB81" s="119">
        <f t="shared" si="27"/>
        <v>0</v>
      </c>
      <c r="AC81" s="119">
        <f t="shared" si="27"/>
        <v>0</v>
      </c>
      <c r="AD81" s="119">
        <f t="shared" si="27"/>
        <v>0</v>
      </c>
      <c r="AE81" s="119">
        <f t="shared" si="27"/>
        <v>0</v>
      </c>
      <c r="AF81" s="119">
        <f t="shared" si="27"/>
        <v>0</v>
      </c>
      <c r="AG81" s="119">
        <f t="shared" si="27"/>
        <v>0</v>
      </c>
      <c r="AH81" s="119">
        <f t="shared" si="27"/>
        <v>0</v>
      </c>
      <c r="AI81" s="119">
        <f t="shared" si="27"/>
        <v>0</v>
      </c>
      <c r="AJ81" s="119">
        <f t="shared" si="27"/>
        <v>0</v>
      </c>
      <c r="AK81" s="119">
        <f t="shared" si="27"/>
        <v>0</v>
      </c>
      <c r="AL81" s="119">
        <f t="shared" si="27"/>
        <v>0</v>
      </c>
      <c r="AM81" s="119">
        <f t="shared" si="27"/>
        <v>0</v>
      </c>
      <c r="AN81" s="119">
        <f t="shared" si="27"/>
        <v>0</v>
      </c>
      <c r="AO81" s="119">
        <f t="shared" si="27"/>
        <v>0</v>
      </c>
      <c r="AP81" s="119">
        <f t="shared" si="27"/>
        <v>0</v>
      </c>
    </row>
    <row r="82" spans="1:42" x14ac:dyDescent="0.4">
      <c r="A82" s="21" t="str">
        <f>A29</f>
        <v>Other</v>
      </c>
      <c r="B82" s="97"/>
      <c r="C82" s="120">
        <f t="shared" ref="C82:AP82" si="28">IF(pbi_oth_for_ds="Yes",0,C603)</f>
        <v>0</v>
      </c>
      <c r="D82" s="120">
        <f t="shared" si="28"/>
        <v>0</v>
      </c>
      <c r="E82" s="120">
        <f t="shared" si="28"/>
        <v>0</v>
      </c>
      <c r="F82" s="120">
        <f t="shared" si="28"/>
        <v>0</v>
      </c>
      <c r="G82" s="120">
        <f t="shared" si="28"/>
        <v>0</v>
      </c>
      <c r="H82" s="120">
        <f t="shared" si="28"/>
        <v>0</v>
      </c>
      <c r="I82" s="120">
        <f t="shared" si="28"/>
        <v>0</v>
      </c>
      <c r="J82" s="120">
        <f t="shared" si="28"/>
        <v>0</v>
      </c>
      <c r="K82" s="120">
        <f t="shared" si="28"/>
        <v>0</v>
      </c>
      <c r="L82" s="120">
        <f t="shared" si="28"/>
        <v>0</v>
      </c>
      <c r="M82" s="120">
        <f t="shared" si="28"/>
        <v>0</v>
      </c>
      <c r="N82" s="120">
        <f t="shared" si="28"/>
        <v>0</v>
      </c>
      <c r="O82" s="120">
        <f t="shared" si="28"/>
        <v>0</v>
      </c>
      <c r="P82" s="120">
        <f t="shared" si="28"/>
        <v>0</v>
      </c>
      <c r="Q82" s="120">
        <f t="shared" si="28"/>
        <v>0</v>
      </c>
      <c r="R82" s="120">
        <f t="shared" si="28"/>
        <v>0</v>
      </c>
      <c r="S82" s="120">
        <f t="shared" si="28"/>
        <v>0</v>
      </c>
      <c r="T82" s="120">
        <f t="shared" si="28"/>
        <v>0</v>
      </c>
      <c r="U82" s="120">
        <f t="shared" si="28"/>
        <v>0</v>
      </c>
      <c r="V82" s="120">
        <f t="shared" si="28"/>
        <v>0</v>
      </c>
      <c r="W82" s="120">
        <f t="shared" si="28"/>
        <v>0</v>
      </c>
      <c r="X82" s="120">
        <f t="shared" si="28"/>
        <v>0</v>
      </c>
      <c r="Y82" s="120">
        <f t="shared" si="28"/>
        <v>0</v>
      </c>
      <c r="Z82" s="120">
        <f t="shared" si="28"/>
        <v>0</v>
      </c>
      <c r="AA82" s="120">
        <f t="shared" si="28"/>
        <v>0</v>
      </c>
      <c r="AB82" s="120">
        <f t="shared" si="28"/>
        <v>0</v>
      </c>
      <c r="AC82" s="120">
        <f t="shared" si="28"/>
        <v>0</v>
      </c>
      <c r="AD82" s="120">
        <f t="shared" si="28"/>
        <v>0</v>
      </c>
      <c r="AE82" s="120">
        <f t="shared" si="28"/>
        <v>0</v>
      </c>
      <c r="AF82" s="120">
        <f t="shared" si="28"/>
        <v>0</v>
      </c>
      <c r="AG82" s="120">
        <f t="shared" si="28"/>
        <v>0</v>
      </c>
      <c r="AH82" s="120">
        <f t="shared" si="28"/>
        <v>0</v>
      </c>
      <c r="AI82" s="120">
        <f t="shared" si="28"/>
        <v>0</v>
      </c>
      <c r="AJ82" s="120">
        <f t="shared" si="28"/>
        <v>0</v>
      </c>
      <c r="AK82" s="120">
        <f t="shared" si="28"/>
        <v>0</v>
      </c>
      <c r="AL82" s="120">
        <f t="shared" si="28"/>
        <v>0</v>
      </c>
      <c r="AM82" s="120">
        <f t="shared" si="28"/>
        <v>0</v>
      </c>
      <c r="AN82" s="120">
        <f t="shared" si="28"/>
        <v>0</v>
      </c>
      <c r="AO82" s="120">
        <f t="shared" si="28"/>
        <v>0</v>
      </c>
      <c r="AP82" s="120">
        <f t="shared" si="28"/>
        <v>0</v>
      </c>
    </row>
    <row r="83" spans="1:42" x14ac:dyDescent="0.4">
      <c r="A83" s="21" t="s">
        <v>13</v>
      </c>
      <c r="B83" s="97"/>
      <c r="C83" s="119">
        <f>SUM(C79:C82)</f>
        <v>0</v>
      </c>
      <c r="D83" s="119">
        <f t="shared" ref="D83:AP83" si="29">SUM(D79:D82)</f>
        <v>0</v>
      </c>
      <c r="E83" s="119">
        <f t="shared" si="29"/>
        <v>0</v>
      </c>
      <c r="F83" s="119">
        <f t="shared" si="29"/>
        <v>0</v>
      </c>
      <c r="G83" s="119">
        <f t="shared" si="29"/>
        <v>0</v>
      </c>
      <c r="H83" s="119">
        <f t="shared" si="29"/>
        <v>0</v>
      </c>
      <c r="I83" s="119">
        <f t="shared" si="29"/>
        <v>0</v>
      </c>
      <c r="J83" s="119">
        <f t="shared" si="29"/>
        <v>0</v>
      </c>
      <c r="K83" s="119">
        <f t="shared" si="29"/>
        <v>0</v>
      </c>
      <c r="L83" s="119">
        <f t="shared" si="29"/>
        <v>0</v>
      </c>
      <c r="M83" s="119">
        <f t="shared" si="29"/>
        <v>0</v>
      </c>
      <c r="N83" s="119">
        <f t="shared" si="29"/>
        <v>0</v>
      </c>
      <c r="O83" s="119">
        <f t="shared" si="29"/>
        <v>0</v>
      </c>
      <c r="P83" s="119">
        <f t="shared" si="29"/>
        <v>0</v>
      </c>
      <c r="Q83" s="119">
        <f t="shared" si="29"/>
        <v>0</v>
      </c>
      <c r="R83" s="119">
        <f t="shared" si="29"/>
        <v>0</v>
      </c>
      <c r="S83" s="119">
        <f t="shared" si="29"/>
        <v>0</v>
      </c>
      <c r="T83" s="119">
        <f t="shared" si="29"/>
        <v>0</v>
      </c>
      <c r="U83" s="119">
        <f t="shared" si="29"/>
        <v>0</v>
      </c>
      <c r="V83" s="119">
        <f t="shared" si="29"/>
        <v>0</v>
      </c>
      <c r="W83" s="119">
        <f t="shared" si="29"/>
        <v>0</v>
      </c>
      <c r="X83" s="119">
        <f t="shared" si="29"/>
        <v>0</v>
      </c>
      <c r="Y83" s="119">
        <f t="shared" si="29"/>
        <v>0</v>
      </c>
      <c r="Z83" s="119">
        <f t="shared" si="29"/>
        <v>0</v>
      </c>
      <c r="AA83" s="119">
        <f t="shared" si="29"/>
        <v>0</v>
      </c>
      <c r="AB83" s="119">
        <f t="shared" si="29"/>
        <v>0</v>
      </c>
      <c r="AC83" s="119">
        <f t="shared" si="29"/>
        <v>0</v>
      </c>
      <c r="AD83" s="119">
        <f t="shared" si="29"/>
        <v>0</v>
      </c>
      <c r="AE83" s="119">
        <f t="shared" si="29"/>
        <v>0</v>
      </c>
      <c r="AF83" s="119">
        <f t="shared" si="29"/>
        <v>0</v>
      </c>
      <c r="AG83" s="119">
        <f t="shared" si="29"/>
        <v>0</v>
      </c>
      <c r="AH83" s="119">
        <f t="shared" si="29"/>
        <v>0</v>
      </c>
      <c r="AI83" s="119">
        <f t="shared" si="29"/>
        <v>0</v>
      </c>
      <c r="AJ83" s="119">
        <f t="shared" si="29"/>
        <v>0</v>
      </c>
      <c r="AK83" s="119">
        <f t="shared" si="29"/>
        <v>0</v>
      </c>
      <c r="AL83" s="119">
        <f t="shared" si="29"/>
        <v>0</v>
      </c>
      <c r="AM83" s="119">
        <f t="shared" si="29"/>
        <v>0</v>
      </c>
      <c r="AN83" s="119">
        <f t="shared" si="29"/>
        <v>0</v>
      </c>
      <c r="AO83" s="119">
        <f t="shared" si="29"/>
        <v>0</v>
      </c>
      <c r="AP83" s="119">
        <f t="shared" si="29"/>
        <v>0</v>
      </c>
    </row>
    <row r="84" spans="1:42" x14ac:dyDescent="0.4">
      <c r="A84" s="17" t="s">
        <v>238</v>
      </c>
      <c r="B84" s="119">
        <v>0</v>
      </c>
      <c r="C84" s="119">
        <f t="shared" ref="C84:AP84" si="30">C751</f>
        <v>0</v>
      </c>
      <c r="D84" s="119">
        <f t="shared" si="30"/>
        <v>0</v>
      </c>
      <c r="E84" s="119">
        <f t="shared" si="30"/>
        <v>0</v>
      </c>
      <c r="F84" s="119">
        <f t="shared" si="30"/>
        <v>0</v>
      </c>
      <c r="G84" s="119">
        <f t="shared" si="30"/>
        <v>0</v>
      </c>
      <c r="H84" s="119">
        <f t="shared" si="30"/>
        <v>0</v>
      </c>
      <c r="I84" s="119">
        <f t="shared" si="30"/>
        <v>0</v>
      </c>
      <c r="J84" s="119">
        <f t="shared" si="30"/>
        <v>0</v>
      </c>
      <c r="K84" s="119">
        <f t="shared" si="30"/>
        <v>0</v>
      </c>
      <c r="L84" s="119">
        <f t="shared" si="30"/>
        <v>0</v>
      </c>
      <c r="M84" s="119">
        <f t="shared" si="30"/>
        <v>0</v>
      </c>
      <c r="N84" s="119">
        <f t="shared" si="30"/>
        <v>0</v>
      </c>
      <c r="O84" s="119">
        <f t="shared" si="30"/>
        <v>0</v>
      </c>
      <c r="P84" s="119">
        <f t="shared" si="30"/>
        <v>0</v>
      </c>
      <c r="Q84" s="119">
        <f t="shared" si="30"/>
        <v>0</v>
      </c>
      <c r="R84" s="119">
        <f t="shared" si="30"/>
        <v>0</v>
      </c>
      <c r="S84" s="119">
        <f t="shared" si="30"/>
        <v>0</v>
      </c>
      <c r="T84" s="119">
        <f t="shared" si="30"/>
        <v>0</v>
      </c>
      <c r="U84" s="119">
        <f t="shared" si="30"/>
        <v>0</v>
      </c>
      <c r="V84" s="119">
        <f t="shared" si="30"/>
        <v>0</v>
      </c>
      <c r="W84" s="119">
        <f t="shared" si="30"/>
        <v>0</v>
      </c>
      <c r="X84" s="119">
        <f t="shared" si="30"/>
        <v>0</v>
      </c>
      <c r="Y84" s="119">
        <f t="shared" si="30"/>
        <v>0</v>
      </c>
      <c r="Z84" s="119">
        <f t="shared" si="30"/>
        <v>0</v>
      </c>
      <c r="AA84" s="119">
        <f t="shared" si="30"/>
        <v>0</v>
      </c>
      <c r="AB84" s="119">
        <f t="shared" si="30"/>
        <v>0</v>
      </c>
      <c r="AC84" s="119">
        <f t="shared" si="30"/>
        <v>0</v>
      </c>
      <c r="AD84" s="119">
        <f t="shared" si="30"/>
        <v>0</v>
      </c>
      <c r="AE84" s="119">
        <f t="shared" si="30"/>
        <v>0</v>
      </c>
      <c r="AF84" s="119">
        <f t="shared" si="30"/>
        <v>0</v>
      </c>
      <c r="AG84" s="119">
        <f t="shared" si="30"/>
        <v>0</v>
      </c>
      <c r="AH84" s="119">
        <f t="shared" si="30"/>
        <v>0</v>
      </c>
      <c r="AI84" s="119">
        <f t="shared" si="30"/>
        <v>0</v>
      </c>
      <c r="AJ84" s="119">
        <f t="shared" si="30"/>
        <v>0</v>
      </c>
      <c r="AK84" s="119">
        <f t="shared" si="30"/>
        <v>0</v>
      </c>
      <c r="AL84" s="119">
        <f t="shared" si="30"/>
        <v>0</v>
      </c>
      <c r="AM84" s="119">
        <f t="shared" si="30"/>
        <v>0</v>
      </c>
      <c r="AN84" s="119">
        <f t="shared" si="30"/>
        <v>0</v>
      </c>
      <c r="AO84" s="119">
        <f t="shared" si="30"/>
        <v>0</v>
      </c>
      <c r="AP84" s="119">
        <f t="shared" si="30"/>
        <v>0</v>
      </c>
    </row>
    <row r="85" spans="1:42" x14ac:dyDescent="0.4">
      <c r="A85" s="17" t="s">
        <v>239</v>
      </c>
      <c r="B85" s="119">
        <v>0</v>
      </c>
      <c r="C85" s="119">
        <f t="shared" ref="C85:AP85" si="31">-C610</f>
        <v>-1246612.096875</v>
      </c>
      <c r="D85" s="119">
        <f t="shared" si="31"/>
        <v>-1153708.0160842501</v>
      </c>
      <c r="E85" s="119">
        <f t="shared" si="31"/>
        <v>-1057730.2243189483</v>
      </c>
      <c r="F85" s="119">
        <f t="shared" si="31"/>
        <v>-958515.30433800165</v>
      </c>
      <c r="G85" s="119">
        <f t="shared" si="31"/>
        <v>-855918.27801207989</v>
      </c>
      <c r="H85" s="119">
        <f t="shared" si="31"/>
        <v>-749792.5510273556</v>
      </c>
      <c r="I85" s="119">
        <f t="shared" si="31"/>
        <v>-639986.97424527432</v>
      </c>
      <c r="J85" s="119">
        <f t="shared" si="31"/>
        <v>-526340.89052885212</v>
      </c>
      <c r="K85" s="119">
        <f t="shared" si="31"/>
        <v>-408685.26258242904</v>
      </c>
      <c r="L85" s="119">
        <f t="shared" si="31"/>
        <v>-286843.8534634661</v>
      </c>
      <c r="M85" s="119">
        <f t="shared" si="31"/>
        <v>-317081.1455565088</v>
      </c>
      <c r="N85" s="119">
        <f t="shared" si="31"/>
        <v>-279502.50892838481</v>
      </c>
      <c r="O85" s="119">
        <f t="shared" si="31"/>
        <v>-241351.25531757824</v>
      </c>
      <c r="P85" s="119">
        <f t="shared" si="31"/>
        <v>-202619.04454456441</v>
      </c>
      <c r="Q85" s="119">
        <f t="shared" si="31"/>
        <v>-163298.13008110819</v>
      </c>
      <c r="R85" s="119">
        <f t="shared" si="31"/>
        <v>-123382.41404472952</v>
      </c>
      <c r="S85" s="119">
        <f t="shared" si="31"/>
        <v>-82864.869135284287</v>
      </c>
      <c r="T85" s="119">
        <f t="shared" si="31"/>
        <v>-41739.439691556618</v>
      </c>
      <c r="U85" s="119">
        <f t="shared" si="31"/>
        <v>0</v>
      </c>
      <c r="V85" s="119">
        <f t="shared" si="31"/>
        <v>0</v>
      </c>
      <c r="W85" s="119">
        <f t="shared" si="31"/>
        <v>0</v>
      </c>
      <c r="X85" s="119">
        <f t="shared" si="31"/>
        <v>0</v>
      </c>
      <c r="Y85" s="119">
        <f t="shared" si="31"/>
        <v>0</v>
      </c>
      <c r="Z85" s="119">
        <f t="shared" si="31"/>
        <v>0</v>
      </c>
      <c r="AA85" s="119">
        <f t="shared" si="31"/>
        <v>0</v>
      </c>
      <c r="AB85" s="119">
        <f t="shared" si="31"/>
        <v>0</v>
      </c>
      <c r="AC85" s="119">
        <f t="shared" si="31"/>
        <v>0</v>
      </c>
      <c r="AD85" s="119">
        <f t="shared" si="31"/>
        <v>0</v>
      </c>
      <c r="AE85" s="119">
        <f t="shared" si="31"/>
        <v>0</v>
      </c>
      <c r="AF85" s="119">
        <f t="shared" si="31"/>
        <v>0</v>
      </c>
      <c r="AG85" s="119">
        <f t="shared" si="31"/>
        <v>0</v>
      </c>
      <c r="AH85" s="119">
        <f t="shared" si="31"/>
        <v>0</v>
      </c>
      <c r="AI85" s="119">
        <f t="shared" si="31"/>
        <v>0</v>
      </c>
      <c r="AJ85" s="119">
        <f t="shared" si="31"/>
        <v>0</v>
      </c>
      <c r="AK85" s="119">
        <f t="shared" si="31"/>
        <v>0</v>
      </c>
      <c r="AL85" s="119">
        <f t="shared" si="31"/>
        <v>0</v>
      </c>
      <c r="AM85" s="119">
        <f t="shared" si="31"/>
        <v>0</v>
      </c>
      <c r="AN85" s="119">
        <f t="shared" si="31"/>
        <v>0</v>
      </c>
      <c r="AO85" s="119">
        <f t="shared" si="31"/>
        <v>0</v>
      </c>
      <c r="AP85" s="119">
        <f t="shared" si="31"/>
        <v>0</v>
      </c>
    </row>
    <row r="86" spans="1:42" x14ac:dyDescent="0.4">
      <c r="A86" s="17" t="s">
        <v>459</v>
      </c>
      <c r="B86" s="119"/>
      <c r="C86" s="119">
        <f>IF(non_energy_revenue_ds="No",Inputs!D166,0)</f>
        <v>0</v>
      </c>
      <c r="D86" s="119">
        <f>IF(non_energy_revenue_ds="No",Inputs!E166,0)</f>
        <v>0</v>
      </c>
      <c r="E86" s="119">
        <f>IF(non_energy_revenue_ds="No",Inputs!F166,0)</f>
        <v>0</v>
      </c>
      <c r="F86" s="119">
        <f>IF(non_energy_revenue_ds="No",Inputs!G166,0)</f>
        <v>0</v>
      </c>
      <c r="G86" s="119">
        <f>IF(non_energy_revenue_ds="No",Inputs!H166,0)</f>
        <v>0</v>
      </c>
      <c r="H86" s="119">
        <f>IF(non_energy_revenue_ds="No",Inputs!I166,0)</f>
        <v>0</v>
      </c>
      <c r="I86" s="119">
        <f>IF(non_energy_revenue_ds="No",Inputs!J166,0)</f>
        <v>0</v>
      </c>
      <c r="J86" s="119">
        <f>IF(non_energy_revenue_ds="No",Inputs!K166,0)</f>
        <v>0</v>
      </c>
      <c r="K86" s="119">
        <f>IF(non_energy_revenue_ds="No",Inputs!L166,0)</f>
        <v>0</v>
      </c>
      <c r="L86" s="119">
        <f>IF(non_energy_revenue_ds="No",Inputs!M166,0)</f>
        <v>0</v>
      </c>
      <c r="M86" s="119">
        <f>IF(non_energy_revenue_ds="No",Inputs!N166,0)</f>
        <v>0</v>
      </c>
      <c r="N86" s="119">
        <f>IF(non_energy_revenue_ds="No",Inputs!O166,0)</f>
        <v>0</v>
      </c>
      <c r="O86" s="119">
        <f>IF(non_energy_revenue_ds="No",Inputs!P166,0)</f>
        <v>0</v>
      </c>
      <c r="P86" s="119">
        <f>IF(non_energy_revenue_ds="No",Inputs!Q166,0)</f>
        <v>0</v>
      </c>
      <c r="Q86" s="119">
        <f>IF(non_energy_revenue_ds="No",Inputs!R166,0)</f>
        <v>0</v>
      </c>
      <c r="R86" s="119">
        <f>IF(non_energy_revenue_ds="No",Inputs!S166,0)</f>
        <v>0</v>
      </c>
      <c r="S86" s="119">
        <f>IF(non_energy_revenue_ds="No",Inputs!T166,0)</f>
        <v>0</v>
      </c>
      <c r="T86" s="119">
        <f>IF(non_energy_revenue_ds="No",Inputs!U166,0)</f>
        <v>0</v>
      </c>
      <c r="U86" s="119">
        <f>IF(non_energy_revenue_ds="No",Inputs!V166,0)</f>
        <v>0</v>
      </c>
      <c r="V86" s="119">
        <f>IF(non_energy_revenue_ds="No",Inputs!W166,0)</f>
        <v>0</v>
      </c>
      <c r="W86" s="119">
        <f>IF(non_energy_revenue_ds="No",Inputs!X166,0)</f>
        <v>0</v>
      </c>
      <c r="X86" s="119">
        <f>IF(non_energy_revenue_ds="No",Inputs!Y166,0)</f>
        <v>0</v>
      </c>
      <c r="Y86" s="119">
        <f>IF(non_energy_revenue_ds="No",Inputs!Z166,0)</f>
        <v>0</v>
      </c>
      <c r="Z86" s="119">
        <f>IF(non_energy_revenue_ds="No",Inputs!AA166,0)</f>
        <v>0</v>
      </c>
      <c r="AA86" s="119">
        <f>IF(non_energy_revenue_ds="No",Inputs!AB166,0)</f>
        <v>0</v>
      </c>
      <c r="AB86" s="119">
        <f>IF(non_energy_revenue_ds="No",Inputs!AC166,0)</f>
        <v>0</v>
      </c>
      <c r="AC86" s="119">
        <f>IF(non_energy_revenue_ds="No",Inputs!AD166,0)</f>
        <v>0</v>
      </c>
      <c r="AD86" s="119">
        <f>IF(non_energy_revenue_ds="No",Inputs!AE166,0)</f>
        <v>0</v>
      </c>
      <c r="AE86" s="119">
        <f>IF(non_energy_revenue_ds="No",Inputs!AF166,0)</f>
        <v>0</v>
      </c>
      <c r="AF86" s="119">
        <f>IF(non_energy_revenue_ds="No",Inputs!AG166,0)</f>
        <v>0</v>
      </c>
      <c r="AG86" s="119">
        <f>IF(non_energy_revenue_ds="No",Inputs!AH166,0)</f>
        <v>0</v>
      </c>
      <c r="AH86" s="119">
        <f>IF(non_energy_revenue_ds="No",Inputs!AI166,0)</f>
        <v>0</v>
      </c>
      <c r="AI86" s="119">
        <f>IF(non_energy_revenue_ds="No",Inputs!AJ166,0)</f>
        <v>0</v>
      </c>
      <c r="AJ86" s="119">
        <f>IF(non_energy_revenue_ds="No",Inputs!AK166,0)</f>
        <v>0</v>
      </c>
      <c r="AK86" s="119">
        <f>IF(non_energy_revenue_ds="No",Inputs!AL166,0)</f>
        <v>0</v>
      </c>
      <c r="AL86" s="119">
        <f>IF(non_energy_revenue_ds="No",Inputs!AM166,0)</f>
        <v>0</v>
      </c>
      <c r="AM86" s="119">
        <f>IF(non_energy_revenue_ds="No",Inputs!AN166,0)</f>
        <v>0</v>
      </c>
      <c r="AN86" s="119">
        <f>IF(non_energy_revenue_ds="No",Inputs!AO166,0)</f>
        <v>0</v>
      </c>
      <c r="AO86" s="119">
        <f>IF(non_energy_revenue_ds="No",Inputs!AP166,0)</f>
        <v>0</v>
      </c>
      <c r="AP86" s="119">
        <f>IF(non_energy_revenue_ds="No",Inputs!AQ166,0)</f>
        <v>0</v>
      </c>
    </row>
    <row r="87" spans="1:42" x14ac:dyDescent="0.4">
      <c r="A87" s="17" t="s">
        <v>458</v>
      </c>
      <c r="B87" s="119"/>
      <c r="C87" s="119">
        <f>IF(non_energy_expenses_ds="No",-Inputs!D203,0)</f>
        <v>0</v>
      </c>
      <c r="D87" s="119">
        <f>IF(non_energy_expenses_ds="No",-Inputs!E203,0)</f>
        <v>0</v>
      </c>
      <c r="E87" s="119">
        <f>IF(non_energy_expenses_ds="No",-Inputs!F203,0)</f>
        <v>0</v>
      </c>
      <c r="F87" s="119">
        <f>IF(non_energy_expenses_ds="No",-Inputs!G203,0)</f>
        <v>0</v>
      </c>
      <c r="G87" s="119">
        <f>IF(non_energy_expenses_ds="No",-Inputs!H203,0)</f>
        <v>0</v>
      </c>
      <c r="H87" s="119">
        <f>IF(non_energy_expenses_ds="No",-Inputs!I203,0)</f>
        <v>0</v>
      </c>
      <c r="I87" s="119">
        <f>IF(non_energy_expenses_ds="No",-Inputs!J203,0)</f>
        <v>0</v>
      </c>
      <c r="J87" s="119">
        <f>IF(non_energy_expenses_ds="No",-Inputs!K203,0)</f>
        <v>0</v>
      </c>
      <c r="K87" s="119">
        <f>IF(non_energy_expenses_ds="No",-Inputs!L203,0)</f>
        <v>0</v>
      </c>
      <c r="L87" s="119">
        <f>IF(non_energy_expenses_ds="No",-Inputs!M203,0)</f>
        <v>0</v>
      </c>
      <c r="M87" s="119">
        <f>IF(non_energy_expenses_ds="No",-Inputs!N203,0)</f>
        <v>0</v>
      </c>
      <c r="N87" s="119">
        <f>IF(non_energy_expenses_ds="No",-Inputs!O203,0)</f>
        <v>0</v>
      </c>
      <c r="O87" s="119">
        <f>IF(non_energy_expenses_ds="No",-Inputs!P203,0)</f>
        <v>0</v>
      </c>
      <c r="P87" s="119">
        <f>IF(non_energy_expenses_ds="No",-Inputs!Q203,0)</f>
        <v>0</v>
      </c>
      <c r="Q87" s="119">
        <f>IF(non_energy_expenses_ds="No",-Inputs!R203,0)</f>
        <v>0</v>
      </c>
      <c r="R87" s="119">
        <f>IF(non_energy_expenses_ds="No",-Inputs!S203,0)</f>
        <v>0</v>
      </c>
      <c r="S87" s="119">
        <f>IF(non_energy_expenses_ds="No",-Inputs!T203,0)</f>
        <v>0</v>
      </c>
      <c r="T87" s="119">
        <f>IF(non_energy_expenses_ds="No",-Inputs!U203,0)</f>
        <v>0</v>
      </c>
      <c r="U87" s="119">
        <f>IF(non_energy_expenses_ds="No",-Inputs!V203,0)</f>
        <v>0</v>
      </c>
      <c r="V87" s="119">
        <f>IF(non_energy_expenses_ds="No",-Inputs!W203,0)</f>
        <v>0</v>
      </c>
      <c r="W87" s="119">
        <f>IF(non_energy_expenses_ds="No",-Inputs!X203,0)</f>
        <v>0</v>
      </c>
      <c r="X87" s="119">
        <f>IF(non_energy_expenses_ds="No",-Inputs!Y203,0)</f>
        <v>0</v>
      </c>
      <c r="Y87" s="119">
        <f>IF(non_energy_expenses_ds="No",-Inputs!Z203,0)</f>
        <v>0</v>
      </c>
      <c r="Z87" s="119">
        <f>IF(non_energy_expenses_ds="No",-Inputs!AA203,0)</f>
        <v>0</v>
      </c>
      <c r="AA87" s="119">
        <f>IF(non_energy_expenses_ds="No",-Inputs!AB203,0)</f>
        <v>0</v>
      </c>
      <c r="AB87" s="119">
        <f>IF(non_energy_expenses_ds="No",-Inputs!AC203,0)</f>
        <v>0</v>
      </c>
      <c r="AC87" s="119">
        <f>IF(non_energy_expenses_ds="No",-Inputs!AD203,0)</f>
        <v>0</v>
      </c>
      <c r="AD87" s="119">
        <f>IF(non_energy_expenses_ds="No",-Inputs!AE203,0)</f>
        <v>0</v>
      </c>
      <c r="AE87" s="119">
        <f>IF(non_energy_expenses_ds="No",-Inputs!AF203,0)</f>
        <v>0</v>
      </c>
      <c r="AF87" s="119">
        <f>IF(non_energy_expenses_ds="No",-Inputs!AG203,0)</f>
        <v>0</v>
      </c>
      <c r="AG87" s="119">
        <f>IF(non_energy_expenses_ds="No",-Inputs!AH203,0)</f>
        <v>0</v>
      </c>
      <c r="AH87" s="119">
        <f>IF(non_energy_expenses_ds="No",-Inputs!AI203,0)</f>
        <v>0</v>
      </c>
      <c r="AI87" s="119">
        <f>IF(non_energy_expenses_ds="No",-Inputs!AJ203,0)</f>
        <v>0</v>
      </c>
      <c r="AJ87" s="119">
        <f>IF(non_energy_expenses_ds="No",-Inputs!AK203,0)</f>
        <v>0</v>
      </c>
      <c r="AK87" s="119">
        <f>IF(non_energy_expenses_ds="No",-Inputs!AL203,0)</f>
        <v>0</v>
      </c>
      <c r="AL87" s="119">
        <f>IF(non_energy_expenses_ds="No",-Inputs!AM203,0)</f>
        <v>0</v>
      </c>
      <c r="AM87" s="119">
        <f>IF(non_energy_expenses_ds="No",-Inputs!AN203,0)</f>
        <v>0</v>
      </c>
      <c r="AN87" s="119">
        <f>IF(non_energy_expenses_ds="No",-Inputs!AO203,0)</f>
        <v>0</v>
      </c>
      <c r="AO87" s="119">
        <f>IF(non_energy_expenses_ds="No",-Inputs!AP203,0)</f>
        <v>0</v>
      </c>
      <c r="AP87" s="119">
        <f>IF(non_energy_expenses_ds="No",-Inputs!AQ203,0)</f>
        <v>0</v>
      </c>
    </row>
    <row r="88" spans="1:42" x14ac:dyDescent="0.4">
      <c r="A88" s="202" t="s">
        <v>13</v>
      </c>
      <c r="B88" s="136">
        <f>B77+B83+B84+B85</f>
        <v>0</v>
      </c>
      <c r="C88" s="136">
        <f>C77+C83+C84+C85</f>
        <v>2667840.8931250004</v>
      </c>
      <c r="D88" s="136">
        <f t="shared" ref="D88:AP88" si="32">D77+D83+D84+D85</f>
        <v>2721117.64641575</v>
      </c>
      <c r="E88" s="136">
        <f t="shared" si="32"/>
        <v>2777713.508493552</v>
      </c>
      <c r="F88" s="136">
        <f t="shared" si="32"/>
        <v>2837120.8900448107</v>
      </c>
      <c r="G88" s="136">
        <f t="shared" si="32"/>
        <v>2899342.7324803034</v>
      </c>
      <c r="H88" s="136">
        <f t="shared" si="32"/>
        <v>2964455.6574773369</v>
      </c>
      <c r="I88" s="136">
        <f t="shared" si="32"/>
        <v>3032659.9997220351</v>
      </c>
      <c r="J88" s="136">
        <f t="shared" si="32"/>
        <v>3104125.1740376404</v>
      </c>
      <c r="K88" s="136">
        <f t="shared" si="32"/>
        <v>3178988.6413482255</v>
      </c>
      <c r="L88" s="136">
        <f t="shared" si="32"/>
        <v>-687660.32818454388</v>
      </c>
      <c r="M88" s="136">
        <f t="shared" si="32"/>
        <v>1030296.6493543857</v>
      </c>
      <c r="N88" s="136">
        <f t="shared" si="32"/>
        <v>1034934.786605282</v>
      </c>
      <c r="O88" s="136">
        <f t="shared" si="32"/>
        <v>1039633.8841044306</v>
      </c>
      <c r="P88" s="136">
        <f t="shared" si="32"/>
        <v>1044376.7968629944</v>
      </c>
      <c r="Q88" s="136">
        <f t="shared" si="32"/>
        <v>1049119.9316116394</v>
      </c>
      <c r="R88" s="136">
        <f t="shared" si="32"/>
        <v>1053885.1344403368</v>
      </c>
      <c r="S88" s="136">
        <f t="shared" si="32"/>
        <v>1058646.071311909</v>
      </c>
      <c r="T88" s="136">
        <f t="shared" si="32"/>
        <v>1063402.9292668165</v>
      </c>
      <c r="U88" s="136">
        <f t="shared" si="32"/>
        <v>1068158.6601823326</v>
      </c>
      <c r="V88" s="136">
        <f t="shared" si="32"/>
        <v>-4017770.1430631094</v>
      </c>
      <c r="W88" s="136">
        <f t="shared" si="32"/>
        <v>990447.09036031319</v>
      </c>
      <c r="X88" s="136">
        <f t="shared" si="32"/>
        <v>951542.51136932103</v>
      </c>
      <c r="Y88" s="136">
        <f t="shared" si="32"/>
        <v>912007.69190355437</v>
      </c>
      <c r="Z88" s="136">
        <f t="shared" si="32"/>
        <v>871763.63595114322</v>
      </c>
      <c r="AA88" s="136">
        <f t="shared" si="32"/>
        <v>7214012.6803499218</v>
      </c>
      <c r="AB88" s="136">
        <f t="shared" si="32"/>
        <v>0</v>
      </c>
      <c r="AC88" s="136">
        <f t="shared" si="32"/>
        <v>0</v>
      </c>
      <c r="AD88" s="136">
        <f t="shared" si="32"/>
        <v>0</v>
      </c>
      <c r="AE88" s="136">
        <f t="shared" si="32"/>
        <v>0</v>
      </c>
      <c r="AF88" s="136">
        <f t="shared" si="32"/>
        <v>0</v>
      </c>
      <c r="AG88" s="136">
        <f t="shared" si="32"/>
        <v>0</v>
      </c>
      <c r="AH88" s="136">
        <f t="shared" si="32"/>
        <v>0</v>
      </c>
      <c r="AI88" s="136">
        <f t="shared" si="32"/>
        <v>0</v>
      </c>
      <c r="AJ88" s="136">
        <f t="shared" si="32"/>
        <v>0</v>
      </c>
      <c r="AK88" s="136">
        <f t="shared" si="32"/>
        <v>0</v>
      </c>
      <c r="AL88" s="136">
        <f t="shared" si="32"/>
        <v>0</v>
      </c>
      <c r="AM88" s="136">
        <f t="shared" si="32"/>
        <v>0</v>
      </c>
      <c r="AN88" s="136">
        <f t="shared" si="32"/>
        <v>0</v>
      </c>
      <c r="AO88" s="136">
        <f t="shared" si="32"/>
        <v>0</v>
      </c>
      <c r="AP88" s="136">
        <f t="shared" si="32"/>
        <v>0</v>
      </c>
    </row>
    <row r="89" spans="1:42" x14ac:dyDescent="0.4">
      <c r="A89" s="17"/>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row>
    <row r="90" spans="1:42" x14ac:dyDescent="0.4">
      <c r="A90" s="19" t="s">
        <v>49</v>
      </c>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row>
    <row r="91" spans="1:42" x14ac:dyDescent="0.4">
      <c r="A91" s="4" t="s">
        <v>162</v>
      </c>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row>
    <row r="92" spans="1:42" x14ac:dyDescent="0.4">
      <c r="A92" s="21" t="s">
        <v>163</v>
      </c>
      <c r="B92" s="119">
        <f>-total_installed_cost</f>
        <v>-31916100</v>
      </c>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row>
    <row r="93" spans="1:42" x14ac:dyDescent="0.4">
      <c r="A93" s="21" t="s">
        <v>229</v>
      </c>
      <c r="B93" s="119">
        <f>-(cost_debt_closing)</f>
        <v>0</v>
      </c>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row>
    <row r="94" spans="1:42" x14ac:dyDescent="0.4">
      <c r="A94" s="21" t="s">
        <v>230</v>
      </c>
      <c r="B94" s="119">
        <f>-CostDebtUpfront</f>
        <v>-608777</v>
      </c>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row>
    <row r="95" spans="1:42" x14ac:dyDescent="0.4">
      <c r="A95" s="21" t="s">
        <v>231</v>
      </c>
      <c r="B95" s="119">
        <f>-cost_other_financing</f>
        <v>0</v>
      </c>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row>
    <row r="96" spans="1:42" x14ac:dyDescent="0.4">
      <c r="A96" s="21" t="s">
        <v>164</v>
      </c>
      <c r="B96" s="119">
        <f>-Inputs!I85</f>
        <v>-718112.25</v>
      </c>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row>
    <row r="97" spans="1:42" x14ac:dyDescent="0.4">
      <c r="A97" s="21" t="s">
        <v>236</v>
      </c>
      <c r="B97" s="119">
        <f>C572+C578</f>
        <v>0</v>
      </c>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row>
    <row r="98" spans="1:42" x14ac:dyDescent="0.4">
      <c r="A98" s="21" t="s">
        <v>237</v>
      </c>
      <c r="B98" s="120">
        <f>C585</f>
        <v>0</v>
      </c>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row>
    <row r="99" spans="1:42" x14ac:dyDescent="0.4">
      <c r="A99" s="21" t="s">
        <v>175</v>
      </c>
      <c r="B99" s="119">
        <f>SUM(B92:B98)</f>
        <v>-33242989.25</v>
      </c>
      <c r="C99" s="119"/>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c r="AC99" s="119"/>
      <c r="AD99" s="119"/>
      <c r="AE99" s="119"/>
      <c r="AF99" s="119"/>
      <c r="AG99" s="119"/>
      <c r="AH99" s="119"/>
      <c r="AI99" s="119"/>
      <c r="AJ99" s="119"/>
      <c r="AK99" s="119"/>
      <c r="AL99" s="119"/>
      <c r="AM99" s="119"/>
      <c r="AN99" s="119"/>
      <c r="AO99" s="119"/>
      <c r="AP99" s="119"/>
    </row>
    <row r="100" spans="1:42" x14ac:dyDescent="0.4">
      <c r="A100" s="17" t="s">
        <v>165</v>
      </c>
      <c r="B100" s="119"/>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row>
    <row r="101" spans="1:42" x14ac:dyDescent="0.4">
      <c r="A101" s="21" t="s">
        <v>260</v>
      </c>
      <c r="B101" s="119">
        <f>-B637-B638</f>
        <v>0</v>
      </c>
      <c r="C101" s="119">
        <f t="shared" ref="C101:AP101" si="33">-C637-C638</f>
        <v>0</v>
      </c>
      <c r="D101" s="119">
        <f t="shared" si="33"/>
        <v>0</v>
      </c>
      <c r="E101" s="119">
        <f t="shared" si="33"/>
        <v>0</v>
      </c>
      <c r="F101" s="119">
        <f t="shared" si="33"/>
        <v>0</v>
      </c>
      <c r="G101" s="119">
        <f t="shared" si="33"/>
        <v>0</v>
      </c>
      <c r="H101" s="119">
        <f t="shared" si="33"/>
        <v>0</v>
      </c>
      <c r="I101" s="119">
        <f t="shared" si="33"/>
        <v>0</v>
      </c>
      <c r="J101" s="119">
        <f t="shared" si="33"/>
        <v>0</v>
      </c>
      <c r="K101" s="119">
        <f t="shared" si="33"/>
        <v>0</v>
      </c>
      <c r="L101" s="119">
        <f t="shared" si="33"/>
        <v>0</v>
      </c>
      <c r="M101" s="119">
        <f t="shared" si="33"/>
        <v>0</v>
      </c>
      <c r="N101" s="119">
        <f t="shared" si="33"/>
        <v>0</v>
      </c>
      <c r="O101" s="119">
        <f t="shared" si="33"/>
        <v>0</v>
      </c>
      <c r="P101" s="119">
        <f t="shared" si="33"/>
        <v>0</v>
      </c>
      <c r="Q101" s="119">
        <f t="shared" si="33"/>
        <v>0</v>
      </c>
      <c r="R101" s="119">
        <f t="shared" si="33"/>
        <v>0</v>
      </c>
      <c r="S101" s="119">
        <f t="shared" si="33"/>
        <v>0</v>
      </c>
      <c r="T101" s="119">
        <f t="shared" si="33"/>
        <v>0</v>
      </c>
      <c r="U101" s="119">
        <f t="shared" si="33"/>
        <v>0</v>
      </c>
      <c r="V101" s="119">
        <f t="shared" si="33"/>
        <v>0</v>
      </c>
      <c r="W101" s="119">
        <f t="shared" si="33"/>
        <v>0</v>
      </c>
      <c r="X101" s="119">
        <f t="shared" si="33"/>
        <v>0</v>
      </c>
      <c r="Y101" s="119">
        <f t="shared" si="33"/>
        <v>0</v>
      </c>
      <c r="Z101" s="119">
        <f t="shared" si="33"/>
        <v>0</v>
      </c>
      <c r="AA101" s="119">
        <f t="shared" si="33"/>
        <v>0</v>
      </c>
      <c r="AB101" s="119">
        <f t="shared" si="33"/>
        <v>0</v>
      </c>
      <c r="AC101" s="119">
        <f t="shared" si="33"/>
        <v>0</v>
      </c>
      <c r="AD101" s="119">
        <f t="shared" si="33"/>
        <v>0</v>
      </c>
      <c r="AE101" s="119">
        <f t="shared" si="33"/>
        <v>0</v>
      </c>
      <c r="AF101" s="119">
        <f t="shared" si="33"/>
        <v>0</v>
      </c>
      <c r="AG101" s="119">
        <f t="shared" si="33"/>
        <v>0</v>
      </c>
      <c r="AH101" s="119">
        <f t="shared" si="33"/>
        <v>0</v>
      </c>
      <c r="AI101" s="119">
        <f t="shared" si="33"/>
        <v>0</v>
      </c>
      <c r="AJ101" s="119">
        <f t="shared" si="33"/>
        <v>0</v>
      </c>
      <c r="AK101" s="119">
        <f t="shared" si="33"/>
        <v>0</v>
      </c>
      <c r="AL101" s="119">
        <f t="shared" si="33"/>
        <v>0</v>
      </c>
      <c r="AM101" s="119">
        <f t="shared" si="33"/>
        <v>0</v>
      </c>
      <c r="AN101" s="119">
        <f t="shared" si="33"/>
        <v>0</v>
      </c>
      <c r="AO101" s="119">
        <f t="shared" si="33"/>
        <v>0</v>
      </c>
      <c r="AP101" s="119">
        <f t="shared" si="33"/>
        <v>0</v>
      </c>
    </row>
    <row r="102" spans="1:42" x14ac:dyDescent="0.4">
      <c r="A102" s="21" t="s">
        <v>259</v>
      </c>
      <c r="B102" s="119">
        <f t="shared" ref="B102:AP102" si="34">-B643-B644</f>
        <v>0</v>
      </c>
      <c r="C102" s="119">
        <f t="shared" si="34"/>
        <v>0</v>
      </c>
      <c r="D102" s="119">
        <f t="shared" si="34"/>
        <v>0</v>
      </c>
      <c r="E102" s="119">
        <f t="shared" si="34"/>
        <v>0</v>
      </c>
      <c r="F102" s="119">
        <f t="shared" si="34"/>
        <v>0</v>
      </c>
      <c r="G102" s="119">
        <f t="shared" si="34"/>
        <v>0</v>
      </c>
      <c r="H102" s="119">
        <f t="shared" si="34"/>
        <v>0</v>
      </c>
      <c r="I102" s="119">
        <f t="shared" si="34"/>
        <v>0</v>
      </c>
      <c r="J102" s="119">
        <f t="shared" si="34"/>
        <v>0</v>
      </c>
      <c r="K102" s="119">
        <f t="shared" si="34"/>
        <v>0</v>
      </c>
      <c r="L102" s="119">
        <f t="shared" si="34"/>
        <v>0</v>
      </c>
      <c r="M102" s="119">
        <f t="shared" si="34"/>
        <v>0</v>
      </c>
      <c r="N102" s="119">
        <f t="shared" si="34"/>
        <v>0</v>
      </c>
      <c r="O102" s="119">
        <f t="shared" si="34"/>
        <v>0</v>
      </c>
      <c r="P102" s="119">
        <f t="shared" si="34"/>
        <v>0</v>
      </c>
      <c r="Q102" s="119">
        <f t="shared" si="34"/>
        <v>0</v>
      </c>
      <c r="R102" s="119">
        <f t="shared" si="34"/>
        <v>0</v>
      </c>
      <c r="S102" s="119">
        <f t="shared" si="34"/>
        <v>0</v>
      </c>
      <c r="T102" s="119">
        <f t="shared" si="34"/>
        <v>0</v>
      </c>
      <c r="U102" s="119">
        <f t="shared" si="34"/>
        <v>0</v>
      </c>
      <c r="V102" s="119">
        <f t="shared" si="34"/>
        <v>0</v>
      </c>
      <c r="W102" s="119">
        <f t="shared" si="34"/>
        <v>0</v>
      </c>
      <c r="X102" s="119">
        <f t="shared" si="34"/>
        <v>0</v>
      </c>
      <c r="Y102" s="119">
        <f t="shared" si="34"/>
        <v>0</v>
      </c>
      <c r="Z102" s="119">
        <f t="shared" si="34"/>
        <v>0</v>
      </c>
      <c r="AA102" s="119">
        <f t="shared" si="34"/>
        <v>0</v>
      </c>
      <c r="AB102" s="119">
        <f t="shared" si="34"/>
        <v>0</v>
      </c>
      <c r="AC102" s="119">
        <f t="shared" si="34"/>
        <v>0</v>
      </c>
      <c r="AD102" s="119">
        <f t="shared" si="34"/>
        <v>0</v>
      </c>
      <c r="AE102" s="119">
        <f t="shared" si="34"/>
        <v>0</v>
      </c>
      <c r="AF102" s="119">
        <f t="shared" si="34"/>
        <v>0</v>
      </c>
      <c r="AG102" s="119">
        <f t="shared" si="34"/>
        <v>0</v>
      </c>
      <c r="AH102" s="119">
        <f t="shared" si="34"/>
        <v>0</v>
      </c>
      <c r="AI102" s="119">
        <f t="shared" si="34"/>
        <v>0</v>
      </c>
      <c r="AJ102" s="119">
        <f t="shared" si="34"/>
        <v>0</v>
      </c>
      <c r="AK102" s="119">
        <f t="shared" si="34"/>
        <v>0</v>
      </c>
      <c r="AL102" s="119">
        <f t="shared" si="34"/>
        <v>0</v>
      </c>
      <c r="AM102" s="119">
        <f t="shared" si="34"/>
        <v>0</v>
      </c>
      <c r="AN102" s="119">
        <f t="shared" si="34"/>
        <v>0</v>
      </c>
      <c r="AO102" s="119">
        <f t="shared" si="34"/>
        <v>0</v>
      </c>
      <c r="AP102" s="119">
        <f t="shared" si="34"/>
        <v>0</v>
      </c>
    </row>
    <row r="103" spans="1:42" x14ac:dyDescent="0.4">
      <c r="A103" s="21" t="s">
        <v>271</v>
      </c>
      <c r="B103" s="119">
        <f>-B649-B650</f>
        <v>0</v>
      </c>
      <c r="C103" s="119">
        <f t="shared" ref="C103:AP103" si="35">-C649-C650</f>
        <v>0</v>
      </c>
      <c r="D103" s="119">
        <f t="shared" si="35"/>
        <v>0</v>
      </c>
      <c r="E103" s="119">
        <f t="shared" si="35"/>
        <v>0</v>
      </c>
      <c r="F103" s="119">
        <f t="shared" si="35"/>
        <v>0</v>
      </c>
      <c r="G103" s="119">
        <f t="shared" si="35"/>
        <v>0</v>
      </c>
      <c r="H103" s="119">
        <f t="shared" si="35"/>
        <v>0</v>
      </c>
      <c r="I103" s="119">
        <f t="shared" si="35"/>
        <v>0</v>
      </c>
      <c r="J103" s="119">
        <f t="shared" si="35"/>
        <v>0</v>
      </c>
      <c r="K103" s="119">
        <f t="shared" si="35"/>
        <v>0</v>
      </c>
      <c r="L103" s="119">
        <f t="shared" si="35"/>
        <v>0</v>
      </c>
      <c r="M103" s="119">
        <f t="shared" si="35"/>
        <v>0</v>
      </c>
      <c r="N103" s="119">
        <f t="shared" si="35"/>
        <v>0</v>
      </c>
      <c r="O103" s="119">
        <f t="shared" si="35"/>
        <v>0</v>
      </c>
      <c r="P103" s="119">
        <f t="shared" si="35"/>
        <v>0</v>
      </c>
      <c r="Q103" s="119">
        <f t="shared" si="35"/>
        <v>0</v>
      </c>
      <c r="R103" s="119">
        <f t="shared" si="35"/>
        <v>0</v>
      </c>
      <c r="S103" s="119">
        <f t="shared" si="35"/>
        <v>0</v>
      </c>
      <c r="T103" s="119">
        <f t="shared" si="35"/>
        <v>0</v>
      </c>
      <c r="U103" s="119">
        <f t="shared" si="35"/>
        <v>0</v>
      </c>
      <c r="V103" s="119">
        <f t="shared" si="35"/>
        <v>0</v>
      </c>
      <c r="W103" s="119">
        <f t="shared" si="35"/>
        <v>0</v>
      </c>
      <c r="X103" s="119">
        <f t="shared" si="35"/>
        <v>0</v>
      </c>
      <c r="Y103" s="119">
        <f t="shared" si="35"/>
        <v>0</v>
      </c>
      <c r="Z103" s="119">
        <f t="shared" si="35"/>
        <v>0</v>
      </c>
      <c r="AA103" s="119">
        <f t="shared" si="35"/>
        <v>0</v>
      </c>
      <c r="AB103" s="119">
        <f t="shared" si="35"/>
        <v>0</v>
      </c>
      <c r="AC103" s="119">
        <f t="shared" si="35"/>
        <v>0</v>
      </c>
      <c r="AD103" s="119">
        <f t="shared" si="35"/>
        <v>0</v>
      </c>
      <c r="AE103" s="119">
        <f t="shared" si="35"/>
        <v>0</v>
      </c>
      <c r="AF103" s="119">
        <f t="shared" si="35"/>
        <v>0</v>
      </c>
      <c r="AG103" s="119">
        <f t="shared" si="35"/>
        <v>0</v>
      </c>
      <c r="AH103" s="119">
        <f t="shared" si="35"/>
        <v>0</v>
      </c>
      <c r="AI103" s="119">
        <f t="shared" si="35"/>
        <v>0</v>
      </c>
      <c r="AJ103" s="119">
        <f t="shared" si="35"/>
        <v>0</v>
      </c>
      <c r="AK103" s="119">
        <f t="shared" si="35"/>
        <v>0</v>
      </c>
      <c r="AL103" s="119">
        <f t="shared" si="35"/>
        <v>0</v>
      </c>
      <c r="AM103" s="119">
        <f t="shared" si="35"/>
        <v>0</v>
      </c>
      <c r="AN103" s="119">
        <f t="shared" si="35"/>
        <v>0</v>
      </c>
      <c r="AO103" s="119">
        <f t="shared" si="35"/>
        <v>0</v>
      </c>
      <c r="AP103" s="119">
        <f t="shared" si="35"/>
        <v>0</v>
      </c>
    </row>
    <row r="104" spans="1:42" x14ac:dyDescent="0.4">
      <c r="A104" s="21" t="s">
        <v>272</v>
      </c>
      <c r="B104" s="119">
        <f>-B655-B656</f>
        <v>0</v>
      </c>
      <c r="C104" s="119">
        <f t="shared" ref="C104:AP104" si="36">-C655-C656</f>
        <v>0</v>
      </c>
      <c r="D104" s="119">
        <f t="shared" si="36"/>
        <v>0</v>
      </c>
      <c r="E104" s="119">
        <f t="shared" si="36"/>
        <v>0</v>
      </c>
      <c r="F104" s="119">
        <f t="shared" si="36"/>
        <v>0</v>
      </c>
      <c r="G104" s="119">
        <f t="shared" si="36"/>
        <v>0</v>
      </c>
      <c r="H104" s="119">
        <f t="shared" si="36"/>
        <v>0</v>
      </c>
      <c r="I104" s="119">
        <f t="shared" si="36"/>
        <v>0</v>
      </c>
      <c r="J104" s="119">
        <f t="shared" si="36"/>
        <v>0</v>
      </c>
      <c r="K104" s="119">
        <f t="shared" si="36"/>
        <v>0</v>
      </c>
      <c r="L104" s="119">
        <f t="shared" si="36"/>
        <v>0</v>
      </c>
      <c r="M104" s="119">
        <f t="shared" si="36"/>
        <v>0</v>
      </c>
      <c r="N104" s="119">
        <f t="shared" si="36"/>
        <v>0</v>
      </c>
      <c r="O104" s="119">
        <f t="shared" si="36"/>
        <v>0</v>
      </c>
      <c r="P104" s="119">
        <f t="shared" si="36"/>
        <v>0</v>
      </c>
      <c r="Q104" s="119">
        <f t="shared" si="36"/>
        <v>0</v>
      </c>
      <c r="R104" s="119">
        <f t="shared" si="36"/>
        <v>0</v>
      </c>
      <c r="S104" s="119">
        <f t="shared" si="36"/>
        <v>0</v>
      </c>
      <c r="T104" s="119">
        <f t="shared" si="36"/>
        <v>0</v>
      </c>
      <c r="U104" s="119">
        <f t="shared" si="36"/>
        <v>0</v>
      </c>
      <c r="V104" s="119">
        <f t="shared" si="36"/>
        <v>0</v>
      </c>
      <c r="W104" s="119">
        <f t="shared" si="36"/>
        <v>0</v>
      </c>
      <c r="X104" s="119">
        <f t="shared" si="36"/>
        <v>0</v>
      </c>
      <c r="Y104" s="119">
        <f t="shared" si="36"/>
        <v>0</v>
      </c>
      <c r="Z104" s="119">
        <f t="shared" si="36"/>
        <v>0</v>
      </c>
      <c r="AA104" s="119">
        <f t="shared" si="36"/>
        <v>0</v>
      </c>
      <c r="AB104" s="119">
        <f t="shared" si="36"/>
        <v>0</v>
      </c>
      <c r="AC104" s="119">
        <f t="shared" si="36"/>
        <v>0</v>
      </c>
      <c r="AD104" s="119">
        <f t="shared" si="36"/>
        <v>0</v>
      </c>
      <c r="AE104" s="119">
        <f t="shared" si="36"/>
        <v>0</v>
      </c>
      <c r="AF104" s="119">
        <f t="shared" si="36"/>
        <v>0</v>
      </c>
      <c r="AG104" s="119">
        <f t="shared" si="36"/>
        <v>0</v>
      </c>
      <c r="AH104" s="119">
        <f t="shared" si="36"/>
        <v>0</v>
      </c>
      <c r="AI104" s="119">
        <f t="shared" si="36"/>
        <v>0</v>
      </c>
      <c r="AJ104" s="119">
        <f t="shared" si="36"/>
        <v>0</v>
      </c>
      <c r="AK104" s="119">
        <f t="shared" si="36"/>
        <v>0</v>
      </c>
      <c r="AL104" s="119">
        <f t="shared" si="36"/>
        <v>0</v>
      </c>
      <c r="AM104" s="119">
        <f t="shared" si="36"/>
        <v>0</v>
      </c>
      <c r="AN104" s="119">
        <f t="shared" si="36"/>
        <v>0</v>
      </c>
      <c r="AO104" s="119">
        <f t="shared" si="36"/>
        <v>0</v>
      </c>
      <c r="AP104" s="119">
        <f t="shared" si="36"/>
        <v>0</v>
      </c>
    </row>
    <row r="105" spans="1:42" x14ac:dyDescent="0.4">
      <c r="A105" s="21" t="s">
        <v>273</v>
      </c>
      <c r="B105" s="119">
        <f>-B687-B688</f>
        <v>0</v>
      </c>
      <c r="C105" s="119">
        <f t="shared" ref="C105:AP105" si="37">-C687-C688</f>
        <v>0</v>
      </c>
      <c r="D105" s="119">
        <f t="shared" si="37"/>
        <v>0</v>
      </c>
      <c r="E105" s="119">
        <f t="shared" si="37"/>
        <v>0</v>
      </c>
      <c r="F105" s="119">
        <f t="shared" si="37"/>
        <v>0</v>
      </c>
      <c r="G105" s="119">
        <f t="shared" si="37"/>
        <v>0</v>
      </c>
      <c r="H105" s="119">
        <f t="shared" si="37"/>
        <v>0</v>
      </c>
      <c r="I105" s="119">
        <f t="shared" si="37"/>
        <v>0</v>
      </c>
      <c r="J105" s="119">
        <f t="shared" si="37"/>
        <v>0</v>
      </c>
      <c r="K105" s="119">
        <f t="shared" si="37"/>
        <v>0</v>
      </c>
      <c r="L105" s="119">
        <f t="shared" si="37"/>
        <v>0</v>
      </c>
      <c r="M105" s="119">
        <f t="shared" si="37"/>
        <v>0</v>
      </c>
      <c r="N105" s="119">
        <f t="shared" si="37"/>
        <v>0</v>
      </c>
      <c r="O105" s="119">
        <f t="shared" si="37"/>
        <v>0</v>
      </c>
      <c r="P105" s="119">
        <f t="shared" si="37"/>
        <v>0</v>
      </c>
      <c r="Q105" s="119">
        <f t="shared" si="37"/>
        <v>0</v>
      </c>
      <c r="R105" s="119">
        <f t="shared" si="37"/>
        <v>0</v>
      </c>
      <c r="S105" s="119">
        <f t="shared" si="37"/>
        <v>0</v>
      </c>
      <c r="T105" s="119">
        <f t="shared" si="37"/>
        <v>0</v>
      </c>
      <c r="U105" s="119">
        <f t="shared" si="37"/>
        <v>0</v>
      </c>
      <c r="V105" s="119">
        <f t="shared" si="37"/>
        <v>0</v>
      </c>
      <c r="W105" s="119">
        <f t="shared" si="37"/>
        <v>0</v>
      </c>
      <c r="X105" s="119">
        <f t="shared" si="37"/>
        <v>0</v>
      </c>
      <c r="Y105" s="119">
        <f t="shared" si="37"/>
        <v>0</v>
      </c>
      <c r="Z105" s="119">
        <f t="shared" si="37"/>
        <v>0</v>
      </c>
      <c r="AA105" s="119">
        <f t="shared" si="37"/>
        <v>0</v>
      </c>
      <c r="AB105" s="119">
        <f t="shared" si="37"/>
        <v>0</v>
      </c>
      <c r="AC105" s="119">
        <f t="shared" si="37"/>
        <v>0</v>
      </c>
      <c r="AD105" s="119">
        <f t="shared" si="37"/>
        <v>0</v>
      </c>
      <c r="AE105" s="119">
        <f t="shared" si="37"/>
        <v>0</v>
      </c>
      <c r="AF105" s="119">
        <f t="shared" si="37"/>
        <v>0</v>
      </c>
      <c r="AG105" s="119">
        <f t="shared" si="37"/>
        <v>0</v>
      </c>
      <c r="AH105" s="119">
        <f t="shared" si="37"/>
        <v>0</v>
      </c>
      <c r="AI105" s="119">
        <f t="shared" si="37"/>
        <v>0</v>
      </c>
      <c r="AJ105" s="119">
        <f t="shared" si="37"/>
        <v>0</v>
      </c>
      <c r="AK105" s="119">
        <f t="shared" si="37"/>
        <v>0</v>
      </c>
      <c r="AL105" s="119">
        <f t="shared" si="37"/>
        <v>0</v>
      </c>
      <c r="AM105" s="119">
        <f t="shared" si="37"/>
        <v>0</v>
      </c>
      <c r="AN105" s="119">
        <f t="shared" si="37"/>
        <v>0</v>
      </c>
      <c r="AO105" s="119">
        <f t="shared" si="37"/>
        <v>0</v>
      </c>
      <c r="AP105" s="119">
        <f t="shared" si="37"/>
        <v>0</v>
      </c>
    </row>
    <row r="106" spans="1:42" x14ac:dyDescent="0.4">
      <c r="A106" s="21" t="s">
        <v>274</v>
      </c>
      <c r="B106" s="120">
        <f>-B719-B720</f>
        <v>0</v>
      </c>
      <c r="C106" s="120">
        <f t="shared" ref="C106:AP106" si="38">-C719-C720</f>
        <v>0</v>
      </c>
      <c r="D106" s="120">
        <f t="shared" si="38"/>
        <v>0</v>
      </c>
      <c r="E106" s="120">
        <f t="shared" si="38"/>
        <v>0</v>
      </c>
      <c r="F106" s="120">
        <f t="shared" si="38"/>
        <v>0</v>
      </c>
      <c r="G106" s="120">
        <f t="shared" si="38"/>
        <v>0</v>
      </c>
      <c r="H106" s="120">
        <f t="shared" si="38"/>
        <v>0</v>
      </c>
      <c r="I106" s="120">
        <f t="shared" si="38"/>
        <v>0</v>
      </c>
      <c r="J106" s="120">
        <f t="shared" si="38"/>
        <v>0</v>
      </c>
      <c r="K106" s="120">
        <f t="shared" si="38"/>
        <v>0</v>
      </c>
      <c r="L106" s="120">
        <f t="shared" si="38"/>
        <v>0</v>
      </c>
      <c r="M106" s="120">
        <f t="shared" si="38"/>
        <v>0</v>
      </c>
      <c r="N106" s="120">
        <f t="shared" si="38"/>
        <v>0</v>
      </c>
      <c r="O106" s="120">
        <f t="shared" si="38"/>
        <v>0</v>
      </c>
      <c r="P106" s="120">
        <f t="shared" si="38"/>
        <v>0</v>
      </c>
      <c r="Q106" s="120">
        <f t="shared" si="38"/>
        <v>0</v>
      </c>
      <c r="R106" s="120">
        <f t="shared" si="38"/>
        <v>0</v>
      </c>
      <c r="S106" s="120">
        <f t="shared" si="38"/>
        <v>0</v>
      </c>
      <c r="T106" s="120">
        <f t="shared" si="38"/>
        <v>0</v>
      </c>
      <c r="U106" s="120">
        <f t="shared" si="38"/>
        <v>0</v>
      </c>
      <c r="V106" s="120">
        <f t="shared" si="38"/>
        <v>0</v>
      </c>
      <c r="W106" s="120">
        <f t="shared" si="38"/>
        <v>0</v>
      </c>
      <c r="X106" s="120">
        <f t="shared" si="38"/>
        <v>0</v>
      </c>
      <c r="Y106" s="120">
        <f t="shared" si="38"/>
        <v>0</v>
      </c>
      <c r="Z106" s="120">
        <f t="shared" si="38"/>
        <v>0</v>
      </c>
      <c r="AA106" s="120">
        <f t="shared" si="38"/>
        <v>0</v>
      </c>
      <c r="AB106" s="120">
        <f t="shared" si="38"/>
        <v>0</v>
      </c>
      <c r="AC106" s="120">
        <f t="shared" si="38"/>
        <v>0</v>
      </c>
      <c r="AD106" s="120">
        <f t="shared" si="38"/>
        <v>0</v>
      </c>
      <c r="AE106" s="120">
        <f t="shared" si="38"/>
        <v>0</v>
      </c>
      <c r="AF106" s="120">
        <f t="shared" si="38"/>
        <v>0</v>
      </c>
      <c r="AG106" s="120">
        <f t="shared" si="38"/>
        <v>0</v>
      </c>
      <c r="AH106" s="120">
        <f t="shared" si="38"/>
        <v>0</v>
      </c>
      <c r="AI106" s="120">
        <f t="shared" si="38"/>
        <v>0</v>
      </c>
      <c r="AJ106" s="120">
        <f t="shared" si="38"/>
        <v>0</v>
      </c>
      <c r="AK106" s="120">
        <f t="shared" si="38"/>
        <v>0</v>
      </c>
      <c r="AL106" s="120">
        <f t="shared" si="38"/>
        <v>0</v>
      </c>
      <c r="AM106" s="120">
        <f t="shared" si="38"/>
        <v>0</v>
      </c>
      <c r="AN106" s="120">
        <f t="shared" si="38"/>
        <v>0</v>
      </c>
      <c r="AO106" s="120">
        <f t="shared" si="38"/>
        <v>0</v>
      </c>
      <c r="AP106" s="120">
        <f t="shared" si="38"/>
        <v>0</v>
      </c>
    </row>
    <row r="107" spans="1:42" x14ac:dyDescent="0.4">
      <c r="A107" s="21" t="s">
        <v>13</v>
      </c>
      <c r="B107" s="119">
        <f>SUM(B101:B106)</f>
        <v>0</v>
      </c>
      <c r="C107" s="119">
        <f t="shared" ref="C107:AP107" si="39">SUM(C101:C106)</f>
        <v>0</v>
      </c>
      <c r="D107" s="119">
        <f t="shared" si="39"/>
        <v>0</v>
      </c>
      <c r="E107" s="119">
        <f t="shared" si="39"/>
        <v>0</v>
      </c>
      <c r="F107" s="119">
        <f t="shared" si="39"/>
        <v>0</v>
      </c>
      <c r="G107" s="119">
        <f t="shared" si="39"/>
        <v>0</v>
      </c>
      <c r="H107" s="119">
        <f t="shared" si="39"/>
        <v>0</v>
      </c>
      <c r="I107" s="119">
        <f t="shared" si="39"/>
        <v>0</v>
      </c>
      <c r="J107" s="119">
        <f t="shared" si="39"/>
        <v>0</v>
      </c>
      <c r="K107" s="119">
        <f t="shared" si="39"/>
        <v>0</v>
      </c>
      <c r="L107" s="119">
        <f t="shared" si="39"/>
        <v>0</v>
      </c>
      <c r="M107" s="119">
        <f t="shared" si="39"/>
        <v>0</v>
      </c>
      <c r="N107" s="119">
        <f t="shared" si="39"/>
        <v>0</v>
      </c>
      <c r="O107" s="119">
        <f t="shared" si="39"/>
        <v>0</v>
      </c>
      <c r="P107" s="119">
        <f t="shared" si="39"/>
        <v>0</v>
      </c>
      <c r="Q107" s="119">
        <f t="shared" si="39"/>
        <v>0</v>
      </c>
      <c r="R107" s="119">
        <f t="shared" si="39"/>
        <v>0</v>
      </c>
      <c r="S107" s="119">
        <f t="shared" si="39"/>
        <v>0</v>
      </c>
      <c r="T107" s="119">
        <f t="shared" si="39"/>
        <v>0</v>
      </c>
      <c r="U107" s="119">
        <f t="shared" si="39"/>
        <v>0</v>
      </c>
      <c r="V107" s="119">
        <f t="shared" si="39"/>
        <v>0</v>
      </c>
      <c r="W107" s="119">
        <f t="shared" si="39"/>
        <v>0</v>
      </c>
      <c r="X107" s="119">
        <f t="shared" si="39"/>
        <v>0</v>
      </c>
      <c r="Y107" s="119">
        <f t="shared" si="39"/>
        <v>0</v>
      </c>
      <c r="Z107" s="119">
        <f t="shared" si="39"/>
        <v>0</v>
      </c>
      <c r="AA107" s="119">
        <f t="shared" si="39"/>
        <v>0</v>
      </c>
      <c r="AB107" s="119">
        <f t="shared" si="39"/>
        <v>0</v>
      </c>
      <c r="AC107" s="119">
        <f t="shared" si="39"/>
        <v>0</v>
      </c>
      <c r="AD107" s="119">
        <f t="shared" si="39"/>
        <v>0</v>
      </c>
      <c r="AE107" s="119">
        <f t="shared" si="39"/>
        <v>0</v>
      </c>
      <c r="AF107" s="119">
        <f t="shared" si="39"/>
        <v>0</v>
      </c>
      <c r="AG107" s="119">
        <f t="shared" si="39"/>
        <v>0</v>
      </c>
      <c r="AH107" s="119">
        <f t="shared" si="39"/>
        <v>0</v>
      </c>
      <c r="AI107" s="119">
        <f t="shared" si="39"/>
        <v>0</v>
      </c>
      <c r="AJ107" s="119">
        <f t="shared" si="39"/>
        <v>0</v>
      </c>
      <c r="AK107" s="119">
        <f t="shared" si="39"/>
        <v>0</v>
      </c>
      <c r="AL107" s="119">
        <f t="shared" si="39"/>
        <v>0</v>
      </c>
      <c r="AM107" s="119">
        <f t="shared" si="39"/>
        <v>0</v>
      </c>
      <c r="AN107" s="119">
        <f t="shared" si="39"/>
        <v>0</v>
      </c>
      <c r="AO107" s="119">
        <f t="shared" si="39"/>
        <v>0</v>
      </c>
      <c r="AP107" s="119">
        <f t="shared" si="39"/>
        <v>0</v>
      </c>
    </row>
    <row r="108" spans="1:42" x14ac:dyDescent="0.4">
      <c r="A108" s="17" t="s">
        <v>220</v>
      </c>
    </row>
    <row r="109" spans="1:42" x14ac:dyDescent="0.4">
      <c r="A109" s="21" t="s">
        <v>275</v>
      </c>
      <c r="B109" s="119">
        <f>B656</f>
        <v>0</v>
      </c>
      <c r="C109" s="119">
        <f t="shared" ref="C109:AP109" si="40">C656</f>
        <v>0</v>
      </c>
      <c r="D109" s="119">
        <f t="shared" si="40"/>
        <v>0</v>
      </c>
      <c r="E109" s="119">
        <f t="shared" si="40"/>
        <v>0</v>
      </c>
      <c r="F109" s="119">
        <f t="shared" si="40"/>
        <v>0</v>
      </c>
      <c r="G109" s="119">
        <f t="shared" si="40"/>
        <v>0</v>
      </c>
      <c r="H109" s="119">
        <f t="shared" si="40"/>
        <v>0</v>
      </c>
      <c r="I109" s="119">
        <f t="shared" si="40"/>
        <v>0</v>
      </c>
      <c r="J109" s="119">
        <f t="shared" si="40"/>
        <v>0</v>
      </c>
      <c r="K109" s="119">
        <f t="shared" si="40"/>
        <v>0</v>
      </c>
      <c r="L109" s="119">
        <f t="shared" si="40"/>
        <v>0</v>
      </c>
      <c r="M109" s="119">
        <f t="shared" si="40"/>
        <v>0</v>
      </c>
      <c r="N109" s="119">
        <f t="shared" si="40"/>
        <v>0</v>
      </c>
      <c r="O109" s="119">
        <f t="shared" si="40"/>
        <v>0</v>
      </c>
      <c r="P109" s="119">
        <f t="shared" si="40"/>
        <v>0</v>
      </c>
      <c r="Q109" s="119">
        <f t="shared" si="40"/>
        <v>0</v>
      </c>
      <c r="R109" s="119">
        <f t="shared" si="40"/>
        <v>0</v>
      </c>
      <c r="S109" s="119">
        <f t="shared" si="40"/>
        <v>0</v>
      </c>
      <c r="T109" s="119">
        <f t="shared" si="40"/>
        <v>0</v>
      </c>
      <c r="U109" s="119">
        <f t="shared" si="40"/>
        <v>0</v>
      </c>
      <c r="V109" s="119">
        <f t="shared" si="40"/>
        <v>0</v>
      </c>
      <c r="W109" s="119">
        <f t="shared" si="40"/>
        <v>0</v>
      </c>
      <c r="X109" s="119">
        <f t="shared" si="40"/>
        <v>0</v>
      </c>
      <c r="Y109" s="119">
        <f t="shared" si="40"/>
        <v>0</v>
      </c>
      <c r="Z109" s="119">
        <f t="shared" si="40"/>
        <v>0</v>
      </c>
      <c r="AA109" s="119">
        <f t="shared" si="40"/>
        <v>0</v>
      </c>
      <c r="AB109" s="119">
        <f t="shared" si="40"/>
        <v>0</v>
      </c>
      <c r="AC109" s="119">
        <f t="shared" si="40"/>
        <v>0</v>
      </c>
      <c r="AD109" s="119">
        <f t="shared" si="40"/>
        <v>0</v>
      </c>
      <c r="AE109" s="119">
        <f t="shared" si="40"/>
        <v>0</v>
      </c>
      <c r="AF109" s="119">
        <f t="shared" si="40"/>
        <v>0</v>
      </c>
      <c r="AG109" s="119">
        <f t="shared" si="40"/>
        <v>0</v>
      </c>
      <c r="AH109" s="119">
        <f t="shared" si="40"/>
        <v>0</v>
      </c>
      <c r="AI109" s="119">
        <f t="shared" si="40"/>
        <v>0</v>
      </c>
      <c r="AJ109" s="119">
        <f t="shared" si="40"/>
        <v>0</v>
      </c>
      <c r="AK109" s="119">
        <f t="shared" si="40"/>
        <v>0</v>
      </c>
      <c r="AL109" s="119">
        <f t="shared" si="40"/>
        <v>0</v>
      </c>
      <c r="AM109" s="119">
        <f t="shared" si="40"/>
        <v>0</v>
      </c>
      <c r="AN109" s="119">
        <f t="shared" si="40"/>
        <v>0</v>
      </c>
      <c r="AO109" s="119">
        <f t="shared" si="40"/>
        <v>0</v>
      </c>
      <c r="AP109" s="119">
        <f t="shared" si="40"/>
        <v>0</v>
      </c>
    </row>
    <row r="110" spans="1:42" x14ac:dyDescent="0.4">
      <c r="A110" s="21" t="s">
        <v>276</v>
      </c>
      <c r="B110" s="119">
        <f>B688</f>
        <v>0</v>
      </c>
      <c r="C110" s="119">
        <f t="shared" ref="C110:AP110" si="41">C688</f>
        <v>0</v>
      </c>
      <c r="D110" s="119">
        <f t="shared" si="41"/>
        <v>0</v>
      </c>
      <c r="E110" s="119">
        <f t="shared" si="41"/>
        <v>0</v>
      </c>
      <c r="F110" s="119">
        <f t="shared" si="41"/>
        <v>0</v>
      </c>
      <c r="G110" s="119">
        <f t="shared" si="41"/>
        <v>0</v>
      </c>
      <c r="H110" s="119">
        <f t="shared" si="41"/>
        <v>0</v>
      </c>
      <c r="I110" s="119">
        <f t="shared" si="41"/>
        <v>0</v>
      </c>
      <c r="J110" s="119">
        <f t="shared" si="41"/>
        <v>0</v>
      </c>
      <c r="K110" s="119">
        <f t="shared" si="41"/>
        <v>0</v>
      </c>
      <c r="L110" s="119">
        <f t="shared" si="41"/>
        <v>0</v>
      </c>
      <c r="M110" s="119">
        <f t="shared" si="41"/>
        <v>0</v>
      </c>
      <c r="N110" s="119">
        <f t="shared" si="41"/>
        <v>0</v>
      </c>
      <c r="O110" s="119">
        <f t="shared" si="41"/>
        <v>0</v>
      </c>
      <c r="P110" s="119">
        <f t="shared" si="41"/>
        <v>0</v>
      </c>
      <c r="Q110" s="119">
        <f t="shared" si="41"/>
        <v>0</v>
      </c>
      <c r="R110" s="119">
        <f t="shared" si="41"/>
        <v>0</v>
      </c>
      <c r="S110" s="119">
        <f t="shared" si="41"/>
        <v>0</v>
      </c>
      <c r="T110" s="119">
        <f t="shared" si="41"/>
        <v>0</v>
      </c>
      <c r="U110" s="119">
        <f t="shared" si="41"/>
        <v>0</v>
      </c>
      <c r="V110" s="119">
        <f t="shared" si="41"/>
        <v>0</v>
      </c>
      <c r="W110" s="119">
        <f t="shared" si="41"/>
        <v>0</v>
      </c>
      <c r="X110" s="119">
        <f t="shared" si="41"/>
        <v>0</v>
      </c>
      <c r="Y110" s="119">
        <f t="shared" si="41"/>
        <v>0</v>
      </c>
      <c r="Z110" s="119">
        <f t="shared" si="41"/>
        <v>0</v>
      </c>
      <c r="AA110" s="119">
        <f t="shared" si="41"/>
        <v>0</v>
      </c>
      <c r="AB110" s="119">
        <f t="shared" si="41"/>
        <v>0</v>
      </c>
      <c r="AC110" s="119">
        <f t="shared" si="41"/>
        <v>0</v>
      </c>
      <c r="AD110" s="119">
        <f t="shared" si="41"/>
        <v>0</v>
      </c>
      <c r="AE110" s="119">
        <f t="shared" si="41"/>
        <v>0</v>
      </c>
      <c r="AF110" s="119">
        <f t="shared" si="41"/>
        <v>0</v>
      </c>
      <c r="AG110" s="119">
        <f t="shared" si="41"/>
        <v>0</v>
      </c>
      <c r="AH110" s="119">
        <f t="shared" si="41"/>
        <v>0</v>
      </c>
      <c r="AI110" s="119">
        <f t="shared" si="41"/>
        <v>0</v>
      </c>
      <c r="AJ110" s="119">
        <f t="shared" si="41"/>
        <v>0</v>
      </c>
      <c r="AK110" s="119">
        <f t="shared" si="41"/>
        <v>0</v>
      </c>
      <c r="AL110" s="119">
        <f t="shared" si="41"/>
        <v>0</v>
      </c>
      <c r="AM110" s="119">
        <f t="shared" si="41"/>
        <v>0</v>
      </c>
      <c r="AN110" s="119">
        <f t="shared" si="41"/>
        <v>0</v>
      </c>
      <c r="AO110" s="119">
        <f t="shared" si="41"/>
        <v>0</v>
      </c>
      <c r="AP110" s="119">
        <f t="shared" si="41"/>
        <v>0</v>
      </c>
    </row>
    <row r="111" spans="1:42" x14ac:dyDescent="0.4">
      <c r="A111" s="21" t="s">
        <v>277</v>
      </c>
      <c r="B111" s="120">
        <f>B720</f>
        <v>0</v>
      </c>
      <c r="C111" s="120">
        <f t="shared" ref="C111:AP111" si="42">C720</f>
        <v>0</v>
      </c>
      <c r="D111" s="120">
        <f t="shared" si="42"/>
        <v>0</v>
      </c>
      <c r="E111" s="120">
        <f t="shared" si="42"/>
        <v>0</v>
      </c>
      <c r="F111" s="120">
        <f t="shared" si="42"/>
        <v>0</v>
      </c>
      <c r="G111" s="120">
        <f t="shared" si="42"/>
        <v>0</v>
      </c>
      <c r="H111" s="120">
        <f t="shared" si="42"/>
        <v>0</v>
      </c>
      <c r="I111" s="120">
        <f t="shared" si="42"/>
        <v>0</v>
      </c>
      <c r="J111" s="120">
        <f t="shared" si="42"/>
        <v>0</v>
      </c>
      <c r="K111" s="120">
        <f t="shared" si="42"/>
        <v>0</v>
      </c>
      <c r="L111" s="120">
        <f t="shared" si="42"/>
        <v>0</v>
      </c>
      <c r="M111" s="120">
        <f t="shared" si="42"/>
        <v>0</v>
      </c>
      <c r="N111" s="120">
        <f t="shared" si="42"/>
        <v>0</v>
      </c>
      <c r="O111" s="120">
        <f t="shared" si="42"/>
        <v>0</v>
      </c>
      <c r="P111" s="120">
        <f t="shared" si="42"/>
        <v>0</v>
      </c>
      <c r="Q111" s="120">
        <f t="shared" si="42"/>
        <v>0</v>
      </c>
      <c r="R111" s="120">
        <f t="shared" si="42"/>
        <v>0</v>
      </c>
      <c r="S111" s="120">
        <f t="shared" si="42"/>
        <v>0</v>
      </c>
      <c r="T111" s="120">
        <f t="shared" si="42"/>
        <v>0</v>
      </c>
      <c r="U111" s="120">
        <f t="shared" si="42"/>
        <v>0</v>
      </c>
      <c r="V111" s="120">
        <f t="shared" si="42"/>
        <v>0</v>
      </c>
      <c r="W111" s="120">
        <f t="shared" si="42"/>
        <v>0</v>
      </c>
      <c r="X111" s="120">
        <f t="shared" si="42"/>
        <v>0</v>
      </c>
      <c r="Y111" s="120">
        <f t="shared" si="42"/>
        <v>0</v>
      </c>
      <c r="Z111" s="120">
        <f t="shared" si="42"/>
        <v>0</v>
      </c>
      <c r="AA111" s="120">
        <f t="shared" si="42"/>
        <v>0</v>
      </c>
      <c r="AB111" s="120">
        <f t="shared" si="42"/>
        <v>0</v>
      </c>
      <c r="AC111" s="120">
        <f t="shared" si="42"/>
        <v>0</v>
      </c>
      <c r="AD111" s="120">
        <f t="shared" si="42"/>
        <v>0</v>
      </c>
      <c r="AE111" s="120">
        <f t="shared" si="42"/>
        <v>0</v>
      </c>
      <c r="AF111" s="120">
        <f t="shared" si="42"/>
        <v>0</v>
      </c>
      <c r="AG111" s="120">
        <f t="shared" si="42"/>
        <v>0</v>
      </c>
      <c r="AH111" s="120">
        <f t="shared" si="42"/>
        <v>0</v>
      </c>
      <c r="AI111" s="120">
        <f t="shared" si="42"/>
        <v>0</v>
      </c>
      <c r="AJ111" s="120">
        <f t="shared" si="42"/>
        <v>0</v>
      </c>
      <c r="AK111" s="120">
        <f t="shared" si="42"/>
        <v>0</v>
      </c>
      <c r="AL111" s="120">
        <f t="shared" si="42"/>
        <v>0</v>
      </c>
      <c r="AM111" s="120">
        <f t="shared" si="42"/>
        <v>0</v>
      </c>
      <c r="AN111" s="120">
        <f t="shared" si="42"/>
        <v>0</v>
      </c>
      <c r="AO111" s="120">
        <f t="shared" si="42"/>
        <v>0</v>
      </c>
      <c r="AP111" s="120">
        <f t="shared" si="42"/>
        <v>0</v>
      </c>
    </row>
    <row r="112" spans="1:42" x14ac:dyDescent="0.4">
      <c r="A112" s="21" t="s">
        <v>13</v>
      </c>
      <c r="B112" s="125">
        <f>SUM(B109:B111)</f>
        <v>0</v>
      </c>
      <c r="C112" s="125">
        <f t="shared" ref="C112:AP112" si="43">SUM(C109:C111)</f>
        <v>0</v>
      </c>
      <c r="D112" s="125">
        <f t="shared" si="43"/>
        <v>0</v>
      </c>
      <c r="E112" s="125">
        <f t="shared" si="43"/>
        <v>0</v>
      </c>
      <c r="F112" s="125">
        <f t="shared" si="43"/>
        <v>0</v>
      </c>
      <c r="G112" s="125">
        <f t="shared" si="43"/>
        <v>0</v>
      </c>
      <c r="H112" s="125">
        <f t="shared" si="43"/>
        <v>0</v>
      </c>
      <c r="I112" s="125">
        <f t="shared" si="43"/>
        <v>0</v>
      </c>
      <c r="J112" s="125">
        <f t="shared" si="43"/>
        <v>0</v>
      </c>
      <c r="K112" s="125">
        <f t="shared" si="43"/>
        <v>0</v>
      </c>
      <c r="L112" s="125">
        <f t="shared" si="43"/>
        <v>0</v>
      </c>
      <c r="M112" s="125">
        <f t="shared" si="43"/>
        <v>0</v>
      </c>
      <c r="N112" s="125">
        <f t="shared" si="43"/>
        <v>0</v>
      </c>
      <c r="O112" s="125">
        <f t="shared" si="43"/>
        <v>0</v>
      </c>
      <c r="P112" s="125">
        <f t="shared" si="43"/>
        <v>0</v>
      </c>
      <c r="Q112" s="125">
        <f t="shared" si="43"/>
        <v>0</v>
      </c>
      <c r="R112" s="125">
        <f t="shared" si="43"/>
        <v>0</v>
      </c>
      <c r="S112" s="125">
        <f t="shared" si="43"/>
        <v>0</v>
      </c>
      <c r="T112" s="125">
        <f t="shared" si="43"/>
        <v>0</v>
      </c>
      <c r="U112" s="125">
        <f t="shared" si="43"/>
        <v>0</v>
      </c>
      <c r="V112" s="125">
        <f t="shared" si="43"/>
        <v>0</v>
      </c>
      <c r="W112" s="125">
        <f t="shared" si="43"/>
        <v>0</v>
      </c>
      <c r="X112" s="125">
        <f t="shared" si="43"/>
        <v>0</v>
      </c>
      <c r="Y112" s="125">
        <f t="shared" si="43"/>
        <v>0</v>
      </c>
      <c r="Z112" s="125">
        <f t="shared" si="43"/>
        <v>0</v>
      </c>
      <c r="AA112" s="125">
        <f t="shared" si="43"/>
        <v>0</v>
      </c>
      <c r="AB112" s="125">
        <f t="shared" si="43"/>
        <v>0</v>
      </c>
      <c r="AC112" s="125">
        <f t="shared" si="43"/>
        <v>0</v>
      </c>
      <c r="AD112" s="125">
        <f t="shared" si="43"/>
        <v>0</v>
      </c>
      <c r="AE112" s="125">
        <f t="shared" si="43"/>
        <v>0</v>
      </c>
      <c r="AF112" s="125">
        <f t="shared" si="43"/>
        <v>0</v>
      </c>
      <c r="AG112" s="125">
        <f t="shared" si="43"/>
        <v>0</v>
      </c>
      <c r="AH112" s="125">
        <f t="shared" si="43"/>
        <v>0</v>
      </c>
      <c r="AI112" s="125">
        <f t="shared" si="43"/>
        <v>0</v>
      </c>
      <c r="AJ112" s="125">
        <f t="shared" si="43"/>
        <v>0</v>
      </c>
      <c r="AK112" s="125">
        <f t="shared" si="43"/>
        <v>0</v>
      </c>
      <c r="AL112" s="125">
        <f t="shared" si="43"/>
        <v>0</v>
      </c>
      <c r="AM112" s="125">
        <f t="shared" si="43"/>
        <v>0</v>
      </c>
      <c r="AN112" s="125">
        <f t="shared" si="43"/>
        <v>0</v>
      </c>
      <c r="AO112" s="125">
        <f t="shared" si="43"/>
        <v>0</v>
      </c>
      <c r="AP112" s="125">
        <f t="shared" si="43"/>
        <v>0</v>
      </c>
    </row>
    <row r="113" spans="1:42" x14ac:dyDescent="0.4">
      <c r="A113" s="202" t="s">
        <v>13</v>
      </c>
      <c r="B113" s="136">
        <f>B99+B107+B112</f>
        <v>-33242989.25</v>
      </c>
      <c r="C113" s="136">
        <f>C107+C112</f>
        <v>0</v>
      </c>
      <c r="D113" s="136">
        <f t="shared" ref="D113:AP113" si="44">D107+D112</f>
        <v>0</v>
      </c>
      <c r="E113" s="136">
        <f t="shared" si="44"/>
        <v>0</v>
      </c>
      <c r="F113" s="136">
        <f t="shared" si="44"/>
        <v>0</v>
      </c>
      <c r="G113" s="136">
        <f t="shared" si="44"/>
        <v>0</v>
      </c>
      <c r="H113" s="136">
        <f t="shared" si="44"/>
        <v>0</v>
      </c>
      <c r="I113" s="136">
        <f t="shared" si="44"/>
        <v>0</v>
      </c>
      <c r="J113" s="136">
        <f t="shared" si="44"/>
        <v>0</v>
      </c>
      <c r="K113" s="136">
        <f t="shared" si="44"/>
        <v>0</v>
      </c>
      <c r="L113" s="136">
        <f t="shared" si="44"/>
        <v>0</v>
      </c>
      <c r="M113" s="136">
        <f t="shared" si="44"/>
        <v>0</v>
      </c>
      <c r="N113" s="136">
        <f t="shared" si="44"/>
        <v>0</v>
      </c>
      <c r="O113" s="136">
        <f t="shared" si="44"/>
        <v>0</v>
      </c>
      <c r="P113" s="136">
        <f t="shared" si="44"/>
        <v>0</v>
      </c>
      <c r="Q113" s="136">
        <f t="shared" si="44"/>
        <v>0</v>
      </c>
      <c r="R113" s="136">
        <f t="shared" si="44"/>
        <v>0</v>
      </c>
      <c r="S113" s="136">
        <f t="shared" si="44"/>
        <v>0</v>
      </c>
      <c r="T113" s="136">
        <f t="shared" si="44"/>
        <v>0</v>
      </c>
      <c r="U113" s="136">
        <f t="shared" si="44"/>
        <v>0</v>
      </c>
      <c r="V113" s="136">
        <f t="shared" si="44"/>
        <v>0</v>
      </c>
      <c r="W113" s="136">
        <f t="shared" si="44"/>
        <v>0</v>
      </c>
      <c r="X113" s="136">
        <f t="shared" si="44"/>
        <v>0</v>
      </c>
      <c r="Y113" s="136">
        <f t="shared" si="44"/>
        <v>0</v>
      </c>
      <c r="Z113" s="136">
        <f t="shared" si="44"/>
        <v>0</v>
      </c>
      <c r="AA113" s="136">
        <f t="shared" si="44"/>
        <v>0</v>
      </c>
      <c r="AB113" s="136">
        <f t="shared" si="44"/>
        <v>0</v>
      </c>
      <c r="AC113" s="136">
        <f t="shared" si="44"/>
        <v>0</v>
      </c>
      <c r="AD113" s="136">
        <f t="shared" si="44"/>
        <v>0</v>
      </c>
      <c r="AE113" s="136">
        <f t="shared" si="44"/>
        <v>0</v>
      </c>
      <c r="AF113" s="136">
        <f t="shared" si="44"/>
        <v>0</v>
      </c>
      <c r="AG113" s="136">
        <f t="shared" si="44"/>
        <v>0</v>
      </c>
      <c r="AH113" s="136">
        <f t="shared" si="44"/>
        <v>0</v>
      </c>
      <c r="AI113" s="136">
        <f t="shared" si="44"/>
        <v>0</v>
      </c>
      <c r="AJ113" s="136">
        <f t="shared" si="44"/>
        <v>0</v>
      </c>
      <c r="AK113" s="136">
        <f t="shared" si="44"/>
        <v>0</v>
      </c>
      <c r="AL113" s="136">
        <f t="shared" si="44"/>
        <v>0</v>
      </c>
      <c r="AM113" s="136">
        <f t="shared" si="44"/>
        <v>0</v>
      </c>
      <c r="AN113" s="136">
        <f t="shared" si="44"/>
        <v>0</v>
      </c>
      <c r="AO113" s="136">
        <f t="shared" si="44"/>
        <v>0</v>
      </c>
      <c r="AP113" s="136">
        <f t="shared" si="44"/>
        <v>0</v>
      </c>
    </row>
    <row r="114" spans="1:42" x14ac:dyDescent="0.4">
      <c r="A114" s="17"/>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row>
    <row r="115" spans="1:42" x14ac:dyDescent="0.4">
      <c r="A115" s="19" t="s">
        <v>50</v>
      </c>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row>
    <row r="116" spans="1:42" x14ac:dyDescent="0.4">
      <c r="A116" s="17" t="s">
        <v>190</v>
      </c>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row>
    <row r="117" spans="1:42" x14ac:dyDescent="0.4">
      <c r="A117" s="86" t="s">
        <v>191</v>
      </c>
      <c r="B117" s="120">
        <f>$B$624</f>
        <v>24932241.9375</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row>
    <row r="118" spans="1:42" x14ac:dyDescent="0.4">
      <c r="A118" s="86" t="s">
        <v>13</v>
      </c>
      <c r="B118" s="119">
        <f>SUM(B117:B117)</f>
        <v>24932241.9375</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row>
    <row r="119" spans="1:42" x14ac:dyDescent="0.4">
      <c r="A119" s="17" t="s">
        <v>189</v>
      </c>
      <c r="B119" s="119">
        <f>-B113-B117</f>
        <v>8310747.3125</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119"/>
      <c r="AK119" s="119"/>
      <c r="AL119" s="119"/>
      <c r="AM119" s="119"/>
      <c r="AN119" s="119"/>
      <c r="AO119" s="119"/>
      <c r="AP119" s="119"/>
    </row>
    <row r="120" spans="1:42" x14ac:dyDescent="0.4">
      <c r="A120" s="17" t="s">
        <v>188</v>
      </c>
      <c r="B120" s="120">
        <v>0</v>
      </c>
      <c r="C120" s="120">
        <f>-C611</f>
        <v>-1858081.615814999</v>
      </c>
      <c r="D120" s="120">
        <f t="shared" ref="D120:AP120" si="45">-D611</f>
        <v>-1919555.835306033</v>
      </c>
      <c r="E120" s="120">
        <f t="shared" si="45"/>
        <v>-1984298.3996189337</v>
      </c>
      <c r="F120" s="120">
        <f t="shared" si="45"/>
        <v>-2051940.5265184348</v>
      </c>
      <c r="G120" s="120">
        <f t="shared" si="45"/>
        <v>-2122514.5396944862</v>
      </c>
      <c r="H120" s="120">
        <f t="shared" si="45"/>
        <v>-2196111.5356416251</v>
      </c>
      <c r="I120" s="120">
        <f t="shared" si="45"/>
        <v>-2272921.674328445</v>
      </c>
      <c r="J120" s="120">
        <f t="shared" si="45"/>
        <v>-2353112.5589284608</v>
      </c>
      <c r="K120" s="120">
        <f t="shared" si="45"/>
        <v>-2436828.1823792602</v>
      </c>
      <c r="L120" s="120">
        <f t="shared" si="45"/>
        <v>604745.84186085395</v>
      </c>
      <c r="M120" s="120">
        <f t="shared" si="45"/>
        <v>-751572.73256247933</v>
      </c>
      <c r="N120" s="120">
        <f t="shared" si="45"/>
        <v>-763025.07221613196</v>
      </c>
      <c r="O120" s="120">
        <f t="shared" si="45"/>
        <v>-774644.21546027681</v>
      </c>
      <c r="P120" s="120">
        <f t="shared" si="45"/>
        <v>-786418.28926912451</v>
      </c>
      <c r="Q120" s="120">
        <f t="shared" si="45"/>
        <v>-798314.32072757266</v>
      </c>
      <c r="R120" s="120">
        <f t="shared" si="45"/>
        <v>-810350.89818890474</v>
      </c>
      <c r="S120" s="120">
        <f t="shared" si="45"/>
        <v>-822508.58887455333</v>
      </c>
      <c r="T120" s="120">
        <f t="shared" si="45"/>
        <v>-834788.79383115377</v>
      </c>
      <c r="U120" s="120">
        <f t="shared" si="45"/>
        <v>0</v>
      </c>
      <c r="V120" s="120">
        <f t="shared" si="45"/>
        <v>0</v>
      </c>
      <c r="W120" s="120">
        <f t="shared" si="45"/>
        <v>0</v>
      </c>
      <c r="X120" s="120">
        <f t="shared" si="45"/>
        <v>0</v>
      </c>
      <c r="Y120" s="120">
        <f t="shared" si="45"/>
        <v>0</v>
      </c>
      <c r="Z120" s="120">
        <f t="shared" si="45"/>
        <v>0</v>
      </c>
      <c r="AA120" s="120">
        <f t="shared" si="45"/>
        <v>0</v>
      </c>
      <c r="AB120" s="120">
        <f t="shared" si="45"/>
        <v>0</v>
      </c>
      <c r="AC120" s="120">
        <f t="shared" si="45"/>
        <v>0</v>
      </c>
      <c r="AD120" s="120">
        <f t="shared" si="45"/>
        <v>0</v>
      </c>
      <c r="AE120" s="120">
        <f t="shared" si="45"/>
        <v>0</v>
      </c>
      <c r="AF120" s="120">
        <f t="shared" si="45"/>
        <v>0</v>
      </c>
      <c r="AG120" s="120">
        <f t="shared" si="45"/>
        <v>0</v>
      </c>
      <c r="AH120" s="120">
        <f t="shared" si="45"/>
        <v>0</v>
      </c>
      <c r="AI120" s="120">
        <f t="shared" si="45"/>
        <v>0</v>
      </c>
      <c r="AJ120" s="120">
        <f t="shared" si="45"/>
        <v>0</v>
      </c>
      <c r="AK120" s="120">
        <f t="shared" si="45"/>
        <v>0</v>
      </c>
      <c r="AL120" s="120">
        <f t="shared" si="45"/>
        <v>0</v>
      </c>
      <c r="AM120" s="120">
        <f t="shared" si="45"/>
        <v>0</v>
      </c>
      <c r="AN120" s="120">
        <f t="shared" si="45"/>
        <v>0</v>
      </c>
      <c r="AO120" s="120">
        <f t="shared" si="45"/>
        <v>0</v>
      </c>
      <c r="AP120" s="120">
        <f t="shared" si="45"/>
        <v>0</v>
      </c>
    </row>
    <row r="121" spans="1:42" x14ac:dyDescent="0.4">
      <c r="A121" s="203" t="s">
        <v>13</v>
      </c>
      <c r="B121" s="119">
        <f>SUM(B118:B120)</f>
        <v>33242989.25</v>
      </c>
      <c r="C121" s="125">
        <f>SUM(C118:C120)</f>
        <v>-1858081.615814999</v>
      </c>
      <c r="D121" s="125">
        <f t="shared" ref="D121:AP121" si="46">SUM(D118:D120)</f>
        <v>-1919555.835306033</v>
      </c>
      <c r="E121" s="125">
        <f t="shared" si="46"/>
        <v>-1984298.3996189337</v>
      </c>
      <c r="F121" s="125">
        <f t="shared" si="46"/>
        <v>-2051940.5265184348</v>
      </c>
      <c r="G121" s="125">
        <f t="shared" si="46"/>
        <v>-2122514.5396944862</v>
      </c>
      <c r="H121" s="125">
        <f t="shared" si="46"/>
        <v>-2196111.5356416251</v>
      </c>
      <c r="I121" s="125">
        <f t="shared" si="46"/>
        <v>-2272921.674328445</v>
      </c>
      <c r="J121" s="125">
        <f t="shared" si="46"/>
        <v>-2353112.5589284608</v>
      </c>
      <c r="K121" s="125">
        <f t="shared" si="46"/>
        <v>-2436828.1823792602</v>
      </c>
      <c r="L121" s="125">
        <f t="shared" si="46"/>
        <v>604745.84186085395</v>
      </c>
      <c r="M121" s="125">
        <f t="shared" si="46"/>
        <v>-751572.73256247933</v>
      </c>
      <c r="N121" s="125">
        <f t="shared" si="46"/>
        <v>-763025.07221613196</v>
      </c>
      <c r="O121" s="125">
        <f t="shared" si="46"/>
        <v>-774644.21546027681</v>
      </c>
      <c r="P121" s="125">
        <f t="shared" si="46"/>
        <v>-786418.28926912451</v>
      </c>
      <c r="Q121" s="125">
        <f t="shared" si="46"/>
        <v>-798314.32072757266</v>
      </c>
      <c r="R121" s="125">
        <f t="shared" si="46"/>
        <v>-810350.89818890474</v>
      </c>
      <c r="S121" s="125">
        <f t="shared" si="46"/>
        <v>-822508.58887455333</v>
      </c>
      <c r="T121" s="125">
        <f t="shared" si="46"/>
        <v>-834788.79383115377</v>
      </c>
      <c r="U121" s="125">
        <f t="shared" si="46"/>
        <v>0</v>
      </c>
      <c r="V121" s="125">
        <f t="shared" si="46"/>
        <v>0</v>
      </c>
      <c r="W121" s="125">
        <f t="shared" si="46"/>
        <v>0</v>
      </c>
      <c r="X121" s="125">
        <f t="shared" si="46"/>
        <v>0</v>
      </c>
      <c r="Y121" s="125">
        <f t="shared" si="46"/>
        <v>0</v>
      </c>
      <c r="Z121" s="125">
        <f t="shared" si="46"/>
        <v>0</v>
      </c>
      <c r="AA121" s="125">
        <f t="shared" si="46"/>
        <v>0</v>
      </c>
      <c r="AB121" s="125">
        <f t="shared" si="46"/>
        <v>0</v>
      </c>
      <c r="AC121" s="125">
        <f t="shared" si="46"/>
        <v>0</v>
      </c>
      <c r="AD121" s="125">
        <f t="shared" si="46"/>
        <v>0</v>
      </c>
      <c r="AE121" s="125">
        <f t="shared" si="46"/>
        <v>0</v>
      </c>
      <c r="AF121" s="125">
        <f t="shared" si="46"/>
        <v>0</v>
      </c>
      <c r="AG121" s="125">
        <f t="shared" si="46"/>
        <v>0</v>
      </c>
      <c r="AH121" s="125">
        <f t="shared" si="46"/>
        <v>0</v>
      </c>
      <c r="AI121" s="125">
        <f t="shared" si="46"/>
        <v>0</v>
      </c>
      <c r="AJ121" s="125">
        <f t="shared" si="46"/>
        <v>0</v>
      </c>
      <c r="AK121" s="125">
        <f t="shared" si="46"/>
        <v>0</v>
      </c>
      <c r="AL121" s="125">
        <f t="shared" si="46"/>
        <v>0</v>
      </c>
      <c r="AM121" s="125">
        <f t="shared" si="46"/>
        <v>0</v>
      </c>
      <c r="AN121" s="125">
        <f t="shared" si="46"/>
        <v>0</v>
      </c>
      <c r="AO121" s="125">
        <f t="shared" si="46"/>
        <v>0</v>
      </c>
      <c r="AP121" s="125">
        <f t="shared" si="46"/>
        <v>0</v>
      </c>
    </row>
    <row r="122" spans="1:42" s="204" customFormat="1" ht="13.5" thickBot="1" x14ac:dyDescent="0.45">
      <c r="A122" s="203"/>
      <c r="B122" s="125"/>
      <c r="C122" s="125"/>
      <c r="D122" s="125"/>
      <c r="E122" s="125"/>
      <c r="F122" s="125"/>
      <c r="G122" s="125"/>
      <c r="H122" s="125"/>
      <c r="I122" s="125"/>
      <c r="J122" s="125"/>
      <c r="K122" s="125"/>
      <c r="L122" s="125"/>
      <c r="M122" s="125"/>
      <c r="N122" s="125"/>
      <c r="O122" s="125"/>
      <c r="P122" s="125"/>
      <c r="Q122" s="125"/>
      <c r="R122" s="125"/>
      <c r="S122" s="125"/>
      <c r="T122" s="125"/>
      <c r="U122" s="125"/>
      <c r="V122" s="125"/>
      <c r="W122" s="125"/>
      <c r="X122" s="125"/>
      <c r="Y122" s="125"/>
      <c r="Z122" s="125"/>
      <c r="AA122" s="125"/>
      <c r="AB122" s="125"/>
      <c r="AC122" s="125"/>
      <c r="AD122" s="125"/>
      <c r="AE122" s="125"/>
      <c r="AF122" s="125"/>
      <c r="AG122" s="125"/>
      <c r="AH122" s="125"/>
      <c r="AI122" s="125"/>
      <c r="AJ122" s="125"/>
      <c r="AK122" s="125"/>
      <c r="AL122" s="125"/>
      <c r="AM122" s="125"/>
      <c r="AN122" s="125"/>
      <c r="AO122" s="125"/>
      <c r="AP122" s="125"/>
    </row>
    <row r="123" spans="1:42" ht="13.5" thickTop="1" x14ac:dyDescent="0.4">
      <c r="A123" s="80" t="s">
        <v>240</v>
      </c>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row>
    <row r="124" spans="1:42" x14ac:dyDescent="0.4">
      <c r="A124" s="19" t="s">
        <v>241</v>
      </c>
    </row>
    <row r="125" spans="1:42" x14ac:dyDescent="0.4">
      <c r="A125" s="86" t="s">
        <v>189</v>
      </c>
      <c r="B125" s="119">
        <f t="shared" ref="B125:AP125" si="47">-B119</f>
        <v>-8310747.3125</v>
      </c>
      <c r="C125" s="119">
        <f t="shared" si="47"/>
        <v>0</v>
      </c>
      <c r="D125" s="119">
        <f t="shared" si="47"/>
        <v>0</v>
      </c>
      <c r="E125" s="119">
        <f t="shared" si="47"/>
        <v>0</v>
      </c>
      <c r="F125" s="119">
        <f t="shared" si="47"/>
        <v>0</v>
      </c>
      <c r="G125" s="119">
        <f t="shared" si="47"/>
        <v>0</v>
      </c>
      <c r="H125" s="119">
        <f t="shared" si="47"/>
        <v>0</v>
      </c>
      <c r="I125" s="119">
        <f t="shared" si="47"/>
        <v>0</v>
      </c>
      <c r="J125" s="119">
        <f t="shared" si="47"/>
        <v>0</v>
      </c>
      <c r="K125" s="119">
        <f t="shared" si="47"/>
        <v>0</v>
      </c>
      <c r="L125" s="119">
        <f t="shared" si="47"/>
        <v>0</v>
      </c>
      <c r="M125" s="119">
        <f t="shared" si="47"/>
        <v>0</v>
      </c>
      <c r="N125" s="119">
        <f t="shared" si="47"/>
        <v>0</v>
      </c>
      <c r="O125" s="119">
        <f t="shared" si="47"/>
        <v>0</v>
      </c>
      <c r="P125" s="119">
        <f t="shared" si="47"/>
        <v>0</v>
      </c>
      <c r="Q125" s="119">
        <f t="shared" si="47"/>
        <v>0</v>
      </c>
      <c r="R125" s="119">
        <f t="shared" si="47"/>
        <v>0</v>
      </c>
      <c r="S125" s="119">
        <f t="shared" si="47"/>
        <v>0</v>
      </c>
      <c r="T125" s="119">
        <f t="shared" si="47"/>
        <v>0</v>
      </c>
      <c r="U125" s="119">
        <f t="shared" si="47"/>
        <v>0</v>
      </c>
      <c r="V125" s="119">
        <f t="shared" si="47"/>
        <v>0</v>
      </c>
      <c r="W125" s="119">
        <f t="shared" si="47"/>
        <v>0</v>
      </c>
      <c r="X125" s="119">
        <f t="shared" si="47"/>
        <v>0</v>
      </c>
      <c r="Y125" s="119">
        <f t="shared" si="47"/>
        <v>0</v>
      </c>
      <c r="Z125" s="119">
        <f t="shared" si="47"/>
        <v>0</v>
      </c>
      <c r="AA125" s="119">
        <f t="shared" si="47"/>
        <v>0</v>
      </c>
      <c r="AB125" s="119">
        <f t="shared" si="47"/>
        <v>0</v>
      </c>
      <c r="AC125" s="119">
        <f t="shared" si="47"/>
        <v>0</v>
      </c>
      <c r="AD125" s="119">
        <f t="shared" si="47"/>
        <v>0</v>
      </c>
      <c r="AE125" s="119">
        <f t="shared" si="47"/>
        <v>0</v>
      </c>
      <c r="AF125" s="119">
        <f t="shared" si="47"/>
        <v>0</v>
      </c>
      <c r="AG125" s="119">
        <f t="shared" si="47"/>
        <v>0</v>
      </c>
      <c r="AH125" s="119">
        <f t="shared" si="47"/>
        <v>0</v>
      </c>
      <c r="AI125" s="119">
        <f t="shared" si="47"/>
        <v>0</v>
      </c>
      <c r="AJ125" s="119">
        <f t="shared" si="47"/>
        <v>0</v>
      </c>
      <c r="AK125" s="119">
        <f t="shared" si="47"/>
        <v>0</v>
      </c>
      <c r="AL125" s="119">
        <f t="shared" si="47"/>
        <v>0</v>
      </c>
      <c r="AM125" s="119">
        <f t="shared" si="47"/>
        <v>0</v>
      </c>
      <c r="AN125" s="119">
        <f t="shared" si="47"/>
        <v>0</v>
      </c>
      <c r="AO125" s="119">
        <f t="shared" si="47"/>
        <v>0</v>
      </c>
      <c r="AP125" s="119">
        <f t="shared" si="47"/>
        <v>0</v>
      </c>
    </row>
    <row r="126" spans="1:42" x14ac:dyDescent="0.4">
      <c r="A126" s="86" t="s">
        <v>296</v>
      </c>
      <c r="B126" s="120">
        <f t="shared" ref="B126:AP126" si="48">B88+B113+B121</f>
        <v>0</v>
      </c>
      <c r="C126" s="120">
        <f t="shared" si="48"/>
        <v>809759.27731000143</v>
      </c>
      <c r="D126" s="120">
        <f t="shared" si="48"/>
        <v>801561.811109717</v>
      </c>
      <c r="E126" s="120">
        <f t="shared" si="48"/>
        <v>793415.10887461831</v>
      </c>
      <c r="F126" s="120">
        <f t="shared" si="48"/>
        <v>785180.36352637596</v>
      </c>
      <c r="G126" s="120">
        <f t="shared" si="48"/>
        <v>776828.1927858172</v>
      </c>
      <c r="H126" s="120">
        <f t="shared" si="48"/>
        <v>768344.12183571188</v>
      </c>
      <c r="I126" s="120">
        <f t="shared" si="48"/>
        <v>759738.32539359014</v>
      </c>
      <c r="J126" s="120">
        <f t="shared" si="48"/>
        <v>751012.61510917963</v>
      </c>
      <c r="K126" s="120">
        <f t="shared" si="48"/>
        <v>742160.45896896534</v>
      </c>
      <c r="L126" s="120">
        <f t="shared" si="48"/>
        <v>-82914.486323689925</v>
      </c>
      <c r="M126" s="120">
        <f t="shared" si="48"/>
        <v>278723.91679190635</v>
      </c>
      <c r="N126" s="120">
        <f t="shared" si="48"/>
        <v>271909.71438915003</v>
      </c>
      <c r="O126" s="120">
        <f t="shared" si="48"/>
        <v>264989.66864415375</v>
      </c>
      <c r="P126" s="120">
        <f t="shared" si="48"/>
        <v>257958.50759386993</v>
      </c>
      <c r="Q126" s="120">
        <f t="shared" si="48"/>
        <v>250805.61088406679</v>
      </c>
      <c r="R126" s="120">
        <f t="shared" si="48"/>
        <v>243534.2362514321</v>
      </c>
      <c r="S126" s="120">
        <f t="shared" si="48"/>
        <v>236137.48243735568</v>
      </c>
      <c r="T126" s="120">
        <f t="shared" si="48"/>
        <v>228614.1354356627</v>
      </c>
      <c r="U126" s="120">
        <f t="shared" si="48"/>
        <v>1068158.6601823326</v>
      </c>
      <c r="V126" s="120">
        <f t="shared" si="48"/>
        <v>-4017770.1430631094</v>
      </c>
      <c r="W126" s="120">
        <f t="shared" si="48"/>
        <v>990447.09036031319</v>
      </c>
      <c r="X126" s="120">
        <f t="shared" si="48"/>
        <v>951542.51136932103</v>
      </c>
      <c r="Y126" s="120">
        <f t="shared" si="48"/>
        <v>912007.69190355437</v>
      </c>
      <c r="Z126" s="120">
        <f t="shared" si="48"/>
        <v>871763.63595114322</v>
      </c>
      <c r="AA126" s="120">
        <f t="shared" si="48"/>
        <v>7214012.6803499218</v>
      </c>
      <c r="AB126" s="120">
        <f t="shared" si="48"/>
        <v>0</v>
      </c>
      <c r="AC126" s="120">
        <f t="shared" si="48"/>
        <v>0</v>
      </c>
      <c r="AD126" s="120">
        <f t="shared" si="48"/>
        <v>0</v>
      </c>
      <c r="AE126" s="120">
        <f t="shared" si="48"/>
        <v>0</v>
      </c>
      <c r="AF126" s="120">
        <f t="shared" si="48"/>
        <v>0</v>
      </c>
      <c r="AG126" s="120">
        <f t="shared" si="48"/>
        <v>0</v>
      </c>
      <c r="AH126" s="120">
        <f t="shared" si="48"/>
        <v>0</v>
      </c>
      <c r="AI126" s="120">
        <f t="shared" si="48"/>
        <v>0</v>
      </c>
      <c r="AJ126" s="120">
        <f t="shared" si="48"/>
        <v>0</v>
      </c>
      <c r="AK126" s="120">
        <f t="shared" si="48"/>
        <v>0</v>
      </c>
      <c r="AL126" s="120">
        <f t="shared" si="48"/>
        <v>0</v>
      </c>
      <c r="AM126" s="120">
        <f t="shared" si="48"/>
        <v>0</v>
      </c>
      <c r="AN126" s="120">
        <f t="shared" si="48"/>
        <v>0</v>
      </c>
      <c r="AO126" s="120">
        <f t="shared" si="48"/>
        <v>0</v>
      </c>
      <c r="AP126" s="120">
        <f t="shared" si="48"/>
        <v>0</v>
      </c>
    </row>
    <row r="127" spans="1:42" x14ac:dyDescent="0.4">
      <c r="A127" s="206" t="s">
        <v>13</v>
      </c>
      <c r="B127" s="136">
        <f>SUM(B125:B126)</f>
        <v>-8310747.3125</v>
      </c>
      <c r="C127" s="136">
        <f t="shared" ref="C127:AP127" si="49">SUM(C125:C126)</f>
        <v>809759.27731000143</v>
      </c>
      <c r="D127" s="136">
        <f t="shared" si="49"/>
        <v>801561.811109717</v>
      </c>
      <c r="E127" s="136">
        <f t="shared" si="49"/>
        <v>793415.10887461831</v>
      </c>
      <c r="F127" s="136">
        <f t="shared" si="49"/>
        <v>785180.36352637596</v>
      </c>
      <c r="G127" s="136">
        <f t="shared" si="49"/>
        <v>776828.1927858172</v>
      </c>
      <c r="H127" s="136">
        <f t="shared" si="49"/>
        <v>768344.12183571188</v>
      </c>
      <c r="I127" s="136">
        <f t="shared" si="49"/>
        <v>759738.32539359014</v>
      </c>
      <c r="J127" s="136">
        <f t="shared" si="49"/>
        <v>751012.61510917963</v>
      </c>
      <c r="K127" s="136">
        <f t="shared" si="49"/>
        <v>742160.45896896534</v>
      </c>
      <c r="L127" s="136">
        <f t="shared" si="49"/>
        <v>-82914.486323689925</v>
      </c>
      <c r="M127" s="136">
        <f t="shared" si="49"/>
        <v>278723.91679190635</v>
      </c>
      <c r="N127" s="136">
        <f t="shared" si="49"/>
        <v>271909.71438915003</v>
      </c>
      <c r="O127" s="136">
        <f t="shared" si="49"/>
        <v>264989.66864415375</v>
      </c>
      <c r="P127" s="136">
        <f t="shared" si="49"/>
        <v>257958.50759386993</v>
      </c>
      <c r="Q127" s="136">
        <f t="shared" si="49"/>
        <v>250805.61088406679</v>
      </c>
      <c r="R127" s="136">
        <f t="shared" si="49"/>
        <v>243534.2362514321</v>
      </c>
      <c r="S127" s="136">
        <f t="shared" si="49"/>
        <v>236137.48243735568</v>
      </c>
      <c r="T127" s="136">
        <f t="shared" si="49"/>
        <v>228614.1354356627</v>
      </c>
      <c r="U127" s="136">
        <f t="shared" si="49"/>
        <v>1068158.6601823326</v>
      </c>
      <c r="V127" s="136">
        <f t="shared" si="49"/>
        <v>-4017770.1430631094</v>
      </c>
      <c r="W127" s="136">
        <f t="shared" si="49"/>
        <v>990447.09036031319</v>
      </c>
      <c r="X127" s="136">
        <f t="shared" si="49"/>
        <v>951542.51136932103</v>
      </c>
      <c r="Y127" s="136">
        <f t="shared" si="49"/>
        <v>912007.69190355437</v>
      </c>
      <c r="Z127" s="136">
        <f t="shared" si="49"/>
        <v>871763.63595114322</v>
      </c>
      <c r="AA127" s="136">
        <f t="shared" si="49"/>
        <v>7214012.6803499218</v>
      </c>
      <c r="AB127" s="136">
        <f t="shared" si="49"/>
        <v>0</v>
      </c>
      <c r="AC127" s="136">
        <f t="shared" si="49"/>
        <v>0</v>
      </c>
      <c r="AD127" s="136">
        <f t="shared" si="49"/>
        <v>0</v>
      </c>
      <c r="AE127" s="136">
        <f t="shared" si="49"/>
        <v>0</v>
      </c>
      <c r="AF127" s="136">
        <f t="shared" si="49"/>
        <v>0</v>
      </c>
      <c r="AG127" s="136">
        <f t="shared" si="49"/>
        <v>0</v>
      </c>
      <c r="AH127" s="136">
        <f t="shared" si="49"/>
        <v>0</v>
      </c>
      <c r="AI127" s="136">
        <f t="shared" si="49"/>
        <v>0</v>
      </c>
      <c r="AJ127" s="136">
        <f t="shared" si="49"/>
        <v>0</v>
      </c>
      <c r="AK127" s="136">
        <f t="shared" si="49"/>
        <v>0</v>
      </c>
      <c r="AL127" s="136">
        <f t="shared" si="49"/>
        <v>0</v>
      </c>
      <c r="AM127" s="136">
        <f t="shared" si="49"/>
        <v>0</v>
      </c>
      <c r="AN127" s="136">
        <f t="shared" si="49"/>
        <v>0</v>
      </c>
      <c r="AO127" s="136">
        <f t="shared" si="49"/>
        <v>0</v>
      </c>
      <c r="AP127" s="136">
        <f t="shared" si="49"/>
        <v>0</v>
      </c>
    </row>
    <row r="128" spans="1:42" x14ac:dyDescent="0.4">
      <c r="A128" s="17"/>
    </row>
    <row r="129" spans="1:42" x14ac:dyDescent="0.4">
      <c r="A129" s="19" t="s">
        <v>242</v>
      </c>
    </row>
    <row r="130" spans="1:42" x14ac:dyDescent="0.4">
      <c r="A130" s="86" t="s">
        <v>388</v>
      </c>
    </row>
    <row r="131" spans="1:42" x14ac:dyDescent="0.4">
      <c r="A131" s="87" t="s">
        <v>5</v>
      </c>
      <c r="B131" s="119"/>
      <c r="C131" s="119">
        <f>C$545</f>
        <v>1386954.0525000002</v>
      </c>
      <c r="D131" s="119">
        <f t="shared" ref="D131:AP131" si="50">D$545</f>
        <v>1386954.0525000002</v>
      </c>
      <c r="E131" s="119">
        <f t="shared" si="50"/>
        <v>1386954.0525000002</v>
      </c>
      <c r="F131" s="119">
        <f t="shared" si="50"/>
        <v>1386954.0525000002</v>
      </c>
      <c r="G131" s="119">
        <f t="shared" si="50"/>
        <v>1386954.0525000002</v>
      </c>
      <c r="H131" s="119">
        <f t="shared" si="50"/>
        <v>1386954.0525000002</v>
      </c>
      <c r="I131" s="119">
        <f t="shared" si="50"/>
        <v>0</v>
      </c>
      <c r="J131" s="119">
        <f t="shared" si="50"/>
        <v>0</v>
      </c>
      <c r="K131" s="119">
        <f t="shared" si="50"/>
        <v>0</v>
      </c>
      <c r="L131" s="119">
        <f t="shared" si="50"/>
        <v>0</v>
      </c>
      <c r="M131" s="119">
        <f t="shared" si="50"/>
        <v>0</v>
      </c>
      <c r="N131" s="119">
        <f t="shared" si="50"/>
        <v>0</v>
      </c>
      <c r="O131" s="119">
        <f t="shared" si="50"/>
        <v>0</v>
      </c>
      <c r="P131" s="119">
        <f t="shared" si="50"/>
        <v>0</v>
      </c>
      <c r="Q131" s="119">
        <f t="shared" si="50"/>
        <v>0</v>
      </c>
      <c r="R131" s="119">
        <f t="shared" si="50"/>
        <v>0</v>
      </c>
      <c r="S131" s="119">
        <f t="shared" si="50"/>
        <v>0</v>
      </c>
      <c r="T131" s="119">
        <f t="shared" si="50"/>
        <v>0</v>
      </c>
      <c r="U131" s="119">
        <f t="shared" si="50"/>
        <v>0</v>
      </c>
      <c r="V131" s="119">
        <f t="shared" si="50"/>
        <v>0</v>
      </c>
      <c r="W131" s="119">
        <f t="shared" si="50"/>
        <v>0</v>
      </c>
      <c r="X131" s="119">
        <f t="shared" si="50"/>
        <v>0</v>
      </c>
      <c r="Y131" s="119">
        <f t="shared" si="50"/>
        <v>0</v>
      </c>
      <c r="Z131" s="119">
        <f t="shared" si="50"/>
        <v>0</v>
      </c>
      <c r="AA131" s="119">
        <f t="shared" si="50"/>
        <v>0</v>
      </c>
      <c r="AB131" s="119">
        <f t="shared" si="50"/>
        <v>0</v>
      </c>
      <c r="AC131" s="119">
        <f t="shared" si="50"/>
        <v>0</v>
      </c>
      <c r="AD131" s="119">
        <f t="shared" si="50"/>
        <v>0</v>
      </c>
      <c r="AE131" s="119">
        <f t="shared" si="50"/>
        <v>0</v>
      </c>
      <c r="AF131" s="119">
        <f t="shared" si="50"/>
        <v>0</v>
      </c>
      <c r="AG131" s="119">
        <f t="shared" si="50"/>
        <v>0</v>
      </c>
      <c r="AH131" s="119">
        <f t="shared" si="50"/>
        <v>0</v>
      </c>
      <c r="AI131" s="119">
        <f t="shared" si="50"/>
        <v>0</v>
      </c>
      <c r="AJ131" s="119">
        <f t="shared" si="50"/>
        <v>0</v>
      </c>
      <c r="AK131" s="119">
        <f t="shared" si="50"/>
        <v>0</v>
      </c>
      <c r="AL131" s="119">
        <f t="shared" si="50"/>
        <v>0</v>
      </c>
      <c r="AM131" s="119">
        <f t="shared" si="50"/>
        <v>0</v>
      </c>
      <c r="AN131" s="119">
        <f t="shared" si="50"/>
        <v>0</v>
      </c>
      <c r="AO131" s="119">
        <f t="shared" si="50"/>
        <v>0</v>
      </c>
      <c r="AP131" s="119">
        <f t="shared" si="50"/>
        <v>0</v>
      </c>
    </row>
    <row r="132" spans="1:42" x14ac:dyDescent="0.4">
      <c r="A132" s="87" t="s">
        <v>4</v>
      </c>
      <c r="B132" s="119"/>
      <c r="C132" s="119">
        <f>C$551</f>
        <v>0</v>
      </c>
      <c r="D132" s="119">
        <f t="shared" ref="D132:AP132" si="51">D$551</f>
        <v>0</v>
      </c>
      <c r="E132" s="119">
        <f t="shared" si="51"/>
        <v>0</v>
      </c>
      <c r="F132" s="119">
        <f t="shared" si="51"/>
        <v>0</v>
      </c>
      <c r="G132" s="119">
        <f t="shared" si="51"/>
        <v>0</v>
      </c>
      <c r="H132" s="119">
        <f t="shared" si="51"/>
        <v>0</v>
      </c>
      <c r="I132" s="119">
        <f t="shared" si="51"/>
        <v>0</v>
      </c>
      <c r="J132" s="119">
        <f t="shared" si="51"/>
        <v>0</v>
      </c>
      <c r="K132" s="119">
        <f t="shared" si="51"/>
        <v>0</v>
      </c>
      <c r="L132" s="119">
        <f t="shared" si="51"/>
        <v>0</v>
      </c>
      <c r="M132" s="119">
        <f t="shared" si="51"/>
        <v>0</v>
      </c>
      <c r="N132" s="119">
        <f t="shared" si="51"/>
        <v>0</v>
      </c>
      <c r="O132" s="119">
        <f t="shared" si="51"/>
        <v>0</v>
      </c>
      <c r="P132" s="119">
        <f t="shared" si="51"/>
        <v>0</v>
      </c>
      <c r="Q132" s="119">
        <f t="shared" si="51"/>
        <v>0</v>
      </c>
      <c r="R132" s="119">
        <f t="shared" si="51"/>
        <v>0</v>
      </c>
      <c r="S132" s="119">
        <f t="shared" si="51"/>
        <v>0</v>
      </c>
      <c r="T132" s="119">
        <f t="shared" si="51"/>
        <v>0</v>
      </c>
      <c r="U132" s="119">
        <f t="shared" si="51"/>
        <v>0</v>
      </c>
      <c r="V132" s="119">
        <f t="shared" si="51"/>
        <v>0</v>
      </c>
      <c r="W132" s="119">
        <f t="shared" si="51"/>
        <v>0</v>
      </c>
      <c r="X132" s="119">
        <f t="shared" si="51"/>
        <v>0</v>
      </c>
      <c r="Y132" s="119">
        <f t="shared" si="51"/>
        <v>0</v>
      </c>
      <c r="Z132" s="119">
        <f t="shared" si="51"/>
        <v>0</v>
      </c>
      <c r="AA132" s="119">
        <f t="shared" si="51"/>
        <v>0</v>
      </c>
      <c r="AB132" s="119">
        <f t="shared" si="51"/>
        <v>0</v>
      </c>
      <c r="AC132" s="119">
        <f t="shared" si="51"/>
        <v>0</v>
      </c>
      <c r="AD132" s="119">
        <f t="shared" si="51"/>
        <v>0</v>
      </c>
      <c r="AE132" s="119">
        <f t="shared" si="51"/>
        <v>0</v>
      </c>
      <c r="AF132" s="119">
        <f t="shared" si="51"/>
        <v>0</v>
      </c>
      <c r="AG132" s="119">
        <f t="shared" si="51"/>
        <v>0</v>
      </c>
      <c r="AH132" s="119">
        <f t="shared" si="51"/>
        <v>0</v>
      </c>
      <c r="AI132" s="119">
        <f t="shared" si="51"/>
        <v>0</v>
      </c>
      <c r="AJ132" s="119">
        <f t="shared" si="51"/>
        <v>0</v>
      </c>
      <c r="AK132" s="119">
        <f t="shared" si="51"/>
        <v>0</v>
      </c>
      <c r="AL132" s="119">
        <f t="shared" si="51"/>
        <v>0</v>
      </c>
      <c r="AM132" s="119">
        <f t="shared" si="51"/>
        <v>0</v>
      </c>
      <c r="AN132" s="119">
        <f t="shared" si="51"/>
        <v>0</v>
      </c>
      <c r="AO132" s="119">
        <f t="shared" si="51"/>
        <v>0</v>
      </c>
      <c r="AP132" s="119">
        <f t="shared" si="51"/>
        <v>0</v>
      </c>
    </row>
    <row r="133" spans="1:42" x14ac:dyDescent="0.4">
      <c r="A133" s="87" t="s">
        <v>13</v>
      </c>
      <c r="B133" s="125"/>
      <c r="C133" s="125">
        <f t="shared" ref="C133:AP133" si="52">C$131+C$132</f>
        <v>1386954.0525000002</v>
      </c>
      <c r="D133" s="125">
        <f t="shared" si="52"/>
        <v>1386954.0525000002</v>
      </c>
      <c r="E133" s="125">
        <f t="shared" si="52"/>
        <v>1386954.0525000002</v>
      </c>
      <c r="F133" s="125">
        <f t="shared" si="52"/>
        <v>1386954.0525000002</v>
      </c>
      <c r="G133" s="125">
        <f t="shared" si="52"/>
        <v>1386954.0525000002</v>
      </c>
      <c r="H133" s="125">
        <f t="shared" si="52"/>
        <v>1386954.0525000002</v>
      </c>
      <c r="I133" s="125">
        <f t="shared" si="52"/>
        <v>0</v>
      </c>
      <c r="J133" s="125">
        <f t="shared" si="52"/>
        <v>0</v>
      </c>
      <c r="K133" s="125">
        <f t="shared" si="52"/>
        <v>0</v>
      </c>
      <c r="L133" s="125">
        <f t="shared" si="52"/>
        <v>0</v>
      </c>
      <c r="M133" s="125">
        <f t="shared" si="52"/>
        <v>0</v>
      </c>
      <c r="N133" s="125">
        <f t="shared" si="52"/>
        <v>0</v>
      </c>
      <c r="O133" s="125">
        <f t="shared" si="52"/>
        <v>0</v>
      </c>
      <c r="P133" s="125">
        <f t="shared" si="52"/>
        <v>0</v>
      </c>
      <c r="Q133" s="125">
        <f t="shared" si="52"/>
        <v>0</v>
      </c>
      <c r="R133" s="125">
        <f t="shared" si="52"/>
        <v>0</v>
      </c>
      <c r="S133" s="125">
        <f t="shared" si="52"/>
        <v>0</v>
      </c>
      <c r="T133" s="125">
        <f t="shared" si="52"/>
        <v>0</v>
      </c>
      <c r="U133" s="125">
        <f t="shared" si="52"/>
        <v>0</v>
      </c>
      <c r="V133" s="125">
        <f t="shared" si="52"/>
        <v>0</v>
      </c>
      <c r="W133" s="125">
        <f t="shared" si="52"/>
        <v>0</v>
      </c>
      <c r="X133" s="125">
        <f t="shared" si="52"/>
        <v>0</v>
      </c>
      <c r="Y133" s="125">
        <f t="shared" si="52"/>
        <v>0</v>
      </c>
      <c r="Z133" s="125">
        <f t="shared" si="52"/>
        <v>0</v>
      </c>
      <c r="AA133" s="125">
        <f t="shared" si="52"/>
        <v>0</v>
      </c>
      <c r="AB133" s="125">
        <f t="shared" si="52"/>
        <v>0</v>
      </c>
      <c r="AC133" s="125">
        <f t="shared" si="52"/>
        <v>0</v>
      </c>
      <c r="AD133" s="125">
        <f t="shared" si="52"/>
        <v>0</v>
      </c>
      <c r="AE133" s="125">
        <f t="shared" si="52"/>
        <v>0</v>
      </c>
      <c r="AF133" s="125">
        <f t="shared" si="52"/>
        <v>0</v>
      </c>
      <c r="AG133" s="125">
        <f t="shared" si="52"/>
        <v>0</v>
      </c>
      <c r="AH133" s="125">
        <f t="shared" si="52"/>
        <v>0</v>
      </c>
      <c r="AI133" s="125">
        <f t="shared" si="52"/>
        <v>0</v>
      </c>
      <c r="AJ133" s="125">
        <f t="shared" si="52"/>
        <v>0</v>
      </c>
      <c r="AK133" s="125">
        <f t="shared" si="52"/>
        <v>0</v>
      </c>
      <c r="AL133" s="125">
        <f t="shared" si="52"/>
        <v>0</v>
      </c>
      <c r="AM133" s="125">
        <f t="shared" si="52"/>
        <v>0</v>
      </c>
      <c r="AN133" s="125">
        <f t="shared" si="52"/>
        <v>0</v>
      </c>
      <c r="AO133" s="125">
        <f t="shared" si="52"/>
        <v>0</v>
      </c>
      <c r="AP133" s="125">
        <f t="shared" si="52"/>
        <v>0</v>
      </c>
    </row>
    <row r="134" spans="1:42" x14ac:dyDescent="0.4">
      <c r="A134" s="86" t="s">
        <v>48</v>
      </c>
    </row>
    <row r="135" spans="1:42" x14ac:dyDescent="0.4">
      <c r="A135" s="87" t="s">
        <v>5</v>
      </c>
      <c r="B135" s="119">
        <f>B558</f>
        <v>0</v>
      </c>
      <c r="C135" s="119">
        <f t="shared" ref="C135:AO135" si="53">C558</f>
        <v>0</v>
      </c>
      <c r="D135" s="119">
        <f t="shared" si="53"/>
        <v>0</v>
      </c>
      <c r="E135" s="119">
        <f t="shared" si="53"/>
        <v>0</v>
      </c>
      <c r="F135" s="119">
        <f t="shared" si="53"/>
        <v>0</v>
      </c>
      <c r="G135" s="119">
        <f t="shared" si="53"/>
        <v>0</v>
      </c>
      <c r="H135" s="119">
        <f t="shared" si="53"/>
        <v>0</v>
      </c>
      <c r="I135" s="119">
        <f t="shared" si="53"/>
        <v>0</v>
      </c>
      <c r="J135" s="119">
        <f t="shared" si="53"/>
        <v>0</v>
      </c>
      <c r="K135" s="119">
        <f t="shared" si="53"/>
        <v>0</v>
      </c>
      <c r="L135" s="119">
        <f t="shared" si="53"/>
        <v>0</v>
      </c>
      <c r="M135" s="119">
        <f t="shared" si="53"/>
        <v>0</v>
      </c>
      <c r="N135" s="119">
        <f t="shared" si="53"/>
        <v>0</v>
      </c>
      <c r="O135" s="119">
        <f t="shared" si="53"/>
        <v>0</v>
      </c>
      <c r="P135" s="119">
        <f t="shared" si="53"/>
        <v>0</v>
      </c>
      <c r="Q135" s="119">
        <f t="shared" si="53"/>
        <v>0</v>
      </c>
      <c r="R135" s="119">
        <f t="shared" si="53"/>
        <v>0</v>
      </c>
      <c r="S135" s="119">
        <f t="shared" si="53"/>
        <v>0</v>
      </c>
      <c r="T135" s="119">
        <f t="shared" si="53"/>
        <v>0</v>
      </c>
      <c r="U135" s="119">
        <f t="shared" si="53"/>
        <v>0</v>
      </c>
      <c r="V135" s="119">
        <f t="shared" si="53"/>
        <v>0</v>
      </c>
      <c r="W135" s="119">
        <f t="shared" si="53"/>
        <v>0</v>
      </c>
      <c r="X135" s="119">
        <f t="shared" si="53"/>
        <v>0</v>
      </c>
      <c r="Y135" s="119">
        <f t="shared" si="53"/>
        <v>0</v>
      </c>
      <c r="Z135" s="119">
        <f t="shared" si="53"/>
        <v>0</v>
      </c>
      <c r="AA135" s="119">
        <f t="shared" si="53"/>
        <v>0</v>
      </c>
      <c r="AB135" s="119">
        <f t="shared" si="53"/>
        <v>0</v>
      </c>
      <c r="AC135" s="119">
        <f t="shared" si="53"/>
        <v>0</v>
      </c>
      <c r="AD135" s="119">
        <f t="shared" si="53"/>
        <v>0</v>
      </c>
      <c r="AE135" s="119">
        <f t="shared" si="53"/>
        <v>0</v>
      </c>
      <c r="AF135" s="119">
        <f t="shared" si="53"/>
        <v>0</v>
      </c>
      <c r="AG135" s="119">
        <f t="shared" si="53"/>
        <v>0</v>
      </c>
      <c r="AH135" s="119">
        <f t="shared" si="53"/>
        <v>0</v>
      </c>
      <c r="AI135" s="119">
        <f t="shared" si="53"/>
        <v>0</v>
      </c>
      <c r="AJ135" s="119">
        <f t="shared" si="53"/>
        <v>0</v>
      </c>
      <c r="AK135" s="119">
        <f t="shared" si="53"/>
        <v>0</v>
      </c>
      <c r="AL135" s="119">
        <f t="shared" si="53"/>
        <v>0</v>
      </c>
      <c r="AM135" s="119">
        <f t="shared" si="53"/>
        <v>0</v>
      </c>
      <c r="AN135" s="119">
        <f t="shared" si="53"/>
        <v>0</v>
      </c>
      <c r="AO135" s="119">
        <f t="shared" si="53"/>
        <v>0</v>
      </c>
      <c r="AP135" s="119">
        <f>AP558</f>
        <v>0</v>
      </c>
    </row>
    <row r="136" spans="1:42" x14ac:dyDescent="0.4">
      <c r="A136" s="87" t="s">
        <v>4</v>
      </c>
      <c r="B136" s="120">
        <f>B564</f>
        <v>0</v>
      </c>
      <c r="C136" s="120">
        <f t="shared" ref="C136:AO136" si="54">C564</f>
        <v>0</v>
      </c>
      <c r="D136" s="120">
        <f t="shared" si="54"/>
        <v>0</v>
      </c>
      <c r="E136" s="120">
        <f t="shared" si="54"/>
        <v>0</v>
      </c>
      <c r="F136" s="120">
        <f t="shared" si="54"/>
        <v>0</v>
      </c>
      <c r="G136" s="120">
        <f t="shared" si="54"/>
        <v>0</v>
      </c>
      <c r="H136" s="120">
        <f t="shared" si="54"/>
        <v>0</v>
      </c>
      <c r="I136" s="120">
        <f t="shared" si="54"/>
        <v>0</v>
      </c>
      <c r="J136" s="120">
        <f t="shared" si="54"/>
        <v>0</v>
      </c>
      <c r="K136" s="120">
        <f t="shared" si="54"/>
        <v>0</v>
      </c>
      <c r="L136" s="120">
        <f t="shared" si="54"/>
        <v>0</v>
      </c>
      <c r="M136" s="120">
        <f t="shared" si="54"/>
        <v>0</v>
      </c>
      <c r="N136" s="120">
        <f t="shared" si="54"/>
        <v>0</v>
      </c>
      <c r="O136" s="120">
        <f t="shared" si="54"/>
        <v>0</v>
      </c>
      <c r="P136" s="120">
        <f t="shared" si="54"/>
        <v>0</v>
      </c>
      <c r="Q136" s="120">
        <f t="shared" si="54"/>
        <v>0</v>
      </c>
      <c r="R136" s="120">
        <f t="shared" si="54"/>
        <v>0</v>
      </c>
      <c r="S136" s="120">
        <f t="shared" si="54"/>
        <v>0</v>
      </c>
      <c r="T136" s="120">
        <f t="shared" si="54"/>
        <v>0</v>
      </c>
      <c r="U136" s="120">
        <f t="shared" si="54"/>
        <v>0</v>
      </c>
      <c r="V136" s="120">
        <f t="shared" si="54"/>
        <v>0</v>
      </c>
      <c r="W136" s="120">
        <f t="shared" si="54"/>
        <v>0</v>
      </c>
      <c r="X136" s="120">
        <f t="shared" si="54"/>
        <v>0</v>
      </c>
      <c r="Y136" s="120">
        <f t="shared" si="54"/>
        <v>0</v>
      </c>
      <c r="Z136" s="120">
        <f t="shared" si="54"/>
        <v>0</v>
      </c>
      <c r="AA136" s="120">
        <f t="shared" si="54"/>
        <v>0</v>
      </c>
      <c r="AB136" s="120">
        <f t="shared" si="54"/>
        <v>0</v>
      </c>
      <c r="AC136" s="120">
        <f t="shared" si="54"/>
        <v>0</v>
      </c>
      <c r="AD136" s="120">
        <f t="shared" si="54"/>
        <v>0</v>
      </c>
      <c r="AE136" s="120">
        <f t="shared" si="54"/>
        <v>0</v>
      </c>
      <c r="AF136" s="120">
        <f t="shared" si="54"/>
        <v>0</v>
      </c>
      <c r="AG136" s="120">
        <f t="shared" si="54"/>
        <v>0</v>
      </c>
      <c r="AH136" s="120">
        <f t="shared" si="54"/>
        <v>0</v>
      </c>
      <c r="AI136" s="120">
        <f t="shared" si="54"/>
        <v>0</v>
      </c>
      <c r="AJ136" s="120">
        <f t="shared" si="54"/>
        <v>0</v>
      </c>
      <c r="AK136" s="120">
        <f t="shared" si="54"/>
        <v>0</v>
      </c>
      <c r="AL136" s="120">
        <f t="shared" si="54"/>
        <v>0</v>
      </c>
      <c r="AM136" s="120">
        <f t="shared" si="54"/>
        <v>0</v>
      </c>
      <c r="AN136" s="120">
        <f t="shared" si="54"/>
        <v>0</v>
      </c>
      <c r="AO136" s="120">
        <f t="shared" si="54"/>
        <v>0</v>
      </c>
      <c r="AP136" s="120">
        <f>AP564</f>
        <v>0</v>
      </c>
    </row>
    <row r="137" spans="1:42" x14ac:dyDescent="0.4">
      <c r="A137" s="87" t="s">
        <v>13</v>
      </c>
      <c r="B137" s="119">
        <f>SUM(B135:B136)</f>
        <v>0</v>
      </c>
      <c r="C137" s="119">
        <f>SUM(C135:C136)</f>
        <v>0</v>
      </c>
      <c r="D137" s="119">
        <f>SUM(D135:D136)</f>
        <v>0</v>
      </c>
      <c r="E137" s="119">
        <f t="shared" ref="E137:AP137" si="55">SUM(E135:E136)</f>
        <v>0</v>
      </c>
      <c r="F137" s="119">
        <f t="shared" si="55"/>
        <v>0</v>
      </c>
      <c r="G137" s="119">
        <f t="shared" si="55"/>
        <v>0</v>
      </c>
      <c r="H137" s="119">
        <f t="shared" si="55"/>
        <v>0</v>
      </c>
      <c r="I137" s="119">
        <f t="shared" si="55"/>
        <v>0</v>
      </c>
      <c r="J137" s="119">
        <f t="shared" si="55"/>
        <v>0</v>
      </c>
      <c r="K137" s="119">
        <f t="shared" si="55"/>
        <v>0</v>
      </c>
      <c r="L137" s="119">
        <f t="shared" si="55"/>
        <v>0</v>
      </c>
      <c r="M137" s="119">
        <f t="shared" si="55"/>
        <v>0</v>
      </c>
      <c r="N137" s="119">
        <f t="shared" si="55"/>
        <v>0</v>
      </c>
      <c r="O137" s="119">
        <f t="shared" si="55"/>
        <v>0</v>
      </c>
      <c r="P137" s="119">
        <f t="shared" si="55"/>
        <v>0</v>
      </c>
      <c r="Q137" s="119">
        <f t="shared" si="55"/>
        <v>0</v>
      </c>
      <c r="R137" s="119">
        <f t="shared" si="55"/>
        <v>0</v>
      </c>
      <c r="S137" s="119">
        <f t="shared" si="55"/>
        <v>0</v>
      </c>
      <c r="T137" s="119">
        <f t="shared" si="55"/>
        <v>0</v>
      </c>
      <c r="U137" s="119">
        <f t="shared" si="55"/>
        <v>0</v>
      </c>
      <c r="V137" s="119">
        <f t="shared" si="55"/>
        <v>0</v>
      </c>
      <c r="W137" s="119">
        <f t="shared" si="55"/>
        <v>0</v>
      </c>
      <c r="X137" s="119">
        <f t="shared" si="55"/>
        <v>0</v>
      </c>
      <c r="Y137" s="119">
        <f t="shared" si="55"/>
        <v>0</v>
      </c>
      <c r="Z137" s="119">
        <f t="shared" si="55"/>
        <v>0</v>
      </c>
      <c r="AA137" s="119">
        <f t="shared" si="55"/>
        <v>0</v>
      </c>
      <c r="AB137" s="119">
        <f t="shared" si="55"/>
        <v>0</v>
      </c>
      <c r="AC137" s="119">
        <f t="shared" si="55"/>
        <v>0</v>
      </c>
      <c r="AD137" s="119">
        <f t="shared" si="55"/>
        <v>0</v>
      </c>
      <c r="AE137" s="119">
        <f t="shared" si="55"/>
        <v>0</v>
      </c>
      <c r="AF137" s="119">
        <f t="shared" si="55"/>
        <v>0</v>
      </c>
      <c r="AG137" s="119">
        <f t="shared" si="55"/>
        <v>0</v>
      </c>
      <c r="AH137" s="119">
        <f t="shared" si="55"/>
        <v>0</v>
      </c>
      <c r="AI137" s="119">
        <f t="shared" si="55"/>
        <v>0</v>
      </c>
      <c r="AJ137" s="119">
        <f t="shared" si="55"/>
        <v>0</v>
      </c>
      <c r="AK137" s="119">
        <f t="shared" si="55"/>
        <v>0</v>
      </c>
      <c r="AL137" s="119">
        <f t="shared" si="55"/>
        <v>0</v>
      </c>
      <c r="AM137" s="119">
        <f t="shared" si="55"/>
        <v>0</v>
      </c>
      <c r="AN137" s="119">
        <f t="shared" si="55"/>
        <v>0</v>
      </c>
      <c r="AO137" s="119">
        <f t="shared" si="55"/>
        <v>0</v>
      </c>
      <c r="AP137" s="119">
        <f t="shared" si="55"/>
        <v>0</v>
      </c>
    </row>
    <row r="138" spans="1:42" x14ac:dyDescent="0.4">
      <c r="A138" s="86" t="s">
        <v>55</v>
      </c>
    </row>
    <row r="139" spans="1:42" x14ac:dyDescent="0.4">
      <c r="A139" s="87" t="s">
        <v>5</v>
      </c>
      <c r="B139" s="119">
        <f>B210</f>
        <v>0</v>
      </c>
      <c r="C139" s="119">
        <f>C210</f>
        <v>0</v>
      </c>
      <c r="D139" s="119">
        <f t="shared" ref="D139:AP139" si="56">D210</f>
        <v>0</v>
      </c>
      <c r="E139" s="119">
        <f t="shared" si="56"/>
        <v>0</v>
      </c>
      <c r="F139" s="119">
        <f t="shared" si="56"/>
        <v>0</v>
      </c>
      <c r="G139" s="119">
        <f t="shared" si="56"/>
        <v>-59567.292755333372</v>
      </c>
      <c r="H139" s="119">
        <f t="shared" si="56"/>
        <v>-66729.714505007069</v>
      </c>
      <c r="I139" s="119">
        <f t="shared" si="56"/>
        <v>-148464.38430384774</v>
      </c>
      <c r="J139" s="119">
        <f t="shared" si="56"/>
        <v>-164186.72265328091</v>
      </c>
      <c r="K139" s="119">
        <f t="shared" si="56"/>
        <v>-180656.68546160962</v>
      </c>
      <c r="L139" s="119">
        <f t="shared" si="56"/>
        <v>670006.08783559967</v>
      </c>
      <c r="M139" s="119">
        <f t="shared" si="56"/>
        <v>-226665.26285796484</v>
      </c>
      <c r="N139" s="119">
        <f t="shared" si="56"/>
        <v>-227685.65305316204</v>
      </c>
      <c r="O139" s="119">
        <f t="shared" si="56"/>
        <v>-228719.45450297472</v>
      </c>
      <c r="P139" s="119">
        <f t="shared" si="56"/>
        <v>-229762.89530985878</v>
      </c>
      <c r="Q139" s="119">
        <f t="shared" si="56"/>
        <v>-230806.38495456069</v>
      </c>
      <c r="R139" s="119">
        <f t="shared" si="56"/>
        <v>-231854.72957687412</v>
      </c>
      <c r="S139" s="119">
        <f t="shared" si="56"/>
        <v>-232902.13568861998</v>
      </c>
      <c r="T139" s="119">
        <f t="shared" si="56"/>
        <v>-233948.64443869964</v>
      </c>
      <c r="U139" s="119">
        <f t="shared" si="56"/>
        <v>-234994.90524011318</v>
      </c>
      <c r="V139" s="119">
        <f t="shared" si="56"/>
        <v>883909.43147388403</v>
      </c>
      <c r="W139" s="119">
        <f t="shared" si="56"/>
        <v>-217898.35987926889</v>
      </c>
      <c r="X139" s="119">
        <f t="shared" si="56"/>
        <v>-209339.35250125063</v>
      </c>
      <c r="Y139" s="119">
        <f t="shared" si="56"/>
        <v>-200641.69221878197</v>
      </c>
      <c r="Z139" s="119">
        <f t="shared" si="56"/>
        <v>-191787.99990925152</v>
      </c>
      <c r="AA139" s="119">
        <f t="shared" si="56"/>
        <v>0</v>
      </c>
      <c r="AB139" s="119">
        <f t="shared" si="56"/>
        <v>0</v>
      </c>
      <c r="AC139" s="119">
        <f t="shared" si="56"/>
        <v>0</v>
      </c>
      <c r="AD139" s="119">
        <f t="shared" si="56"/>
        <v>0</v>
      </c>
      <c r="AE139" s="119">
        <f t="shared" si="56"/>
        <v>0</v>
      </c>
      <c r="AF139" s="119">
        <f t="shared" si="56"/>
        <v>0</v>
      </c>
      <c r="AG139" s="119">
        <f t="shared" si="56"/>
        <v>0</v>
      </c>
      <c r="AH139" s="119">
        <f t="shared" si="56"/>
        <v>0</v>
      </c>
      <c r="AI139" s="119">
        <f t="shared" si="56"/>
        <v>0</v>
      </c>
      <c r="AJ139" s="119">
        <f t="shared" si="56"/>
        <v>0</v>
      </c>
      <c r="AK139" s="119">
        <f t="shared" si="56"/>
        <v>0</v>
      </c>
      <c r="AL139" s="119">
        <f t="shared" si="56"/>
        <v>0</v>
      </c>
      <c r="AM139" s="119">
        <f t="shared" si="56"/>
        <v>0</v>
      </c>
      <c r="AN139" s="119">
        <f t="shared" si="56"/>
        <v>0</v>
      </c>
      <c r="AO139" s="119">
        <f t="shared" si="56"/>
        <v>0</v>
      </c>
      <c r="AP139" s="119">
        <f t="shared" si="56"/>
        <v>0</v>
      </c>
    </row>
    <row r="140" spans="1:42" x14ac:dyDescent="0.4">
      <c r="A140" s="87" t="s">
        <v>4</v>
      </c>
      <c r="B140" s="119">
        <f>B251</f>
        <v>0</v>
      </c>
      <c r="C140" s="119">
        <f>C251</f>
        <v>0</v>
      </c>
      <c r="D140" s="119">
        <f t="shared" ref="D140:AP140" si="57">D251</f>
        <v>0</v>
      </c>
      <c r="E140" s="119">
        <f t="shared" si="57"/>
        <v>0</v>
      </c>
      <c r="F140" s="119">
        <f t="shared" si="57"/>
        <v>0</v>
      </c>
      <c r="G140" s="119">
        <f t="shared" si="57"/>
        <v>0</v>
      </c>
      <c r="H140" s="119">
        <f t="shared" si="57"/>
        <v>0</v>
      </c>
      <c r="I140" s="119">
        <f t="shared" si="57"/>
        <v>0</v>
      </c>
      <c r="J140" s="119">
        <f t="shared" si="57"/>
        <v>0</v>
      </c>
      <c r="K140" s="119">
        <f t="shared" si="57"/>
        <v>0</v>
      </c>
      <c r="L140" s="119">
        <f t="shared" si="57"/>
        <v>0</v>
      </c>
      <c r="M140" s="119">
        <f t="shared" si="57"/>
        <v>0</v>
      </c>
      <c r="N140" s="119">
        <f t="shared" si="57"/>
        <v>0</v>
      </c>
      <c r="O140" s="119">
        <f t="shared" si="57"/>
        <v>0</v>
      </c>
      <c r="P140" s="119">
        <f t="shared" si="57"/>
        <v>0</v>
      </c>
      <c r="Q140" s="119">
        <f t="shared" si="57"/>
        <v>0</v>
      </c>
      <c r="R140" s="119">
        <f t="shared" si="57"/>
        <v>0</v>
      </c>
      <c r="S140" s="119">
        <f t="shared" si="57"/>
        <v>0</v>
      </c>
      <c r="T140" s="119">
        <f t="shared" si="57"/>
        <v>0</v>
      </c>
      <c r="U140" s="119">
        <f t="shared" si="57"/>
        <v>0</v>
      </c>
      <c r="V140" s="119">
        <f t="shared" si="57"/>
        <v>0</v>
      </c>
      <c r="W140" s="119">
        <f t="shared" si="57"/>
        <v>0</v>
      </c>
      <c r="X140" s="119">
        <f t="shared" si="57"/>
        <v>0</v>
      </c>
      <c r="Y140" s="119">
        <f t="shared" si="57"/>
        <v>0</v>
      </c>
      <c r="Z140" s="119">
        <f t="shared" si="57"/>
        <v>0</v>
      </c>
      <c r="AA140" s="119">
        <f t="shared" si="57"/>
        <v>0</v>
      </c>
      <c r="AB140" s="119">
        <f t="shared" si="57"/>
        <v>0</v>
      </c>
      <c r="AC140" s="119">
        <f t="shared" si="57"/>
        <v>0</v>
      </c>
      <c r="AD140" s="119">
        <f t="shared" si="57"/>
        <v>0</v>
      </c>
      <c r="AE140" s="119">
        <f t="shared" si="57"/>
        <v>0</v>
      </c>
      <c r="AF140" s="119">
        <f t="shared" si="57"/>
        <v>0</v>
      </c>
      <c r="AG140" s="119">
        <f t="shared" si="57"/>
        <v>0</v>
      </c>
      <c r="AH140" s="119">
        <f t="shared" si="57"/>
        <v>0</v>
      </c>
      <c r="AI140" s="119">
        <f t="shared" si="57"/>
        <v>0</v>
      </c>
      <c r="AJ140" s="119">
        <f t="shared" si="57"/>
        <v>0</v>
      </c>
      <c r="AK140" s="119">
        <f t="shared" si="57"/>
        <v>0</v>
      </c>
      <c r="AL140" s="119">
        <f t="shared" si="57"/>
        <v>0</v>
      </c>
      <c r="AM140" s="119">
        <f t="shared" si="57"/>
        <v>0</v>
      </c>
      <c r="AN140" s="119">
        <f t="shared" si="57"/>
        <v>0</v>
      </c>
      <c r="AO140" s="119">
        <f t="shared" si="57"/>
        <v>0</v>
      </c>
      <c r="AP140" s="119">
        <f t="shared" si="57"/>
        <v>0</v>
      </c>
    </row>
    <row r="141" spans="1:42" x14ac:dyDescent="0.4">
      <c r="A141" s="87" t="s">
        <v>13</v>
      </c>
      <c r="B141" s="119">
        <f>SUM(B139:B140)</f>
        <v>0</v>
      </c>
      <c r="C141" s="119">
        <f>SUM(C139:C140)</f>
        <v>0</v>
      </c>
      <c r="D141" s="119">
        <f>SUM(D139:D140)</f>
        <v>0</v>
      </c>
      <c r="E141" s="119">
        <f t="shared" ref="E141:AP141" si="58">SUM(E139:E140)</f>
        <v>0</v>
      </c>
      <c r="F141" s="119">
        <f t="shared" si="58"/>
        <v>0</v>
      </c>
      <c r="G141" s="119">
        <f t="shared" si="58"/>
        <v>-59567.292755333372</v>
      </c>
      <c r="H141" s="119">
        <f t="shared" si="58"/>
        <v>-66729.714505007069</v>
      </c>
      <c r="I141" s="119">
        <f t="shared" si="58"/>
        <v>-148464.38430384774</v>
      </c>
      <c r="J141" s="119">
        <f t="shared" si="58"/>
        <v>-164186.72265328091</v>
      </c>
      <c r="K141" s="119">
        <f t="shared" si="58"/>
        <v>-180656.68546160962</v>
      </c>
      <c r="L141" s="119">
        <f t="shared" si="58"/>
        <v>670006.08783559967</v>
      </c>
      <c r="M141" s="119">
        <f t="shared" si="58"/>
        <v>-226665.26285796484</v>
      </c>
      <c r="N141" s="119">
        <f t="shared" si="58"/>
        <v>-227685.65305316204</v>
      </c>
      <c r="O141" s="119">
        <f t="shared" si="58"/>
        <v>-228719.45450297472</v>
      </c>
      <c r="P141" s="119">
        <f t="shared" si="58"/>
        <v>-229762.89530985878</v>
      </c>
      <c r="Q141" s="119">
        <f t="shared" si="58"/>
        <v>-230806.38495456069</v>
      </c>
      <c r="R141" s="119">
        <f t="shared" si="58"/>
        <v>-231854.72957687412</v>
      </c>
      <c r="S141" s="119">
        <f t="shared" si="58"/>
        <v>-232902.13568861998</v>
      </c>
      <c r="T141" s="119">
        <f t="shared" si="58"/>
        <v>-233948.64443869964</v>
      </c>
      <c r="U141" s="119">
        <f t="shared" si="58"/>
        <v>-234994.90524011318</v>
      </c>
      <c r="V141" s="119">
        <f t="shared" si="58"/>
        <v>883909.43147388403</v>
      </c>
      <c r="W141" s="119">
        <f t="shared" si="58"/>
        <v>-217898.35987926889</v>
      </c>
      <c r="X141" s="119">
        <f t="shared" si="58"/>
        <v>-209339.35250125063</v>
      </c>
      <c r="Y141" s="119">
        <f t="shared" si="58"/>
        <v>-200641.69221878197</v>
      </c>
      <c r="Z141" s="119">
        <f t="shared" si="58"/>
        <v>-191787.99990925152</v>
      </c>
      <c r="AA141" s="119">
        <f t="shared" si="58"/>
        <v>0</v>
      </c>
      <c r="AB141" s="119">
        <f t="shared" si="58"/>
        <v>0</v>
      </c>
      <c r="AC141" s="119">
        <f t="shared" si="58"/>
        <v>0</v>
      </c>
      <c r="AD141" s="119">
        <f t="shared" si="58"/>
        <v>0</v>
      </c>
      <c r="AE141" s="119">
        <f t="shared" si="58"/>
        <v>0</v>
      </c>
      <c r="AF141" s="119">
        <f t="shared" si="58"/>
        <v>0</v>
      </c>
      <c r="AG141" s="119">
        <f t="shared" si="58"/>
        <v>0</v>
      </c>
      <c r="AH141" s="119">
        <f t="shared" si="58"/>
        <v>0</v>
      </c>
      <c r="AI141" s="119">
        <f t="shared" si="58"/>
        <v>0</v>
      </c>
      <c r="AJ141" s="119">
        <f t="shared" si="58"/>
        <v>0</v>
      </c>
      <c r="AK141" s="119">
        <f t="shared" si="58"/>
        <v>0</v>
      </c>
      <c r="AL141" s="119">
        <f t="shared" si="58"/>
        <v>0</v>
      </c>
      <c r="AM141" s="119">
        <f t="shared" si="58"/>
        <v>0</v>
      </c>
      <c r="AN141" s="119">
        <f t="shared" si="58"/>
        <v>0</v>
      </c>
      <c r="AO141" s="119">
        <f t="shared" si="58"/>
        <v>0</v>
      </c>
      <c r="AP141" s="119">
        <f t="shared" si="58"/>
        <v>0</v>
      </c>
    </row>
    <row r="142" spans="1:42" x14ac:dyDescent="0.4">
      <c r="A142" s="206" t="s">
        <v>13</v>
      </c>
      <c r="B142" s="136">
        <f t="shared" ref="B142:AP142" si="59">B127+B133+B137+B141</f>
        <v>-8310747.3125</v>
      </c>
      <c r="C142" s="136">
        <f t="shared" si="59"/>
        <v>2196713.3298100019</v>
      </c>
      <c r="D142" s="136">
        <f t="shared" si="59"/>
        <v>2188515.8636097172</v>
      </c>
      <c r="E142" s="136">
        <f t="shared" si="59"/>
        <v>2180369.1613746183</v>
      </c>
      <c r="F142" s="136">
        <f t="shared" si="59"/>
        <v>2172134.4160263762</v>
      </c>
      <c r="G142" s="136">
        <f t="shared" si="59"/>
        <v>2104214.9525304842</v>
      </c>
      <c r="H142" s="136">
        <f t="shared" si="59"/>
        <v>2088568.4598307051</v>
      </c>
      <c r="I142" s="136">
        <f t="shared" si="59"/>
        <v>611273.94108974235</v>
      </c>
      <c r="J142" s="136">
        <f t="shared" si="59"/>
        <v>586825.89245589869</v>
      </c>
      <c r="K142" s="136">
        <f t="shared" si="59"/>
        <v>561503.77350735571</v>
      </c>
      <c r="L142" s="136">
        <f t="shared" si="59"/>
        <v>587091.60151190974</v>
      </c>
      <c r="M142" s="136">
        <f t="shared" si="59"/>
        <v>52058.653933941503</v>
      </c>
      <c r="N142" s="136">
        <f t="shared" si="59"/>
        <v>44224.061335987994</v>
      </c>
      <c r="O142" s="136">
        <f t="shared" si="59"/>
        <v>36270.214141179022</v>
      </c>
      <c r="P142" s="136">
        <f t="shared" si="59"/>
        <v>28195.612284011149</v>
      </c>
      <c r="Q142" s="136">
        <f t="shared" si="59"/>
        <v>19999.225929506094</v>
      </c>
      <c r="R142" s="136">
        <f t="shared" si="59"/>
        <v>11679.506674557982</v>
      </c>
      <c r="S142" s="136">
        <f t="shared" si="59"/>
        <v>3235.3467487356975</v>
      </c>
      <c r="T142" s="136">
        <f t="shared" si="59"/>
        <v>-5334.5090030369465</v>
      </c>
      <c r="U142" s="136">
        <f t="shared" si="59"/>
        <v>833163.75494221947</v>
      </c>
      <c r="V142" s="136">
        <f t="shared" si="59"/>
        <v>-3133860.7115892256</v>
      </c>
      <c r="W142" s="136">
        <f t="shared" si="59"/>
        <v>772548.73048104427</v>
      </c>
      <c r="X142" s="136">
        <f t="shared" si="59"/>
        <v>742203.15886807046</v>
      </c>
      <c r="Y142" s="136">
        <f t="shared" si="59"/>
        <v>711365.99968477245</v>
      </c>
      <c r="Z142" s="136">
        <f t="shared" si="59"/>
        <v>679975.63604189176</v>
      </c>
      <c r="AA142" s="136">
        <f t="shared" si="59"/>
        <v>7214012.6803499218</v>
      </c>
      <c r="AB142" s="136">
        <f t="shared" si="59"/>
        <v>0</v>
      </c>
      <c r="AC142" s="136">
        <f t="shared" si="59"/>
        <v>0</v>
      </c>
      <c r="AD142" s="136">
        <f t="shared" si="59"/>
        <v>0</v>
      </c>
      <c r="AE142" s="136">
        <f t="shared" si="59"/>
        <v>0</v>
      </c>
      <c r="AF142" s="136">
        <f t="shared" si="59"/>
        <v>0</v>
      </c>
      <c r="AG142" s="136">
        <f t="shared" si="59"/>
        <v>0</v>
      </c>
      <c r="AH142" s="136">
        <f t="shared" si="59"/>
        <v>0</v>
      </c>
      <c r="AI142" s="136">
        <f t="shared" si="59"/>
        <v>0</v>
      </c>
      <c r="AJ142" s="136">
        <f t="shared" si="59"/>
        <v>0</v>
      </c>
      <c r="AK142" s="136">
        <f t="shared" si="59"/>
        <v>0</v>
      </c>
      <c r="AL142" s="136">
        <f t="shared" si="59"/>
        <v>0</v>
      </c>
      <c r="AM142" s="136">
        <f t="shared" si="59"/>
        <v>0</v>
      </c>
      <c r="AN142" s="136">
        <f t="shared" si="59"/>
        <v>0</v>
      </c>
      <c r="AO142" s="136">
        <f t="shared" si="59"/>
        <v>0</v>
      </c>
      <c r="AP142" s="136">
        <f t="shared" si="59"/>
        <v>0</v>
      </c>
    </row>
    <row r="143" spans="1:42" x14ac:dyDescent="0.4">
      <c r="A143" s="86"/>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9"/>
      <c r="AB143" s="119"/>
      <c r="AC143" s="119"/>
      <c r="AD143" s="119"/>
      <c r="AE143" s="119"/>
      <c r="AF143" s="119"/>
      <c r="AG143" s="119"/>
      <c r="AH143" s="119"/>
      <c r="AI143" s="119"/>
      <c r="AJ143" s="119"/>
      <c r="AK143" s="119"/>
      <c r="AL143" s="119"/>
      <c r="AM143" s="119"/>
      <c r="AN143" s="119"/>
      <c r="AO143" s="119"/>
      <c r="AP143" s="119"/>
    </row>
    <row r="144" spans="1:42" x14ac:dyDescent="0.4">
      <c r="A144" s="80" t="s">
        <v>192</v>
      </c>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row>
    <row r="145" spans="1:42" x14ac:dyDescent="0.4">
      <c r="A145" s="87"/>
    </row>
    <row r="146" spans="1:42" x14ac:dyDescent="0.4">
      <c r="A146" s="86" t="s">
        <v>176</v>
      </c>
      <c r="B146" s="97"/>
      <c r="C146" s="97">
        <f>IF(ISERROR(IRR($B142:C142)),"NaN",ROUND(IRR($B142:C142)*100,4))</f>
        <v>-73.567800000000005</v>
      </c>
      <c r="D146" s="97">
        <f>IF(ISERROR(IRR($B142:D142)),"NaN",ROUND(IRR($B142:D142)*100,4))</f>
        <v>-33.793100000000003</v>
      </c>
      <c r="E146" s="97">
        <f>IF(ISERROR(IRR($B142:E142)),"NaN",ROUND(IRR($B142:E142)*100,4))</f>
        <v>-10.9316</v>
      </c>
      <c r="F146" s="97">
        <f>IF(ISERROR(IRR($B142:F142)),"NaN",ROUND(IRR($B142:F142)*100,4))</f>
        <v>2.0385</v>
      </c>
      <c r="G146" s="97">
        <f>IF(ISERROR(IRR($B142:G142)),"NaN",ROUND(IRR($B142:G142)*100,4))</f>
        <v>9.6356000000000002</v>
      </c>
      <c r="H146" s="97">
        <f>IF(ISERROR(IRR($B142:H142)),"NaN",ROUND(IRR($B142:H142)*100,4))</f>
        <v>14.4527</v>
      </c>
      <c r="I146" s="97">
        <f>IF(ISERROR(IRR($B142:I142)),"NaN",ROUND(IRR($B142:I142)*100,4))</f>
        <v>15.4725</v>
      </c>
      <c r="J146" s="97">
        <f>IF(ISERROR(IRR($B142:J142)),"NaN",ROUND(IRR($B142:J142)*100,4))</f>
        <v>16.258299999999998</v>
      </c>
      <c r="K146" s="97">
        <f>IF(ISERROR(IRR($B142:K142)),"NaN",ROUND(IRR($B142:K142)*100,4))</f>
        <v>16.861899999999999</v>
      </c>
      <c r="L146" s="97">
        <f>IF(ISERROR(IRR($B142:L142)),"NaN",ROUND(IRR($B142:L142)*100,4))</f>
        <v>17.3687</v>
      </c>
      <c r="M146" s="97">
        <f>IF(ISERROR(IRR($B142:M142)),"NaN",ROUND(IRR($B142:M142)*100,4))</f>
        <v>17.4057</v>
      </c>
      <c r="N146" s="97">
        <f>IF(ISERROR(IRR($B142:N142)),"NaN",ROUND(IRR($B142:N142)*100,4))</f>
        <v>17.432400000000001</v>
      </c>
      <c r="O146" s="97">
        <f>IF(ISERROR(IRR($B142:O142)),"NaN",ROUND(IRR($B142:O142)*100,4))</f>
        <v>17.450900000000001</v>
      </c>
      <c r="P146" s="97">
        <f>IF(ISERROR(IRR($B142:P142)),"NaN",ROUND(IRR($B142:P142)*100,4))</f>
        <v>17.463200000000001</v>
      </c>
      <c r="Q146" s="97">
        <f>IF(ISERROR(IRR($B142:Q142)),"NaN",ROUND(IRR($B142:Q142)*100,4))</f>
        <v>17.470600000000001</v>
      </c>
      <c r="R146" s="97">
        <f>IF(ISERROR(IRR($B142:R142)),"NaN",ROUND(IRR($B142:R142)*100,4))</f>
        <v>17.4742</v>
      </c>
      <c r="S146" s="97">
        <f>IF(ISERROR(IRR($B142:S142)),"NaN",ROUND(IRR($B142:S142)*100,4))</f>
        <v>17.475100000000001</v>
      </c>
      <c r="T146" s="97">
        <f>IF(ISERROR(IRR($B142:T142)),"NaN",ROUND(IRR($B142:T142)*100,4))</f>
        <v>17.4739</v>
      </c>
      <c r="U146" s="97">
        <f>IF(ISERROR(IRR($B142:U142)),"NaN",ROUND(IRR($B142:U142)*100,4))</f>
        <v>17.631699999999999</v>
      </c>
      <c r="V146" s="97">
        <f>IF(ISERROR(IRR($B142:V142)),"NaN",ROUND(IRR($B142:V142)*100,4))</f>
        <v>17.098299999999998</v>
      </c>
      <c r="W146" s="97">
        <f>IF(ISERROR(IRR($B142:W142)),"NaN",ROUND(IRR($B142:W142)*100,4))</f>
        <v>17.217700000000001</v>
      </c>
      <c r="X146" s="97">
        <f>IF(ISERROR(IRR($B142:X142)),"NaN",ROUND(IRR($B142:X142)*100,4))</f>
        <v>17.312200000000001</v>
      </c>
      <c r="Y146" s="97">
        <f>IF(ISERROR(IRR($B142:Y142)),"NaN",ROUND(IRR($B142:Y142)*100,4))</f>
        <v>17.3872</v>
      </c>
      <c r="Z146" s="97">
        <f>IF(ISERROR(IRR($B142:Z142)),"NaN",ROUND(IRR($B142:Z142)*100,4))</f>
        <v>17.446899999999999</v>
      </c>
      <c r="AA146" s="97">
        <f>IF(ISERROR(IRR($B142:AA142)),"NaN",ROUND(IRR($B142:AA142)*100,4))</f>
        <v>17.933900000000001</v>
      </c>
      <c r="AB146" s="97">
        <f>IF(ISERROR(IRR($B142:AB142)),"NaN",ROUND(IRR($B142:AB142)*100,4))</f>
        <v>17.933900000000001</v>
      </c>
      <c r="AC146" s="97">
        <f>IF(ISERROR(IRR($B142:AC142)),"NaN",ROUND(IRR($B142:AC142)*100,4))</f>
        <v>17.933900000000001</v>
      </c>
      <c r="AD146" s="97">
        <f>IF(ISERROR(IRR($B142:AD142)),"NaN",ROUND(IRR($B142:AD142)*100,4))</f>
        <v>17.933900000000001</v>
      </c>
      <c r="AE146" s="97">
        <f>IF(ISERROR(IRR($B142:AE142)),"NaN",ROUND(IRR($B142:AE142)*100,4))</f>
        <v>17.933900000000001</v>
      </c>
      <c r="AF146" s="97">
        <f>IF(ISERROR(IRR($B142:AF142)),"NaN",ROUND(IRR($B142:AF142)*100,4))</f>
        <v>17.933900000000001</v>
      </c>
      <c r="AG146" s="97">
        <f>IF(ISERROR(IRR($B142:AG142)),"NaN",ROUND(IRR($B142:AG142)*100,4))</f>
        <v>17.933900000000001</v>
      </c>
      <c r="AH146" s="97">
        <f>IF(ISERROR(IRR($B142:AH142)),"NaN",ROUND(IRR($B142:AH142)*100,4))</f>
        <v>17.933900000000001</v>
      </c>
      <c r="AI146" s="97">
        <f>IF(ISERROR(IRR($B142:AI142)),"NaN",ROUND(IRR($B142:AI142)*100,4))</f>
        <v>17.933900000000001</v>
      </c>
      <c r="AJ146" s="97">
        <f>IF(ISERROR(IRR($B142:AJ142)),"NaN",ROUND(IRR($B142:AJ142)*100,4))</f>
        <v>17.933900000000001</v>
      </c>
      <c r="AK146" s="97">
        <f>IF(ISERROR(IRR($B142:AK142)),"NaN",ROUND(IRR($B142:AK142)*100,4))</f>
        <v>17.933900000000001</v>
      </c>
      <c r="AL146" s="97">
        <f>IF(ISERROR(IRR($B142:AL142)),"NaN",ROUND(IRR($B142:AL142)*100,4))</f>
        <v>17.933900000000001</v>
      </c>
      <c r="AM146" s="97">
        <f>IF(ISERROR(IRR($B142:AM142)),"NaN",ROUND(IRR($B142:AM142)*100,4))</f>
        <v>17.933900000000001</v>
      </c>
      <c r="AN146" s="97">
        <f>IF(ISERROR(IRR($B142:AN142)),"NaN",ROUND(IRR($B142:AN142)*100,4))</f>
        <v>17.933900000000001</v>
      </c>
      <c r="AO146" s="97">
        <f>IF(ISERROR(IRR($B142:AO142)),"NaN",ROUND(IRR($B142:AO142)*100,4))</f>
        <v>17.933900000000001</v>
      </c>
      <c r="AP146" s="97">
        <f>IF(ISERROR(IRR($B142:AP142)),"NaN",ROUND(IRR($B142:AP142)*100,4))</f>
        <v>17.933900000000001</v>
      </c>
    </row>
    <row r="147" spans="1:42" x14ac:dyDescent="0.4">
      <c r="A147" s="21" t="s">
        <v>8</v>
      </c>
      <c r="B147" s="97"/>
      <c r="C147" s="97">
        <f>MAX($B$146:C146)</f>
        <v>-73.567800000000005</v>
      </c>
      <c r="D147" s="97">
        <f>MAX($B$146:D146)</f>
        <v>-33.793100000000003</v>
      </c>
      <c r="E147" s="97">
        <f>MAX($B$146:E146)</f>
        <v>-10.9316</v>
      </c>
      <c r="F147" s="97">
        <f>MAX($B$146:F146)</f>
        <v>2.0385</v>
      </c>
      <c r="G147" s="97">
        <f>MAX($B$146:G146)</f>
        <v>9.6356000000000002</v>
      </c>
      <c r="H147" s="97">
        <f>MAX($B$146:H146)</f>
        <v>14.4527</v>
      </c>
      <c r="I147" s="97">
        <f>MAX($B$146:I146)</f>
        <v>15.4725</v>
      </c>
      <c r="J147" s="97">
        <f>MAX($B$146:J146)</f>
        <v>16.258299999999998</v>
      </c>
      <c r="K147" s="97">
        <f>MAX($B$146:K146)</f>
        <v>16.861899999999999</v>
      </c>
      <c r="L147" s="97">
        <f>MAX($B$146:L146)</f>
        <v>17.3687</v>
      </c>
      <c r="M147" s="97">
        <f>MAX($B$146:M146)</f>
        <v>17.4057</v>
      </c>
      <c r="N147" s="97">
        <f>MAX($B$146:N146)</f>
        <v>17.432400000000001</v>
      </c>
      <c r="O147" s="97">
        <f>MAX($B$146:O146)</f>
        <v>17.450900000000001</v>
      </c>
      <c r="P147" s="97">
        <f>MAX($B$146:P146)</f>
        <v>17.463200000000001</v>
      </c>
      <c r="Q147" s="97">
        <f>MAX($B$146:Q146)</f>
        <v>17.470600000000001</v>
      </c>
      <c r="R147" s="97">
        <f>MAX($B$146:R146)</f>
        <v>17.4742</v>
      </c>
      <c r="S147" s="97">
        <f>MAX($B$146:S146)</f>
        <v>17.475100000000001</v>
      </c>
      <c r="T147" s="97">
        <f>MAX($B$146:T146)</f>
        <v>17.475100000000001</v>
      </c>
      <c r="U147" s="97">
        <f>MAX($B$146:U146)</f>
        <v>17.631699999999999</v>
      </c>
      <c r="V147" s="97">
        <f>MAX($B$146:V146)</f>
        <v>17.631699999999999</v>
      </c>
      <c r="W147" s="97">
        <f>MAX($B$146:W146)</f>
        <v>17.631699999999999</v>
      </c>
      <c r="X147" s="97">
        <f>MAX($B$146:X146)</f>
        <v>17.631699999999999</v>
      </c>
      <c r="Y147" s="97">
        <f>MAX($B$146:Y146)</f>
        <v>17.631699999999999</v>
      </c>
      <c r="Z147" s="97">
        <f>MAX($B$146:Z146)</f>
        <v>17.631699999999999</v>
      </c>
      <c r="AA147" s="97">
        <f>MAX($B$146:AA146)</f>
        <v>17.933900000000001</v>
      </c>
      <c r="AB147" s="97">
        <f>MAX($B$146:AB146)</f>
        <v>17.933900000000001</v>
      </c>
      <c r="AC147" s="97">
        <f>MAX($B$146:AC146)</f>
        <v>17.933900000000001</v>
      </c>
      <c r="AD147" s="97">
        <f>MAX($B$146:AD146)</f>
        <v>17.933900000000001</v>
      </c>
      <c r="AE147" s="97">
        <f>MAX($B$146:AE146)</f>
        <v>17.933900000000001</v>
      </c>
      <c r="AF147" s="97">
        <f>MAX($B$146:AF146)</f>
        <v>17.933900000000001</v>
      </c>
      <c r="AG147" s="97">
        <f>MAX($B$146:AG146)</f>
        <v>17.933900000000001</v>
      </c>
      <c r="AH147" s="97">
        <f>MAX($B$146:AH146)</f>
        <v>17.933900000000001</v>
      </c>
      <c r="AI147" s="97">
        <f>MAX($B$146:AI146)</f>
        <v>17.933900000000001</v>
      </c>
      <c r="AJ147" s="97">
        <f>MAX($B$146:AJ146)</f>
        <v>17.933900000000001</v>
      </c>
      <c r="AK147" s="97">
        <f>MAX($B$146:AK146)</f>
        <v>17.933900000000001</v>
      </c>
      <c r="AL147" s="97">
        <f>MAX($B$146:AL146)</f>
        <v>17.933900000000001</v>
      </c>
      <c r="AM147" s="97">
        <f>MAX($B$146:AM146)</f>
        <v>17.933900000000001</v>
      </c>
      <c r="AN147" s="97">
        <f>MAX($B$146:AN146)</f>
        <v>17.933900000000001</v>
      </c>
      <c r="AO147" s="97">
        <f>MAX($B$146:AO146)</f>
        <v>17.933900000000001</v>
      </c>
      <c r="AP147" s="97">
        <f>MAX($B$146:AP146)</f>
        <v>17.933900000000001</v>
      </c>
    </row>
    <row r="148" spans="1:42" x14ac:dyDescent="0.4">
      <c r="A148" s="86" t="s">
        <v>177</v>
      </c>
      <c r="B148" s="152">
        <f>SUM(C148:AP148)</f>
        <v>25</v>
      </c>
      <c r="C148" s="149">
        <f t="shared" ref="C148:AP148" si="60">IF(IRRTarget="N/A",IF(C$2=flip_target_year,C$2,0),IF(AND(B147&lt;IRRTarget,C147&gt;=IRRTarget),C$2,0))</f>
        <v>0</v>
      </c>
      <c r="D148" s="149">
        <f t="shared" si="60"/>
        <v>0</v>
      </c>
      <c r="E148" s="149">
        <f t="shared" si="60"/>
        <v>0</v>
      </c>
      <c r="F148" s="149">
        <f t="shared" si="60"/>
        <v>0</v>
      </c>
      <c r="G148" s="149">
        <f t="shared" si="60"/>
        <v>0</v>
      </c>
      <c r="H148" s="149">
        <f t="shared" si="60"/>
        <v>0</v>
      </c>
      <c r="I148" s="149">
        <f t="shared" si="60"/>
        <v>0</v>
      </c>
      <c r="J148" s="149">
        <f t="shared" si="60"/>
        <v>0</v>
      </c>
      <c r="K148" s="149">
        <f t="shared" si="60"/>
        <v>0</v>
      </c>
      <c r="L148" s="149">
        <f t="shared" si="60"/>
        <v>0</v>
      </c>
      <c r="M148" s="149">
        <f t="shared" si="60"/>
        <v>0</v>
      </c>
      <c r="N148" s="149">
        <f t="shared" si="60"/>
        <v>0</v>
      </c>
      <c r="O148" s="149">
        <f t="shared" si="60"/>
        <v>0</v>
      </c>
      <c r="P148" s="149">
        <f t="shared" si="60"/>
        <v>0</v>
      </c>
      <c r="Q148" s="149">
        <f t="shared" si="60"/>
        <v>0</v>
      </c>
      <c r="R148" s="149">
        <f t="shared" si="60"/>
        <v>0</v>
      </c>
      <c r="S148" s="149">
        <f t="shared" si="60"/>
        <v>0</v>
      </c>
      <c r="T148" s="149">
        <f t="shared" si="60"/>
        <v>0</v>
      </c>
      <c r="U148" s="149">
        <f t="shared" si="60"/>
        <v>0</v>
      </c>
      <c r="V148" s="149">
        <f t="shared" si="60"/>
        <v>0</v>
      </c>
      <c r="W148" s="149">
        <f t="shared" si="60"/>
        <v>0</v>
      </c>
      <c r="X148" s="149">
        <f t="shared" si="60"/>
        <v>0</v>
      </c>
      <c r="Y148" s="149">
        <f t="shared" si="60"/>
        <v>0</v>
      </c>
      <c r="Z148" s="149">
        <f t="shared" si="60"/>
        <v>0</v>
      </c>
      <c r="AA148" s="149">
        <f t="shared" si="60"/>
        <v>25</v>
      </c>
      <c r="AB148" s="149">
        <f t="shared" si="60"/>
        <v>0</v>
      </c>
      <c r="AC148" s="149">
        <f t="shared" si="60"/>
        <v>0</v>
      </c>
      <c r="AD148" s="149">
        <f t="shared" si="60"/>
        <v>0</v>
      </c>
      <c r="AE148" s="149">
        <f t="shared" si="60"/>
        <v>0</v>
      </c>
      <c r="AF148" s="149">
        <f t="shared" si="60"/>
        <v>0</v>
      </c>
      <c r="AG148" s="149">
        <f t="shared" si="60"/>
        <v>0</v>
      </c>
      <c r="AH148" s="149">
        <f t="shared" si="60"/>
        <v>0</v>
      </c>
      <c r="AI148" s="149">
        <f t="shared" si="60"/>
        <v>0</v>
      </c>
      <c r="AJ148" s="149">
        <f t="shared" si="60"/>
        <v>0</v>
      </c>
      <c r="AK148" s="149">
        <f t="shared" si="60"/>
        <v>0</v>
      </c>
      <c r="AL148" s="149">
        <f t="shared" si="60"/>
        <v>0</v>
      </c>
      <c r="AM148" s="149">
        <f t="shared" si="60"/>
        <v>0</v>
      </c>
      <c r="AN148" s="149">
        <f t="shared" si="60"/>
        <v>0</v>
      </c>
      <c r="AO148" s="149">
        <f t="shared" si="60"/>
        <v>0</v>
      </c>
      <c r="AP148" s="149">
        <f t="shared" si="60"/>
        <v>0</v>
      </c>
    </row>
    <row r="149" spans="1:42" x14ac:dyDescent="0.4">
      <c r="A149" s="86"/>
      <c r="B149" s="149"/>
      <c r="C149" s="149"/>
      <c r="D149" s="149"/>
      <c r="E149" s="149"/>
      <c r="F149" s="149"/>
      <c r="G149" s="149"/>
      <c r="H149" s="149"/>
      <c r="I149" s="149"/>
      <c r="J149" s="149"/>
      <c r="K149" s="149"/>
      <c r="L149" s="149"/>
      <c r="M149" s="149"/>
      <c r="N149" s="149"/>
      <c r="O149" s="149"/>
      <c r="P149" s="149"/>
      <c r="Q149" s="149"/>
      <c r="R149" s="149"/>
      <c r="S149" s="149"/>
      <c r="T149" s="149"/>
      <c r="U149" s="149"/>
      <c r="V149" s="149"/>
      <c r="W149" s="149"/>
      <c r="X149" s="149"/>
      <c r="Y149" s="149"/>
      <c r="Z149" s="149"/>
      <c r="AA149" s="149"/>
      <c r="AB149" s="149"/>
      <c r="AC149" s="149"/>
      <c r="AD149" s="149"/>
      <c r="AE149" s="149"/>
      <c r="AF149" s="149"/>
      <c r="AG149" s="149"/>
      <c r="AH149" s="149"/>
      <c r="AI149" s="149"/>
      <c r="AJ149" s="149"/>
      <c r="AK149" s="149"/>
      <c r="AL149" s="149"/>
      <c r="AM149" s="149"/>
      <c r="AN149" s="149"/>
      <c r="AO149" s="149"/>
      <c r="AP149" s="149"/>
    </row>
    <row r="150" spans="1:42" x14ac:dyDescent="0.4">
      <c r="A150" s="86" t="s">
        <v>179</v>
      </c>
      <c r="B150" s="175">
        <f>B142+NPV(NominalDiscountRate/100,C142:AP142)</f>
        <v>1652278.9733005594</v>
      </c>
      <c r="C150" s="149"/>
      <c r="D150" s="149"/>
      <c r="E150" s="149"/>
      <c r="F150" s="149"/>
      <c r="G150" s="149"/>
      <c r="H150" s="149"/>
      <c r="I150" s="149"/>
      <c r="J150" s="149"/>
      <c r="K150" s="149"/>
      <c r="L150" s="149"/>
      <c r="M150" s="149"/>
      <c r="N150" s="149"/>
      <c r="O150" s="149"/>
      <c r="P150" s="149"/>
      <c r="Q150" s="149"/>
      <c r="R150" s="149"/>
      <c r="S150" s="149"/>
      <c r="T150" s="149"/>
      <c r="U150" s="149"/>
      <c r="V150" s="149"/>
      <c r="W150" s="149"/>
      <c r="X150" s="149"/>
      <c r="Y150" s="149"/>
      <c r="Z150" s="149"/>
      <c r="AA150" s="149"/>
      <c r="AB150" s="149"/>
      <c r="AC150" s="149"/>
      <c r="AD150" s="149"/>
      <c r="AE150" s="149"/>
      <c r="AF150" s="149"/>
      <c r="AG150" s="149"/>
      <c r="AH150" s="149"/>
      <c r="AI150" s="149"/>
      <c r="AJ150" s="149"/>
      <c r="AK150" s="149"/>
      <c r="AL150" s="149"/>
      <c r="AM150" s="149"/>
      <c r="AN150" s="149"/>
      <c r="AO150" s="149"/>
      <c r="AP150" s="149"/>
    </row>
    <row r="152" spans="1:42" x14ac:dyDescent="0.4">
      <c r="A152" s="80" t="s">
        <v>354</v>
      </c>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row>
    <row r="153" spans="1:42" x14ac:dyDescent="0.4">
      <c r="A153" s="17" t="s">
        <v>174</v>
      </c>
      <c r="B153" s="123">
        <f>B125</f>
        <v>-8310747.3125</v>
      </c>
      <c r="C153" s="119">
        <f>C605+C210+C251-C67-C610-C611+C133+C137-C643-C637-C638-C649-C655-C687-C719+C751-C644+C31</f>
        <v>-2384066.670189999</v>
      </c>
      <c r="D153" s="119">
        <f t="shared" ref="D153:AP153" si="61">D605+D210+D251-D71-D610-D611+D133+D137-D643-D637-D638-D649-D655-D687-D719+D751-D644+D31</f>
        <v>-2369234.1363902828</v>
      </c>
      <c r="E153" s="119">
        <f t="shared" si="61"/>
        <v>-2354990.8386253817</v>
      </c>
      <c r="F153" s="119">
        <f t="shared" si="61"/>
        <v>-2340835.5839736238</v>
      </c>
      <c r="G153" s="119">
        <f t="shared" si="61"/>
        <v>-2386235.0474695163</v>
      </c>
      <c r="H153" s="119">
        <f t="shared" si="61"/>
        <v>-2379171.5401692949</v>
      </c>
      <c r="I153" s="119">
        <f t="shared" si="61"/>
        <v>-3833626.0589102572</v>
      </c>
      <c r="J153" s="119">
        <f t="shared" si="61"/>
        <v>-3835124.1075441013</v>
      </c>
      <c r="K153" s="119">
        <f t="shared" si="61"/>
        <v>-3837366.2264926438</v>
      </c>
      <c r="L153" s="119">
        <f t="shared" si="61"/>
        <v>-3786108.3984880904</v>
      </c>
      <c r="M153" s="119">
        <f t="shared" si="61"/>
        <v>-2146541.3460660586</v>
      </c>
      <c r="N153" s="119">
        <f t="shared" si="61"/>
        <v>-2142655.9386640121</v>
      </c>
      <c r="O153" s="119">
        <f t="shared" si="61"/>
        <v>-2138909.7858588211</v>
      </c>
      <c r="P153" s="119">
        <f t="shared" si="61"/>
        <v>-2135294.3877159888</v>
      </c>
      <c r="Q153" s="119">
        <f t="shared" si="61"/>
        <v>-2131770.7740704939</v>
      </c>
      <c r="R153" s="119">
        <f t="shared" si="61"/>
        <v>-2128370.4933254421</v>
      </c>
      <c r="S153" s="119">
        <f t="shared" si="61"/>
        <v>-2125074.6532512642</v>
      </c>
      <c r="T153" s="119">
        <f t="shared" si="61"/>
        <v>-2121894.5090030367</v>
      </c>
      <c r="U153" s="119">
        <f t="shared" si="61"/>
        <v>-1271646.2450577808</v>
      </c>
      <c r="V153" s="119">
        <f t="shared" si="61"/>
        <v>-5225510.7115892256</v>
      </c>
      <c r="W153" s="119">
        <f t="shared" si="61"/>
        <v>-1307221.2695189556</v>
      </c>
      <c r="X153" s="119">
        <f t="shared" si="61"/>
        <v>-1325826.8411319295</v>
      </c>
      <c r="Y153" s="119">
        <f t="shared" si="61"/>
        <v>-1344974.0003152275</v>
      </c>
      <c r="Z153" s="119">
        <f t="shared" si="61"/>
        <v>-1364664.3639581082</v>
      </c>
      <c r="AA153" s="119">
        <f t="shared" si="61"/>
        <v>5181082.6803499218</v>
      </c>
      <c r="AB153" s="119">
        <f t="shared" si="61"/>
        <v>0</v>
      </c>
      <c r="AC153" s="119">
        <f t="shared" si="61"/>
        <v>0</v>
      </c>
      <c r="AD153" s="119">
        <f t="shared" si="61"/>
        <v>0</v>
      </c>
      <c r="AE153" s="119">
        <f t="shared" si="61"/>
        <v>0</v>
      </c>
      <c r="AF153" s="119">
        <f t="shared" si="61"/>
        <v>0</v>
      </c>
      <c r="AG153" s="119">
        <f t="shared" si="61"/>
        <v>0</v>
      </c>
      <c r="AH153" s="119">
        <f t="shared" si="61"/>
        <v>0</v>
      </c>
      <c r="AI153" s="119">
        <f t="shared" si="61"/>
        <v>0</v>
      </c>
      <c r="AJ153" s="119">
        <f t="shared" si="61"/>
        <v>0</v>
      </c>
      <c r="AK153" s="119">
        <f t="shared" si="61"/>
        <v>0</v>
      </c>
      <c r="AL153" s="119">
        <f t="shared" si="61"/>
        <v>0</v>
      </c>
      <c r="AM153" s="119">
        <f t="shared" si="61"/>
        <v>0</v>
      </c>
      <c r="AN153" s="119">
        <f t="shared" si="61"/>
        <v>0</v>
      </c>
      <c r="AO153" s="119">
        <f t="shared" si="61"/>
        <v>0</v>
      </c>
      <c r="AP153" s="119">
        <f t="shared" si="61"/>
        <v>0</v>
      </c>
    </row>
    <row r="154" spans="1:42" x14ac:dyDescent="0.4">
      <c r="A154" s="17" t="s">
        <v>181</v>
      </c>
      <c r="B154" s="123"/>
      <c r="C154" s="119">
        <f t="shared" ref="C154:AP154" si="62">C16</f>
        <v>4580780</v>
      </c>
      <c r="D154" s="119">
        <f t="shared" si="62"/>
        <v>4557750</v>
      </c>
      <c r="E154" s="119">
        <f t="shared" si="62"/>
        <v>4535360</v>
      </c>
      <c r="F154" s="119">
        <f t="shared" si="62"/>
        <v>4512970</v>
      </c>
      <c r="G154" s="119">
        <f t="shared" si="62"/>
        <v>4490450</v>
      </c>
      <c r="H154" s="119">
        <f t="shared" si="62"/>
        <v>4467740</v>
      </c>
      <c r="I154" s="119">
        <f t="shared" si="62"/>
        <v>4444900</v>
      </c>
      <c r="J154" s="119">
        <f t="shared" si="62"/>
        <v>4421950</v>
      </c>
      <c r="K154" s="119">
        <f t="shared" si="62"/>
        <v>4398870</v>
      </c>
      <c r="L154" s="119">
        <f t="shared" si="62"/>
        <v>4373200</v>
      </c>
      <c r="M154" s="119">
        <f t="shared" si="62"/>
        <v>2198600</v>
      </c>
      <c r="N154" s="119">
        <f t="shared" si="62"/>
        <v>2186880</v>
      </c>
      <c r="O154" s="119">
        <f t="shared" si="62"/>
        <v>2175180</v>
      </c>
      <c r="P154" s="119">
        <f t="shared" si="62"/>
        <v>2163490</v>
      </c>
      <c r="Q154" s="119">
        <f t="shared" si="62"/>
        <v>2151770</v>
      </c>
      <c r="R154" s="119">
        <f t="shared" si="62"/>
        <v>2140050</v>
      </c>
      <c r="S154" s="119">
        <f t="shared" si="62"/>
        <v>2128310</v>
      </c>
      <c r="T154" s="119">
        <f t="shared" si="62"/>
        <v>2116560</v>
      </c>
      <c r="U154" s="119">
        <f t="shared" si="62"/>
        <v>2104810</v>
      </c>
      <c r="V154" s="119">
        <f t="shared" si="62"/>
        <v>2091650</v>
      </c>
      <c r="W154" s="119">
        <f t="shared" si="62"/>
        <v>2079770</v>
      </c>
      <c r="X154" s="119">
        <f t="shared" si="62"/>
        <v>2068030</v>
      </c>
      <c r="Y154" s="119">
        <f t="shared" si="62"/>
        <v>2056340</v>
      </c>
      <c r="Z154" s="119">
        <f t="shared" si="62"/>
        <v>2044640</v>
      </c>
      <c r="AA154" s="119">
        <f t="shared" si="62"/>
        <v>2032930</v>
      </c>
      <c r="AB154" s="119">
        <f t="shared" si="62"/>
        <v>0</v>
      </c>
      <c r="AC154" s="119">
        <f t="shared" si="62"/>
        <v>0</v>
      </c>
      <c r="AD154" s="119">
        <f t="shared" si="62"/>
        <v>0</v>
      </c>
      <c r="AE154" s="119">
        <f t="shared" si="62"/>
        <v>0</v>
      </c>
      <c r="AF154" s="119">
        <f t="shared" si="62"/>
        <v>0</v>
      </c>
      <c r="AG154" s="119">
        <f t="shared" si="62"/>
        <v>0</v>
      </c>
      <c r="AH154" s="119">
        <f t="shared" si="62"/>
        <v>0</v>
      </c>
      <c r="AI154" s="119">
        <f t="shared" si="62"/>
        <v>0</v>
      </c>
      <c r="AJ154" s="119">
        <f t="shared" si="62"/>
        <v>0</v>
      </c>
      <c r="AK154" s="119">
        <f t="shared" si="62"/>
        <v>0</v>
      </c>
      <c r="AL154" s="119">
        <f t="shared" si="62"/>
        <v>0</v>
      </c>
      <c r="AM154" s="119">
        <f t="shared" si="62"/>
        <v>0</v>
      </c>
      <c r="AN154" s="119">
        <f t="shared" si="62"/>
        <v>0</v>
      </c>
      <c r="AO154" s="119">
        <f t="shared" si="62"/>
        <v>0</v>
      </c>
      <c r="AP154" s="119">
        <f t="shared" si="62"/>
        <v>0</v>
      </c>
    </row>
    <row r="155" spans="1:42" x14ac:dyDescent="0.4">
      <c r="A155" s="17" t="s">
        <v>332</v>
      </c>
      <c r="B155" s="123"/>
      <c r="C155" s="119">
        <f t="shared" ref="C155:AP155" si="63">C5</f>
        <v>55524700</v>
      </c>
      <c r="D155" s="119">
        <f t="shared" si="63"/>
        <v>55245500</v>
      </c>
      <c r="E155" s="119">
        <f t="shared" si="63"/>
        <v>54974100</v>
      </c>
      <c r="F155" s="119">
        <f t="shared" si="63"/>
        <v>54702700</v>
      </c>
      <c r="G155" s="119">
        <f t="shared" si="63"/>
        <v>54429700</v>
      </c>
      <c r="H155" s="119">
        <f t="shared" si="63"/>
        <v>54154400</v>
      </c>
      <c r="I155" s="119">
        <f t="shared" si="63"/>
        <v>53877600</v>
      </c>
      <c r="J155" s="119">
        <f t="shared" si="63"/>
        <v>53599400</v>
      </c>
      <c r="K155" s="119">
        <f t="shared" si="63"/>
        <v>53319700</v>
      </c>
      <c r="L155" s="119">
        <f t="shared" si="63"/>
        <v>53008400</v>
      </c>
      <c r="M155" s="119">
        <f t="shared" si="63"/>
        <v>52724300</v>
      </c>
      <c r="N155" s="119">
        <f t="shared" si="63"/>
        <v>52443100</v>
      </c>
      <c r="O155" s="119">
        <f t="shared" si="63"/>
        <v>52162700</v>
      </c>
      <c r="P155" s="119">
        <f t="shared" si="63"/>
        <v>51882200</v>
      </c>
      <c r="Q155" s="119">
        <f t="shared" si="63"/>
        <v>51601300</v>
      </c>
      <c r="R155" s="119">
        <f t="shared" si="63"/>
        <v>51320000</v>
      </c>
      <c r="S155" s="119">
        <f t="shared" si="63"/>
        <v>51038500</v>
      </c>
      <c r="T155" s="119">
        <f t="shared" si="63"/>
        <v>50756800</v>
      </c>
      <c r="U155" s="119">
        <f t="shared" si="63"/>
        <v>50475000</v>
      </c>
      <c r="V155" s="119">
        <f t="shared" si="63"/>
        <v>50159600</v>
      </c>
      <c r="W155" s="119">
        <f t="shared" si="63"/>
        <v>49874600</v>
      </c>
      <c r="X155" s="119">
        <f t="shared" si="63"/>
        <v>49593100</v>
      </c>
      <c r="Y155" s="119">
        <f t="shared" si="63"/>
        <v>49312700</v>
      </c>
      <c r="Z155" s="119">
        <f t="shared" si="63"/>
        <v>49032200</v>
      </c>
      <c r="AA155" s="119">
        <f t="shared" si="63"/>
        <v>48751300</v>
      </c>
      <c r="AB155" s="119">
        <f t="shared" si="63"/>
        <v>0</v>
      </c>
      <c r="AC155" s="119">
        <f t="shared" si="63"/>
        <v>0</v>
      </c>
      <c r="AD155" s="119">
        <f t="shared" si="63"/>
        <v>0</v>
      </c>
      <c r="AE155" s="119">
        <f t="shared" si="63"/>
        <v>0</v>
      </c>
      <c r="AF155" s="119">
        <f t="shared" si="63"/>
        <v>0</v>
      </c>
      <c r="AG155" s="119">
        <f t="shared" si="63"/>
        <v>0</v>
      </c>
      <c r="AH155" s="119">
        <f t="shared" si="63"/>
        <v>0</v>
      </c>
      <c r="AI155" s="119">
        <f t="shared" si="63"/>
        <v>0</v>
      </c>
      <c r="AJ155" s="119">
        <f t="shared" si="63"/>
        <v>0</v>
      </c>
      <c r="AK155" s="119">
        <f t="shared" si="63"/>
        <v>0</v>
      </c>
      <c r="AL155" s="119">
        <f t="shared" si="63"/>
        <v>0</v>
      </c>
      <c r="AM155" s="119">
        <f t="shared" si="63"/>
        <v>0</v>
      </c>
      <c r="AN155" s="119">
        <f t="shared" si="63"/>
        <v>0</v>
      </c>
      <c r="AO155" s="119">
        <f t="shared" si="63"/>
        <v>0</v>
      </c>
      <c r="AP155" s="119">
        <f t="shared" si="63"/>
        <v>0</v>
      </c>
    </row>
    <row r="157" spans="1:42" x14ac:dyDescent="0.4">
      <c r="A157" s="4" t="s">
        <v>173</v>
      </c>
      <c r="B157" s="146">
        <f>-(B153+NPV(NominalDiscountRate/100,C153:AP153))</f>
        <v>27236302.005645551</v>
      </c>
      <c r="C157" s="119"/>
      <c r="D157" s="119"/>
    </row>
    <row r="158" spans="1:42" x14ac:dyDescent="0.4">
      <c r="A158" s="4" t="s">
        <v>172</v>
      </c>
      <c r="B158" s="146">
        <f>NPV(NominalDiscountRate/100,C155:AP155)</f>
        <v>400235203.94047445</v>
      </c>
    </row>
    <row r="159" spans="1:42" x14ac:dyDescent="0.4">
      <c r="A159" s="4" t="s">
        <v>367</v>
      </c>
      <c r="B159" s="207">
        <f>IF(B158=0,0,B157/B158*100)</f>
        <v>6.8050740508314469</v>
      </c>
    </row>
    <row r="160" spans="1:42" x14ac:dyDescent="0.4">
      <c r="B160" s="198"/>
    </row>
    <row r="161" spans="1:42" x14ac:dyDescent="0.4">
      <c r="A161" s="4" t="s">
        <v>182</v>
      </c>
      <c r="B161" s="146">
        <f>NPV(NominalDiscountRate/100,C154:AP154)</f>
        <v>28888580.978946108</v>
      </c>
    </row>
    <row r="162" spans="1:42" x14ac:dyDescent="0.4">
      <c r="A162" s="4" t="s">
        <v>172</v>
      </c>
      <c r="B162" s="146">
        <f>B158</f>
        <v>400235203.94047445</v>
      </c>
    </row>
    <row r="163" spans="1:42" x14ac:dyDescent="0.4">
      <c r="A163" s="4" t="s">
        <v>221</v>
      </c>
      <c r="B163" s="207">
        <f>IF(B162=0,0,B161/B162*100)</f>
        <v>7.2179010478155252</v>
      </c>
    </row>
    <row r="165" spans="1:42" x14ac:dyDescent="0.4">
      <c r="A165" s="80" t="s">
        <v>365</v>
      </c>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row>
    <row r="166" spans="1:42" x14ac:dyDescent="0.4">
      <c r="A166" s="4" t="s">
        <v>318</v>
      </c>
      <c r="B166" s="119">
        <f t="array" ref="B166:AP167">Inputs!C218:AQ219</f>
        <v>-5038700</v>
      </c>
      <c r="C166" s="4">
        <v>-335314</v>
      </c>
      <c r="D166" s="4">
        <v>-343408</v>
      </c>
      <c r="E166" s="4">
        <v>-348685</v>
      </c>
      <c r="F166" s="4">
        <v>-354127</v>
      </c>
      <c r="G166" s="4">
        <v>-359953</v>
      </c>
      <c r="H166" s="4">
        <v>-366107</v>
      </c>
      <c r="I166" s="4">
        <v>-372537</v>
      </c>
      <c r="J166" s="4">
        <v>-379214</v>
      </c>
      <c r="K166" s="4">
        <v>-386118</v>
      </c>
      <c r="L166" s="4">
        <v>-4361580</v>
      </c>
      <c r="M166" s="4">
        <v>-428863</v>
      </c>
      <c r="N166" s="4">
        <v>-435450</v>
      </c>
      <c r="O166" s="4">
        <v>-442247</v>
      </c>
      <c r="P166" s="4">
        <v>-449525</v>
      </c>
      <c r="Q166" s="4">
        <v>-457210</v>
      </c>
      <c r="R166" s="4">
        <v>-465240</v>
      </c>
      <c r="S166" s="4">
        <v>-473579</v>
      </c>
      <c r="T166" s="4">
        <v>-482203</v>
      </c>
      <c r="U166" s="4">
        <v>-491096</v>
      </c>
      <c r="V166" s="4">
        <v>-5583190</v>
      </c>
      <c r="W166" s="4">
        <v>-548978</v>
      </c>
      <c r="X166" s="4">
        <v>-557407</v>
      </c>
      <c r="Y166" s="4">
        <v>-566110</v>
      </c>
      <c r="Z166" s="4">
        <v>-575427</v>
      </c>
      <c r="AA166" s="4">
        <v>-1673770</v>
      </c>
      <c r="AB166" s="4">
        <v>0</v>
      </c>
      <c r="AC166" s="4">
        <v>0</v>
      </c>
      <c r="AD166" s="4">
        <v>0</v>
      </c>
      <c r="AE166" s="4">
        <v>0</v>
      </c>
      <c r="AF166" s="4">
        <v>0</v>
      </c>
      <c r="AG166" s="4">
        <v>0</v>
      </c>
      <c r="AH166" s="4">
        <v>0</v>
      </c>
      <c r="AI166" s="4">
        <v>0</v>
      </c>
      <c r="AJ166" s="4">
        <v>0</v>
      </c>
      <c r="AK166" s="4">
        <v>0</v>
      </c>
      <c r="AL166" s="4">
        <v>0</v>
      </c>
      <c r="AM166" s="4">
        <v>0</v>
      </c>
      <c r="AN166" s="4">
        <v>0</v>
      </c>
      <c r="AO166" s="4">
        <v>0</v>
      </c>
      <c r="AP166" s="4">
        <v>0</v>
      </c>
    </row>
    <row r="167" spans="1:42" x14ac:dyDescent="0.4">
      <c r="A167" s="4" t="s">
        <v>369</v>
      </c>
      <c r="B167" s="119">
        <v>0</v>
      </c>
      <c r="C167" s="4">
        <v>3828780</v>
      </c>
      <c r="D167" s="4">
        <v>3819060</v>
      </c>
      <c r="E167" s="4">
        <v>3771420</v>
      </c>
      <c r="F167" s="4">
        <v>3726630</v>
      </c>
      <c r="G167" s="4">
        <v>3686660</v>
      </c>
      <c r="H167" s="4">
        <v>3649930</v>
      </c>
      <c r="I167" s="4">
        <v>3615600</v>
      </c>
      <c r="J167" s="4">
        <v>3583100</v>
      </c>
      <c r="K167" s="4">
        <v>3552090</v>
      </c>
      <c r="L167" s="4">
        <v>3828780</v>
      </c>
      <c r="M167" s="4">
        <v>3819000</v>
      </c>
      <c r="N167" s="4">
        <v>3771330</v>
      </c>
      <c r="O167" s="4">
        <v>3726560</v>
      </c>
      <c r="P167" s="4">
        <v>3686590</v>
      </c>
      <c r="Q167" s="4">
        <v>3649880</v>
      </c>
      <c r="R167" s="4">
        <v>3615540</v>
      </c>
      <c r="S167" s="4">
        <v>3583050</v>
      </c>
      <c r="T167" s="4">
        <v>3552040</v>
      </c>
      <c r="U167" s="4">
        <v>3522260</v>
      </c>
      <c r="V167" s="4">
        <v>3828780</v>
      </c>
      <c r="W167" s="4">
        <v>3819010</v>
      </c>
      <c r="X167" s="4">
        <v>3771340</v>
      </c>
      <c r="Y167" s="4">
        <v>3726560</v>
      </c>
      <c r="Z167" s="4">
        <v>3686590</v>
      </c>
      <c r="AA167" s="4">
        <v>3649880</v>
      </c>
      <c r="AB167" s="4">
        <v>0</v>
      </c>
      <c r="AC167" s="4">
        <v>0</v>
      </c>
      <c r="AD167" s="4">
        <v>0</v>
      </c>
      <c r="AE167" s="4">
        <v>0</v>
      </c>
      <c r="AF167" s="4">
        <v>0</v>
      </c>
      <c r="AG167" s="4">
        <v>0</v>
      </c>
      <c r="AH167" s="4">
        <v>0</v>
      </c>
      <c r="AI167" s="4">
        <v>0</v>
      </c>
      <c r="AJ167" s="4">
        <v>0</v>
      </c>
      <c r="AK167" s="4">
        <v>0</v>
      </c>
      <c r="AL167" s="4">
        <v>0</v>
      </c>
      <c r="AM167" s="4">
        <v>0</v>
      </c>
      <c r="AN167" s="4">
        <v>0</v>
      </c>
      <c r="AO167" s="4">
        <v>0</v>
      </c>
      <c r="AP167" s="4">
        <v>0</v>
      </c>
    </row>
    <row r="169" spans="1:42" x14ac:dyDescent="0.4">
      <c r="A169" s="4" t="s">
        <v>316</v>
      </c>
      <c r="B169" s="175">
        <f>-(B166+NPV(NominalDiscountRate/100,C166:AP166))</f>
        <v>9642638.0284200441</v>
      </c>
    </row>
    <row r="170" spans="1:42" x14ac:dyDescent="0.4">
      <c r="A170" s="4" t="s">
        <v>317</v>
      </c>
      <c r="B170" s="175">
        <f>NPV(NominalDiscountRate/100,C167:AP167)</f>
        <v>27730192.99373981</v>
      </c>
    </row>
    <row r="171" spans="1:42" x14ac:dyDescent="0.4">
      <c r="A171" s="4" t="s">
        <v>366</v>
      </c>
      <c r="B171" s="106">
        <f>IF(B170=0,0,B169/B170*100)</f>
        <v>34.77306497865667</v>
      </c>
    </row>
    <row r="173" spans="1:42" x14ac:dyDescent="0.4">
      <c r="A173" s="80" t="s">
        <v>28</v>
      </c>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row>
    <row r="174" spans="1:42" x14ac:dyDescent="0.4">
      <c r="A174" s="19" t="s">
        <v>34</v>
      </c>
    </row>
    <row r="175" spans="1:42" x14ac:dyDescent="0.4">
      <c r="A175" s="86" t="s">
        <v>29</v>
      </c>
      <c r="C175" s="119">
        <f t="shared" ref="C175:AP175" si="64">C73</f>
        <v>3914452.99</v>
      </c>
      <c r="D175" s="119">
        <f t="shared" si="64"/>
        <v>3874825.6625000001</v>
      </c>
      <c r="E175" s="119">
        <f t="shared" si="64"/>
        <v>3835443.7328125001</v>
      </c>
      <c r="F175" s="119">
        <f t="shared" si="64"/>
        <v>3795636.1943828124</v>
      </c>
      <c r="G175" s="119">
        <f t="shared" si="64"/>
        <v>3755261.010492383</v>
      </c>
      <c r="H175" s="119">
        <f t="shared" si="64"/>
        <v>3714248.2085046927</v>
      </c>
      <c r="I175" s="119">
        <f t="shared" si="64"/>
        <v>3672646.9739673096</v>
      </c>
      <c r="J175" s="119">
        <f t="shared" si="64"/>
        <v>3630466.0645664926</v>
      </c>
      <c r="K175" s="119">
        <f t="shared" si="64"/>
        <v>3587673.9039306547</v>
      </c>
      <c r="L175" s="119">
        <f t="shared" si="64"/>
        <v>-400816.47472107783</v>
      </c>
      <c r="M175" s="119">
        <f t="shared" si="64"/>
        <v>1347377.7949108945</v>
      </c>
      <c r="N175" s="119">
        <f t="shared" si="64"/>
        <v>1314437.2955336669</v>
      </c>
      <c r="O175" s="119">
        <f t="shared" si="64"/>
        <v>1280985.1394220088</v>
      </c>
      <c r="P175" s="119">
        <f t="shared" si="64"/>
        <v>1246995.8414075589</v>
      </c>
      <c r="Q175" s="119">
        <f t="shared" si="64"/>
        <v>1212418.0616927478</v>
      </c>
      <c r="R175" s="119">
        <f t="shared" si="64"/>
        <v>1177267.5484850663</v>
      </c>
      <c r="S175" s="119">
        <f t="shared" si="64"/>
        <v>1141510.9404471933</v>
      </c>
      <c r="T175" s="119">
        <f t="shared" si="64"/>
        <v>1105142.3689583731</v>
      </c>
      <c r="U175" s="119">
        <f t="shared" si="64"/>
        <v>1068158.6601823326</v>
      </c>
      <c r="V175" s="119">
        <f t="shared" si="64"/>
        <v>-4017770.1430631094</v>
      </c>
      <c r="W175" s="119">
        <f t="shared" si="64"/>
        <v>990447.09036031319</v>
      </c>
      <c r="X175" s="119">
        <f t="shared" si="64"/>
        <v>951542.51136932103</v>
      </c>
      <c r="Y175" s="119">
        <f t="shared" si="64"/>
        <v>912007.69190355437</v>
      </c>
      <c r="Z175" s="119">
        <f t="shared" si="64"/>
        <v>871763.63595114322</v>
      </c>
      <c r="AA175" s="119">
        <f t="shared" si="64"/>
        <v>7214012.6803499218</v>
      </c>
      <c r="AB175" s="119">
        <f t="shared" si="64"/>
        <v>0</v>
      </c>
      <c r="AC175" s="119">
        <f t="shared" si="64"/>
        <v>0</v>
      </c>
      <c r="AD175" s="119">
        <f t="shared" si="64"/>
        <v>0</v>
      </c>
      <c r="AE175" s="119">
        <f t="shared" si="64"/>
        <v>0</v>
      </c>
      <c r="AF175" s="119">
        <f t="shared" si="64"/>
        <v>0</v>
      </c>
      <c r="AG175" s="119">
        <f t="shared" si="64"/>
        <v>0</v>
      </c>
      <c r="AH175" s="119">
        <f t="shared" si="64"/>
        <v>0</v>
      </c>
      <c r="AI175" s="119">
        <f t="shared" si="64"/>
        <v>0</v>
      </c>
      <c r="AJ175" s="119">
        <f t="shared" si="64"/>
        <v>0</v>
      </c>
      <c r="AK175" s="119">
        <f t="shared" si="64"/>
        <v>0</v>
      </c>
      <c r="AL175" s="119">
        <f t="shared" si="64"/>
        <v>0</v>
      </c>
      <c r="AM175" s="119">
        <f t="shared" si="64"/>
        <v>0</v>
      </c>
      <c r="AN175" s="119">
        <f t="shared" si="64"/>
        <v>0</v>
      </c>
      <c r="AO175" s="119">
        <f t="shared" si="64"/>
        <v>0</v>
      </c>
      <c r="AP175" s="119">
        <f t="shared" si="64"/>
        <v>0</v>
      </c>
    </row>
    <row r="176" spans="1:42" x14ac:dyDescent="0.4">
      <c r="A176" s="86" t="s">
        <v>425</v>
      </c>
      <c r="C176" s="119">
        <f t="shared" ref="C176:AP176" si="65">C751</f>
        <v>0</v>
      </c>
      <c r="D176" s="119">
        <f t="shared" si="65"/>
        <v>0</v>
      </c>
      <c r="E176" s="119">
        <f t="shared" si="65"/>
        <v>0</v>
      </c>
      <c r="F176" s="119">
        <f t="shared" si="65"/>
        <v>0</v>
      </c>
      <c r="G176" s="119">
        <f t="shared" si="65"/>
        <v>0</v>
      </c>
      <c r="H176" s="119">
        <f t="shared" si="65"/>
        <v>0</v>
      </c>
      <c r="I176" s="119">
        <f t="shared" si="65"/>
        <v>0</v>
      </c>
      <c r="J176" s="119">
        <f t="shared" si="65"/>
        <v>0</v>
      </c>
      <c r="K176" s="119">
        <f t="shared" si="65"/>
        <v>0</v>
      </c>
      <c r="L176" s="119">
        <f t="shared" si="65"/>
        <v>0</v>
      </c>
      <c r="M176" s="119">
        <f t="shared" si="65"/>
        <v>0</v>
      </c>
      <c r="N176" s="119">
        <f t="shared" si="65"/>
        <v>0</v>
      </c>
      <c r="O176" s="119">
        <f t="shared" si="65"/>
        <v>0</v>
      </c>
      <c r="P176" s="119">
        <f t="shared" si="65"/>
        <v>0</v>
      </c>
      <c r="Q176" s="119">
        <f t="shared" si="65"/>
        <v>0</v>
      </c>
      <c r="R176" s="119">
        <f t="shared" si="65"/>
        <v>0</v>
      </c>
      <c r="S176" s="119">
        <f t="shared" si="65"/>
        <v>0</v>
      </c>
      <c r="T176" s="119">
        <f t="shared" si="65"/>
        <v>0</v>
      </c>
      <c r="U176" s="119">
        <f t="shared" si="65"/>
        <v>0</v>
      </c>
      <c r="V176" s="119">
        <f t="shared" si="65"/>
        <v>0</v>
      </c>
      <c r="W176" s="119">
        <f t="shared" si="65"/>
        <v>0</v>
      </c>
      <c r="X176" s="119">
        <f t="shared" si="65"/>
        <v>0</v>
      </c>
      <c r="Y176" s="119">
        <f t="shared" si="65"/>
        <v>0</v>
      </c>
      <c r="Z176" s="119">
        <f t="shared" si="65"/>
        <v>0</v>
      </c>
      <c r="AA176" s="119">
        <f t="shared" si="65"/>
        <v>0</v>
      </c>
      <c r="AB176" s="119">
        <f t="shared" si="65"/>
        <v>0</v>
      </c>
      <c r="AC176" s="119">
        <f t="shared" si="65"/>
        <v>0</v>
      </c>
      <c r="AD176" s="119">
        <f t="shared" si="65"/>
        <v>0</v>
      </c>
      <c r="AE176" s="119">
        <f t="shared" si="65"/>
        <v>0</v>
      </c>
      <c r="AF176" s="119">
        <f t="shared" si="65"/>
        <v>0</v>
      </c>
      <c r="AG176" s="119">
        <f t="shared" si="65"/>
        <v>0</v>
      </c>
      <c r="AH176" s="119">
        <f t="shared" si="65"/>
        <v>0</v>
      </c>
      <c r="AI176" s="119">
        <f t="shared" si="65"/>
        <v>0</v>
      </c>
      <c r="AJ176" s="119">
        <f t="shared" si="65"/>
        <v>0</v>
      </c>
      <c r="AK176" s="119">
        <f t="shared" si="65"/>
        <v>0</v>
      </c>
      <c r="AL176" s="119">
        <f t="shared" si="65"/>
        <v>0</v>
      </c>
      <c r="AM176" s="119">
        <f t="shared" si="65"/>
        <v>0</v>
      </c>
      <c r="AN176" s="119">
        <f t="shared" si="65"/>
        <v>0</v>
      </c>
      <c r="AO176" s="119">
        <f t="shared" si="65"/>
        <v>0</v>
      </c>
      <c r="AP176" s="119">
        <f t="shared" si="65"/>
        <v>0</v>
      </c>
    </row>
    <row r="177" spans="1:42" x14ac:dyDescent="0.4">
      <c r="A177" s="86" t="s">
        <v>426</v>
      </c>
      <c r="C177" s="119">
        <f t="shared" ref="C177:AP177" si="66">-C610</f>
        <v>-1246612.096875</v>
      </c>
      <c r="D177" s="119">
        <f t="shared" si="66"/>
        <v>-1153708.0160842501</v>
      </c>
      <c r="E177" s="119">
        <f t="shared" si="66"/>
        <v>-1057730.2243189483</v>
      </c>
      <c r="F177" s="119">
        <f t="shared" si="66"/>
        <v>-958515.30433800165</v>
      </c>
      <c r="G177" s="119">
        <f t="shared" si="66"/>
        <v>-855918.27801207989</v>
      </c>
      <c r="H177" s="119">
        <f t="shared" si="66"/>
        <v>-749792.5510273556</v>
      </c>
      <c r="I177" s="119">
        <f t="shared" si="66"/>
        <v>-639986.97424527432</v>
      </c>
      <c r="J177" s="119">
        <f t="shared" si="66"/>
        <v>-526340.89052885212</v>
      </c>
      <c r="K177" s="119">
        <f t="shared" si="66"/>
        <v>-408685.26258242904</v>
      </c>
      <c r="L177" s="119">
        <f t="shared" si="66"/>
        <v>-286843.8534634661</v>
      </c>
      <c r="M177" s="119">
        <f t="shared" si="66"/>
        <v>-317081.1455565088</v>
      </c>
      <c r="N177" s="119">
        <f t="shared" si="66"/>
        <v>-279502.50892838481</v>
      </c>
      <c r="O177" s="119">
        <f t="shared" si="66"/>
        <v>-241351.25531757824</v>
      </c>
      <c r="P177" s="119">
        <f t="shared" si="66"/>
        <v>-202619.04454456441</v>
      </c>
      <c r="Q177" s="119">
        <f t="shared" si="66"/>
        <v>-163298.13008110819</v>
      </c>
      <c r="R177" s="119">
        <f t="shared" si="66"/>
        <v>-123382.41404472952</v>
      </c>
      <c r="S177" s="119">
        <f t="shared" si="66"/>
        <v>-82864.869135284287</v>
      </c>
      <c r="T177" s="119">
        <f t="shared" si="66"/>
        <v>-41739.439691556618</v>
      </c>
      <c r="U177" s="119">
        <f t="shared" si="66"/>
        <v>0</v>
      </c>
      <c r="V177" s="119">
        <f t="shared" si="66"/>
        <v>0</v>
      </c>
      <c r="W177" s="119">
        <f t="shared" si="66"/>
        <v>0</v>
      </c>
      <c r="X177" s="119">
        <f t="shared" si="66"/>
        <v>0</v>
      </c>
      <c r="Y177" s="119">
        <f t="shared" si="66"/>
        <v>0</v>
      </c>
      <c r="Z177" s="119">
        <f t="shared" si="66"/>
        <v>0</v>
      </c>
      <c r="AA177" s="119">
        <f t="shared" si="66"/>
        <v>0</v>
      </c>
      <c r="AB177" s="119">
        <f t="shared" si="66"/>
        <v>0</v>
      </c>
      <c r="AC177" s="119">
        <f t="shared" si="66"/>
        <v>0</v>
      </c>
      <c r="AD177" s="119">
        <f t="shared" si="66"/>
        <v>0</v>
      </c>
      <c r="AE177" s="119">
        <f t="shared" si="66"/>
        <v>0</v>
      </c>
      <c r="AF177" s="119">
        <f t="shared" si="66"/>
        <v>0</v>
      </c>
      <c r="AG177" s="119">
        <f t="shared" si="66"/>
        <v>0</v>
      </c>
      <c r="AH177" s="119">
        <f t="shared" si="66"/>
        <v>0</v>
      </c>
      <c r="AI177" s="119">
        <f t="shared" si="66"/>
        <v>0</v>
      </c>
      <c r="AJ177" s="119">
        <f t="shared" si="66"/>
        <v>0</v>
      </c>
      <c r="AK177" s="119">
        <f t="shared" si="66"/>
        <v>0</v>
      </c>
      <c r="AL177" s="119">
        <f t="shared" si="66"/>
        <v>0</v>
      </c>
      <c r="AM177" s="119">
        <f t="shared" si="66"/>
        <v>0</v>
      </c>
      <c r="AN177" s="119">
        <f t="shared" si="66"/>
        <v>0</v>
      </c>
      <c r="AO177" s="119">
        <f t="shared" si="66"/>
        <v>0</v>
      </c>
      <c r="AP177" s="119">
        <f t="shared" si="66"/>
        <v>0</v>
      </c>
    </row>
    <row r="178" spans="1:42" x14ac:dyDescent="0.4">
      <c r="A178" s="86" t="s">
        <v>427</v>
      </c>
      <c r="C178" s="120">
        <f t="shared" ref="C178:AP178" si="67">IF(C$2&lt;=analysis_period,-C315-C345-C371-C397,0)</f>
        <v>-2357821.88925</v>
      </c>
      <c r="D178" s="120">
        <f t="shared" si="67"/>
        <v>-2357821.88925</v>
      </c>
      <c r="E178" s="120">
        <f t="shared" si="67"/>
        <v>-2357821.88925</v>
      </c>
      <c r="F178" s="120">
        <f t="shared" si="67"/>
        <v>-2357821.88925</v>
      </c>
      <c r="G178" s="120">
        <f t="shared" si="67"/>
        <v>-2357821.88925</v>
      </c>
      <c r="H178" s="120">
        <f t="shared" si="67"/>
        <v>-2357821.88925</v>
      </c>
      <c r="I178" s="120">
        <f t="shared" si="67"/>
        <v>-2357821.88925</v>
      </c>
      <c r="J178" s="120">
        <f t="shared" si="67"/>
        <v>-2357821.88925</v>
      </c>
      <c r="K178" s="120">
        <f t="shared" si="67"/>
        <v>-2357821.88925</v>
      </c>
      <c r="L178" s="120">
        <f t="shared" si="67"/>
        <v>-2357821.88925</v>
      </c>
      <c r="M178" s="120">
        <f t="shared" si="67"/>
        <v>0</v>
      </c>
      <c r="N178" s="120">
        <f t="shared" si="67"/>
        <v>0</v>
      </c>
      <c r="O178" s="120">
        <f t="shared" si="67"/>
        <v>0</v>
      </c>
      <c r="P178" s="120">
        <f t="shared" si="67"/>
        <v>0</v>
      </c>
      <c r="Q178" s="120">
        <f t="shared" si="67"/>
        <v>0</v>
      </c>
      <c r="R178" s="120">
        <f t="shared" si="67"/>
        <v>0</v>
      </c>
      <c r="S178" s="120">
        <f t="shared" si="67"/>
        <v>0</v>
      </c>
      <c r="T178" s="120">
        <f t="shared" si="67"/>
        <v>0</v>
      </c>
      <c r="U178" s="120">
        <f t="shared" si="67"/>
        <v>0</v>
      </c>
      <c r="V178" s="120">
        <f t="shared" si="67"/>
        <v>0</v>
      </c>
      <c r="W178" s="120">
        <f t="shared" si="67"/>
        <v>0</v>
      </c>
      <c r="X178" s="120">
        <f t="shared" si="67"/>
        <v>0</v>
      </c>
      <c r="Y178" s="120">
        <f t="shared" si="67"/>
        <v>0</v>
      </c>
      <c r="Z178" s="120">
        <f t="shared" si="67"/>
        <v>0</v>
      </c>
      <c r="AA178" s="120">
        <f t="shared" si="67"/>
        <v>0</v>
      </c>
      <c r="AB178" s="120">
        <f t="shared" si="67"/>
        <v>0</v>
      </c>
      <c r="AC178" s="120">
        <f t="shared" si="67"/>
        <v>0</v>
      </c>
      <c r="AD178" s="120">
        <f t="shared" si="67"/>
        <v>0</v>
      </c>
      <c r="AE178" s="120">
        <f t="shared" si="67"/>
        <v>0</v>
      </c>
      <c r="AF178" s="120">
        <f t="shared" si="67"/>
        <v>0</v>
      </c>
      <c r="AG178" s="120">
        <f t="shared" si="67"/>
        <v>0</v>
      </c>
      <c r="AH178" s="120">
        <f t="shared" si="67"/>
        <v>0</v>
      </c>
      <c r="AI178" s="120">
        <f t="shared" si="67"/>
        <v>0</v>
      </c>
      <c r="AJ178" s="120">
        <f t="shared" si="67"/>
        <v>0</v>
      </c>
      <c r="AK178" s="120">
        <f t="shared" si="67"/>
        <v>0</v>
      </c>
      <c r="AL178" s="120">
        <f t="shared" si="67"/>
        <v>0</v>
      </c>
      <c r="AM178" s="120">
        <f t="shared" si="67"/>
        <v>0</v>
      </c>
      <c r="AN178" s="120">
        <f t="shared" si="67"/>
        <v>0</v>
      </c>
      <c r="AO178" s="120">
        <f t="shared" si="67"/>
        <v>0</v>
      </c>
      <c r="AP178" s="120">
        <f t="shared" si="67"/>
        <v>0</v>
      </c>
    </row>
    <row r="179" spans="1:42" x14ac:dyDescent="0.4">
      <c r="A179" s="86" t="s">
        <v>424</v>
      </c>
      <c r="C179" s="119">
        <f t="shared" ref="C179:AP179" si="68">SUM(C175:C178)</f>
        <v>310019.0038750004</v>
      </c>
      <c r="D179" s="119">
        <f t="shared" si="68"/>
        <v>363295.75716575002</v>
      </c>
      <c r="E179" s="119">
        <f t="shared" si="68"/>
        <v>419891.61924355198</v>
      </c>
      <c r="F179" s="119">
        <f t="shared" si="68"/>
        <v>479299.00079481071</v>
      </c>
      <c r="G179" s="119">
        <f t="shared" si="68"/>
        <v>541520.84323030338</v>
      </c>
      <c r="H179" s="119">
        <f t="shared" si="68"/>
        <v>606633.76822733693</v>
      </c>
      <c r="I179" s="119">
        <f t="shared" si="68"/>
        <v>674838.11047203513</v>
      </c>
      <c r="J179" s="119">
        <f t="shared" si="68"/>
        <v>746303.28478764044</v>
      </c>
      <c r="K179" s="119">
        <f t="shared" si="68"/>
        <v>821166.75209822552</v>
      </c>
      <c r="L179" s="119">
        <f t="shared" si="68"/>
        <v>-3045482.2174345441</v>
      </c>
      <c r="M179" s="119">
        <f t="shared" si="68"/>
        <v>1030296.6493543857</v>
      </c>
      <c r="N179" s="119">
        <f t="shared" si="68"/>
        <v>1034934.786605282</v>
      </c>
      <c r="O179" s="119">
        <f t="shared" si="68"/>
        <v>1039633.8841044306</v>
      </c>
      <c r="P179" s="119">
        <f t="shared" si="68"/>
        <v>1044376.7968629944</v>
      </c>
      <c r="Q179" s="119">
        <f t="shared" si="68"/>
        <v>1049119.9316116394</v>
      </c>
      <c r="R179" s="119">
        <f t="shared" si="68"/>
        <v>1053885.1344403368</v>
      </c>
      <c r="S179" s="119">
        <f t="shared" si="68"/>
        <v>1058646.071311909</v>
      </c>
      <c r="T179" s="119">
        <f t="shared" si="68"/>
        <v>1063402.9292668165</v>
      </c>
      <c r="U179" s="119">
        <f t="shared" si="68"/>
        <v>1068158.6601823326</v>
      </c>
      <c r="V179" s="119">
        <f t="shared" si="68"/>
        <v>-4017770.1430631094</v>
      </c>
      <c r="W179" s="119">
        <f t="shared" si="68"/>
        <v>990447.09036031319</v>
      </c>
      <c r="X179" s="119">
        <f t="shared" si="68"/>
        <v>951542.51136932103</v>
      </c>
      <c r="Y179" s="119">
        <f t="shared" si="68"/>
        <v>912007.69190355437</v>
      </c>
      <c r="Z179" s="119">
        <f t="shared" si="68"/>
        <v>871763.63595114322</v>
      </c>
      <c r="AA179" s="119">
        <f t="shared" si="68"/>
        <v>7214012.6803499218</v>
      </c>
      <c r="AB179" s="119">
        <f t="shared" si="68"/>
        <v>0</v>
      </c>
      <c r="AC179" s="119">
        <f t="shared" si="68"/>
        <v>0</v>
      </c>
      <c r="AD179" s="119">
        <f t="shared" si="68"/>
        <v>0</v>
      </c>
      <c r="AE179" s="119">
        <f t="shared" si="68"/>
        <v>0</v>
      </c>
      <c r="AF179" s="119">
        <f t="shared" si="68"/>
        <v>0</v>
      </c>
      <c r="AG179" s="119">
        <f t="shared" si="68"/>
        <v>0</v>
      </c>
      <c r="AH179" s="119">
        <f t="shared" si="68"/>
        <v>0</v>
      </c>
      <c r="AI179" s="119">
        <f t="shared" si="68"/>
        <v>0</v>
      </c>
      <c r="AJ179" s="119">
        <f t="shared" si="68"/>
        <v>0</v>
      </c>
      <c r="AK179" s="119">
        <f t="shared" si="68"/>
        <v>0</v>
      </c>
      <c r="AL179" s="119">
        <f t="shared" si="68"/>
        <v>0</v>
      </c>
      <c r="AM179" s="119">
        <f t="shared" si="68"/>
        <v>0</v>
      </c>
      <c r="AN179" s="119">
        <f t="shared" si="68"/>
        <v>0</v>
      </c>
      <c r="AO179" s="119">
        <f t="shared" si="68"/>
        <v>0</v>
      </c>
      <c r="AP179" s="119">
        <f t="shared" si="68"/>
        <v>0</v>
      </c>
    </row>
    <row r="180" spans="1:42" x14ac:dyDescent="0.4">
      <c r="A180" s="86" t="s">
        <v>437</v>
      </c>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c r="AA180" s="119"/>
      <c r="AB180" s="119"/>
      <c r="AC180" s="119"/>
      <c r="AD180" s="119"/>
      <c r="AE180" s="119"/>
      <c r="AF180" s="119"/>
      <c r="AG180" s="119"/>
      <c r="AH180" s="119"/>
      <c r="AI180" s="119"/>
      <c r="AJ180" s="119"/>
      <c r="AK180" s="119"/>
      <c r="AL180" s="119"/>
      <c r="AM180" s="119"/>
      <c r="AN180" s="119"/>
      <c r="AO180" s="119"/>
      <c r="AP180" s="119"/>
    </row>
    <row r="181" spans="1:42" x14ac:dyDescent="0.4">
      <c r="A181" s="21" t="str">
        <f>Inputs!B113</f>
        <v>Investment Based Incentive (IBI)</v>
      </c>
    </row>
    <row r="182" spans="1:42" x14ac:dyDescent="0.4">
      <c r="A182" s="87" t="str">
        <f>Inputs!B114</f>
        <v>As fixed amount</v>
      </c>
    </row>
    <row r="183" spans="1:42" x14ac:dyDescent="0.4">
      <c r="A183" s="78" t="s">
        <v>4</v>
      </c>
      <c r="C183" s="119">
        <f>IF(ibi_fed_amount_tax_sta="Yes",C568,0)</f>
        <v>0</v>
      </c>
    </row>
    <row r="184" spans="1:42" x14ac:dyDescent="0.4">
      <c r="A184" s="78" t="s">
        <v>5</v>
      </c>
      <c r="C184" s="119">
        <f>IF(ibi_sta_amount_tax_sta="Yes",C569,0)</f>
        <v>0</v>
      </c>
    </row>
    <row r="185" spans="1:42" x14ac:dyDescent="0.4">
      <c r="A185" s="78" t="s">
        <v>153</v>
      </c>
      <c r="C185" s="119">
        <f>IF(ibi_uti_amount_tax_sta="Yes",C570,0)</f>
        <v>0</v>
      </c>
    </row>
    <row r="186" spans="1:42" x14ac:dyDescent="0.4">
      <c r="A186" s="78" t="s">
        <v>154</v>
      </c>
      <c r="C186" s="120">
        <f>IF(ibi_oth_amount_tax_sta="Yes",C571,0)</f>
        <v>0</v>
      </c>
    </row>
    <row r="187" spans="1:42" x14ac:dyDescent="0.4">
      <c r="A187" s="78" t="s">
        <v>13</v>
      </c>
      <c r="C187" s="119">
        <f>SUM(C183:C186)</f>
        <v>0</v>
      </c>
    </row>
    <row r="188" spans="1:42" x14ac:dyDescent="0.4">
      <c r="A188" s="87" t="str">
        <f>Inputs!B119</f>
        <v>As percentage</v>
      </c>
      <c r="C188" s="14"/>
    </row>
    <row r="189" spans="1:42" x14ac:dyDescent="0.4">
      <c r="A189" s="78" t="s">
        <v>4</v>
      </c>
      <c r="C189" s="119">
        <f>IF(ibi_fed_percent_tax_sta="Yes",C574,0)</f>
        <v>0</v>
      </c>
    </row>
    <row r="190" spans="1:42" x14ac:dyDescent="0.4">
      <c r="A190" s="78" t="s">
        <v>5</v>
      </c>
      <c r="C190" s="119">
        <f>IF(ibi_sta_percent_tax_sta="Yes",C575,0)</f>
        <v>0</v>
      </c>
    </row>
    <row r="191" spans="1:42" x14ac:dyDescent="0.4">
      <c r="A191" s="78" t="s">
        <v>153</v>
      </c>
      <c r="C191" s="119">
        <f>IF(ibi_uti_percent_tax_sta="Yes",C576,0)</f>
        <v>0</v>
      </c>
    </row>
    <row r="192" spans="1:42" x14ac:dyDescent="0.4">
      <c r="A192" s="78" t="s">
        <v>154</v>
      </c>
      <c r="C192" s="120">
        <f>IF(ibi_oth_percent_tax_sta="Yes",C577,0)</f>
        <v>0</v>
      </c>
    </row>
    <row r="193" spans="1:42" x14ac:dyDescent="0.4">
      <c r="A193" s="78" t="s">
        <v>13</v>
      </c>
      <c r="C193" s="119">
        <f>SUM(C189:C192)</f>
        <v>0</v>
      </c>
    </row>
    <row r="194" spans="1:42" x14ac:dyDescent="0.4">
      <c r="A194" s="21" t="str">
        <f>Inputs!B124</f>
        <v>Capacity Based Incentive (CBI)</v>
      </c>
    </row>
    <row r="195" spans="1:42" x14ac:dyDescent="0.4">
      <c r="A195" s="87" t="s">
        <v>4</v>
      </c>
      <c r="C195" s="119">
        <f>IF(cbi_fed_tax_sta="Yes",C581,0)</f>
        <v>0</v>
      </c>
    </row>
    <row r="196" spans="1:42" x14ac:dyDescent="0.4">
      <c r="A196" s="87" t="s">
        <v>5</v>
      </c>
      <c r="C196" s="119">
        <f>IF(cbi_sta_tax_sta="Yes",C582,0)</f>
        <v>0</v>
      </c>
    </row>
    <row r="197" spans="1:42" x14ac:dyDescent="0.4">
      <c r="A197" s="87" t="s">
        <v>153</v>
      </c>
      <c r="C197" s="119">
        <f>IF(cbi_uti_tax_sta="Yes",C583,0)</f>
        <v>0</v>
      </c>
    </row>
    <row r="198" spans="1:42" x14ac:dyDescent="0.4">
      <c r="A198" s="87" t="s">
        <v>154</v>
      </c>
      <c r="C198" s="120">
        <f>IF(cbi_oth_tax_sta="Yes",C584,0)</f>
        <v>0</v>
      </c>
    </row>
    <row r="199" spans="1:42" x14ac:dyDescent="0.4">
      <c r="A199" s="87" t="s">
        <v>13</v>
      </c>
      <c r="C199" s="119">
        <f>SUM(C195:C198)</f>
        <v>0</v>
      </c>
    </row>
    <row r="200" spans="1:42" x14ac:dyDescent="0.4">
      <c r="A200" s="21" t="str">
        <f>Inputs!B129</f>
        <v>Production Based Incentive (PBI)</v>
      </c>
      <c r="C200" s="14"/>
    </row>
    <row r="201" spans="1:42" x14ac:dyDescent="0.4">
      <c r="A201" s="87" t="s">
        <v>4</v>
      </c>
      <c r="C201" s="119">
        <f t="shared" ref="C201:AP201" si="69">IF(AND(pbi_fed_tax_sta="Yes",pbi_fed_for_ds="No"),C591,0)</f>
        <v>0</v>
      </c>
      <c r="D201" s="119">
        <f t="shared" si="69"/>
        <v>0</v>
      </c>
      <c r="E201" s="119">
        <f t="shared" si="69"/>
        <v>0</v>
      </c>
      <c r="F201" s="119">
        <f t="shared" si="69"/>
        <v>0</v>
      </c>
      <c r="G201" s="119">
        <f t="shared" si="69"/>
        <v>0</v>
      </c>
      <c r="H201" s="119">
        <f t="shared" si="69"/>
        <v>0</v>
      </c>
      <c r="I201" s="119">
        <f t="shared" si="69"/>
        <v>0</v>
      </c>
      <c r="J201" s="119">
        <f t="shared" si="69"/>
        <v>0</v>
      </c>
      <c r="K201" s="119">
        <f t="shared" si="69"/>
        <v>0</v>
      </c>
      <c r="L201" s="119">
        <f t="shared" si="69"/>
        <v>0</v>
      </c>
      <c r="M201" s="119">
        <f t="shared" si="69"/>
        <v>0</v>
      </c>
      <c r="N201" s="119">
        <f t="shared" si="69"/>
        <v>0</v>
      </c>
      <c r="O201" s="119">
        <f t="shared" si="69"/>
        <v>0</v>
      </c>
      <c r="P201" s="119">
        <f t="shared" si="69"/>
        <v>0</v>
      </c>
      <c r="Q201" s="119">
        <f t="shared" si="69"/>
        <v>0</v>
      </c>
      <c r="R201" s="119">
        <f t="shared" si="69"/>
        <v>0</v>
      </c>
      <c r="S201" s="119">
        <f t="shared" si="69"/>
        <v>0</v>
      </c>
      <c r="T201" s="119">
        <f t="shared" si="69"/>
        <v>0</v>
      </c>
      <c r="U201" s="119">
        <f t="shared" si="69"/>
        <v>0</v>
      </c>
      <c r="V201" s="119">
        <f t="shared" si="69"/>
        <v>0</v>
      </c>
      <c r="W201" s="119">
        <f t="shared" si="69"/>
        <v>0</v>
      </c>
      <c r="X201" s="119">
        <f t="shared" si="69"/>
        <v>0</v>
      </c>
      <c r="Y201" s="119">
        <f t="shared" si="69"/>
        <v>0</v>
      </c>
      <c r="Z201" s="119">
        <f t="shared" si="69"/>
        <v>0</v>
      </c>
      <c r="AA201" s="119">
        <f t="shared" si="69"/>
        <v>0</v>
      </c>
      <c r="AB201" s="119">
        <f t="shared" si="69"/>
        <v>0</v>
      </c>
      <c r="AC201" s="119">
        <f t="shared" si="69"/>
        <v>0</v>
      </c>
      <c r="AD201" s="119">
        <f t="shared" si="69"/>
        <v>0</v>
      </c>
      <c r="AE201" s="119">
        <f t="shared" si="69"/>
        <v>0</v>
      </c>
      <c r="AF201" s="119">
        <f t="shared" si="69"/>
        <v>0</v>
      </c>
      <c r="AG201" s="119">
        <f t="shared" si="69"/>
        <v>0</v>
      </c>
      <c r="AH201" s="119">
        <f t="shared" si="69"/>
        <v>0</v>
      </c>
      <c r="AI201" s="119">
        <f t="shared" si="69"/>
        <v>0</v>
      </c>
      <c r="AJ201" s="119">
        <f t="shared" si="69"/>
        <v>0</v>
      </c>
      <c r="AK201" s="119">
        <f t="shared" si="69"/>
        <v>0</v>
      </c>
      <c r="AL201" s="119">
        <f t="shared" si="69"/>
        <v>0</v>
      </c>
      <c r="AM201" s="119">
        <f t="shared" si="69"/>
        <v>0</v>
      </c>
      <c r="AN201" s="119">
        <f t="shared" si="69"/>
        <v>0</v>
      </c>
      <c r="AO201" s="119">
        <f t="shared" si="69"/>
        <v>0</v>
      </c>
      <c r="AP201" s="119">
        <f t="shared" si="69"/>
        <v>0</v>
      </c>
    </row>
    <row r="202" spans="1:42" x14ac:dyDescent="0.4">
      <c r="A202" s="87" t="s">
        <v>5</v>
      </c>
      <c r="C202" s="119">
        <f t="shared" ref="C202:AP202" si="70">IF(AND(pbi_sta_tax_sta="Yes",pbi_sta_for_ds="No"),C595,0)</f>
        <v>0</v>
      </c>
      <c r="D202" s="119">
        <f t="shared" si="70"/>
        <v>0</v>
      </c>
      <c r="E202" s="119">
        <f t="shared" si="70"/>
        <v>0</v>
      </c>
      <c r="F202" s="119">
        <f t="shared" si="70"/>
        <v>0</v>
      </c>
      <c r="G202" s="119">
        <f t="shared" si="70"/>
        <v>0</v>
      </c>
      <c r="H202" s="119">
        <f t="shared" si="70"/>
        <v>0</v>
      </c>
      <c r="I202" s="119">
        <f t="shared" si="70"/>
        <v>0</v>
      </c>
      <c r="J202" s="119">
        <f t="shared" si="70"/>
        <v>0</v>
      </c>
      <c r="K202" s="119">
        <f t="shared" si="70"/>
        <v>0</v>
      </c>
      <c r="L202" s="119">
        <f t="shared" si="70"/>
        <v>0</v>
      </c>
      <c r="M202" s="119">
        <f t="shared" si="70"/>
        <v>0</v>
      </c>
      <c r="N202" s="119">
        <f t="shared" si="70"/>
        <v>0</v>
      </c>
      <c r="O202" s="119">
        <f t="shared" si="70"/>
        <v>0</v>
      </c>
      <c r="P202" s="119">
        <f t="shared" si="70"/>
        <v>0</v>
      </c>
      <c r="Q202" s="119">
        <f t="shared" si="70"/>
        <v>0</v>
      </c>
      <c r="R202" s="119">
        <f t="shared" si="70"/>
        <v>0</v>
      </c>
      <c r="S202" s="119">
        <f t="shared" si="70"/>
        <v>0</v>
      </c>
      <c r="T202" s="119">
        <f t="shared" si="70"/>
        <v>0</v>
      </c>
      <c r="U202" s="119">
        <f t="shared" si="70"/>
        <v>0</v>
      </c>
      <c r="V202" s="119">
        <f t="shared" si="70"/>
        <v>0</v>
      </c>
      <c r="W202" s="119">
        <f t="shared" si="70"/>
        <v>0</v>
      </c>
      <c r="X202" s="119">
        <f t="shared" si="70"/>
        <v>0</v>
      </c>
      <c r="Y202" s="119">
        <f t="shared" si="70"/>
        <v>0</v>
      </c>
      <c r="Z202" s="119">
        <f t="shared" si="70"/>
        <v>0</v>
      </c>
      <c r="AA202" s="119">
        <f t="shared" si="70"/>
        <v>0</v>
      </c>
      <c r="AB202" s="119">
        <f t="shared" si="70"/>
        <v>0</v>
      </c>
      <c r="AC202" s="119">
        <f t="shared" si="70"/>
        <v>0</v>
      </c>
      <c r="AD202" s="119">
        <f t="shared" si="70"/>
        <v>0</v>
      </c>
      <c r="AE202" s="119">
        <f t="shared" si="70"/>
        <v>0</v>
      </c>
      <c r="AF202" s="119">
        <f t="shared" si="70"/>
        <v>0</v>
      </c>
      <c r="AG202" s="119">
        <f t="shared" si="70"/>
        <v>0</v>
      </c>
      <c r="AH202" s="119">
        <f t="shared" si="70"/>
        <v>0</v>
      </c>
      <c r="AI202" s="119">
        <f t="shared" si="70"/>
        <v>0</v>
      </c>
      <c r="AJ202" s="119">
        <f t="shared" si="70"/>
        <v>0</v>
      </c>
      <c r="AK202" s="119">
        <f t="shared" si="70"/>
        <v>0</v>
      </c>
      <c r="AL202" s="119">
        <f t="shared" si="70"/>
        <v>0</v>
      </c>
      <c r="AM202" s="119">
        <f t="shared" si="70"/>
        <v>0</v>
      </c>
      <c r="AN202" s="119">
        <f t="shared" si="70"/>
        <v>0</v>
      </c>
      <c r="AO202" s="119">
        <f t="shared" si="70"/>
        <v>0</v>
      </c>
      <c r="AP202" s="119">
        <f t="shared" si="70"/>
        <v>0</v>
      </c>
    </row>
    <row r="203" spans="1:42" x14ac:dyDescent="0.4">
      <c r="A203" s="87" t="s">
        <v>153</v>
      </c>
      <c r="C203" s="119">
        <f t="shared" ref="C203:AP203" si="71">IF(AND(pbi_uti_tax_sta="Yes",pbi_uti_for_ds="No"),C599,0)</f>
        <v>0</v>
      </c>
      <c r="D203" s="119">
        <f t="shared" si="71"/>
        <v>0</v>
      </c>
      <c r="E203" s="119">
        <f t="shared" si="71"/>
        <v>0</v>
      </c>
      <c r="F203" s="119">
        <f t="shared" si="71"/>
        <v>0</v>
      </c>
      <c r="G203" s="119">
        <f t="shared" si="71"/>
        <v>0</v>
      </c>
      <c r="H203" s="119">
        <f t="shared" si="71"/>
        <v>0</v>
      </c>
      <c r="I203" s="119">
        <f t="shared" si="71"/>
        <v>0</v>
      </c>
      <c r="J203" s="119">
        <f t="shared" si="71"/>
        <v>0</v>
      </c>
      <c r="K203" s="119">
        <f t="shared" si="71"/>
        <v>0</v>
      </c>
      <c r="L203" s="119">
        <f t="shared" si="71"/>
        <v>0</v>
      </c>
      <c r="M203" s="119">
        <f t="shared" si="71"/>
        <v>0</v>
      </c>
      <c r="N203" s="119">
        <f t="shared" si="71"/>
        <v>0</v>
      </c>
      <c r="O203" s="119">
        <f t="shared" si="71"/>
        <v>0</v>
      </c>
      <c r="P203" s="119">
        <f t="shared" si="71"/>
        <v>0</v>
      </c>
      <c r="Q203" s="119">
        <f t="shared" si="71"/>
        <v>0</v>
      </c>
      <c r="R203" s="119">
        <f t="shared" si="71"/>
        <v>0</v>
      </c>
      <c r="S203" s="119">
        <f t="shared" si="71"/>
        <v>0</v>
      </c>
      <c r="T203" s="119">
        <f t="shared" si="71"/>
        <v>0</v>
      </c>
      <c r="U203" s="119">
        <f t="shared" si="71"/>
        <v>0</v>
      </c>
      <c r="V203" s="119">
        <f t="shared" si="71"/>
        <v>0</v>
      </c>
      <c r="W203" s="119">
        <f t="shared" si="71"/>
        <v>0</v>
      </c>
      <c r="X203" s="119">
        <f t="shared" si="71"/>
        <v>0</v>
      </c>
      <c r="Y203" s="119">
        <f t="shared" si="71"/>
        <v>0</v>
      </c>
      <c r="Z203" s="119">
        <f t="shared" si="71"/>
        <v>0</v>
      </c>
      <c r="AA203" s="119">
        <f t="shared" si="71"/>
        <v>0</v>
      </c>
      <c r="AB203" s="119">
        <f t="shared" si="71"/>
        <v>0</v>
      </c>
      <c r="AC203" s="119">
        <f t="shared" si="71"/>
        <v>0</v>
      </c>
      <c r="AD203" s="119">
        <f t="shared" si="71"/>
        <v>0</v>
      </c>
      <c r="AE203" s="119">
        <f t="shared" si="71"/>
        <v>0</v>
      </c>
      <c r="AF203" s="119">
        <f t="shared" si="71"/>
        <v>0</v>
      </c>
      <c r="AG203" s="119">
        <f t="shared" si="71"/>
        <v>0</v>
      </c>
      <c r="AH203" s="119">
        <f t="shared" si="71"/>
        <v>0</v>
      </c>
      <c r="AI203" s="119">
        <f t="shared" si="71"/>
        <v>0</v>
      </c>
      <c r="AJ203" s="119">
        <f t="shared" si="71"/>
        <v>0</v>
      </c>
      <c r="AK203" s="119">
        <f t="shared" si="71"/>
        <v>0</v>
      </c>
      <c r="AL203" s="119">
        <f t="shared" si="71"/>
        <v>0</v>
      </c>
      <c r="AM203" s="119">
        <f t="shared" si="71"/>
        <v>0</v>
      </c>
      <c r="AN203" s="119">
        <f t="shared" si="71"/>
        <v>0</v>
      </c>
      <c r="AO203" s="119">
        <f t="shared" si="71"/>
        <v>0</v>
      </c>
      <c r="AP203" s="119">
        <f t="shared" si="71"/>
        <v>0</v>
      </c>
    </row>
    <row r="204" spans="1:42" x14ac:dyDescent="0.4">
      <c r="A204" s="87" t="s">
        <v>154</v>
      </c>
      <c r="C204" s="120">
        <f t="shared" ref="C204:AP204" si="72">IF(AND(pbi_oth_tax_sta="Yes",pbi_oth_for_ds="No"),C603,0)</f>
        <v>0</v>
      </c>
      <c r="D204" s="120">
        <f t="shared" si="72"/>
        <v>0</v>
      </c>
      <c r="E204" s="120">
        <f t="shared" si="72"/>
        <v>0</v>
      </c>
      <c r="F204" s="120">
        <f t="shared" si="72"/>
        <v>0</v>
      </c>
      <c r="G204" s="120">
        <f t="shared" si="72"/>
        <v>0</v>
      </c>
      <c r="H204" s="120">
        <f t="shared" si="72"/>
        <v>0</v>
      </c>
      <c r="I204" s="120">
        <f t="shared" si="72"/>
        <v>0</v>
      </c>
      <c r="J204" s="120">
        <f t="shared" si="72"/>
        <v>0</v>
      </c>
      <c r="K204" s="120">
        <f t="shared" si="72"/>
        <v>0</v>
      </c>
      <c r="L204" s="120">
        <f t="shared" si="72"/>
        <v>0</v>
      </c>
      <c r="M204" s="120">
        <f t="shared" si="72"/>
        <v>0</v>
      </c>
      <c r="N204" s="120">
        <f t="shared" si="72"/>
        <v>0</v>
      </c>
      <c r="O204" s="120">
        <f t="shared" si="72"/>
        <v>0</v>
      </c>
      <c r="P204" s="120">
        <f t="shared" si="72"/>
        <v>0</v>
      </c>
      <c r="Q204" s="120">
        <f t="shared" si="72"/>
        <v>0</v>
      </c>
      <c r="R204" s="120">
        <f t="shared" si="72"/>
        <v>0</v>
      </c>
      <c r="S204" s="120">
        <f t="shared" si="72"/>
        <v>0</v>
      </c>
      <c r="T204" s="120">
        <f t="shared" si="72"/>
        <v>0</v>
      </c>
      <c r="U204" s="120">
        <f t="shared" si="72"/>
        <v>0</v>
      </c>
      <c r="V204" s="120">
        <f t="shared" si="72"/>
        <v>0</v>
      </c>
      <c r="W204" s="120">
        <f t="shared" si="72"/>
        <v>0</v>
      </c>
      <c r="X204" s="120">
        <f t="shared" si="72"/>
        <v>0</v>
      </c>
      <c r="Y204" s="120">
        <f t="shared" si="72"/>
        <v>0</v>
      </c>
      <c r="Z204" s="120">
        <f t="shared" si="72"/>
        <v>0</v>
      </c>
      <c r="AA204" s="120">
        <f t="shared" si="72"/>
        <v>0</v>
      </c>
      <c r="AB204" s="120">
        <f t="shared" si="72"/>
        <v>0</v>
      </c>
      <c r="AC204" s="120">
        <f t="shared" si="72"/>
        <v>0</v>
      </c>
      <c r="AD204" s="120">
        <f t="shared" si="72"/>
        <v>0</v>
      </c>
      <c r="AE204" s="120">
        <f t="shared" si="72"/>
        <v>0</v>
      </c>
      <c r="AF204" s="120">
        <f t="shared" si="72"/>
        <v>0</v>
      </c>
      <c r="AG204" s="120">
        <f t="shared" si="72"/>
        <v>0</v>
      </c>
      <c r="AH204" s="120">
        <f t="shared" si="72"/>
        <v>0</v>
      </c>
      <c r="AI204" s="120">
        <f t="shared" si="72"/>
        <v>0</v>
      </c>
      <c r="AJ204" s="120">
        <f t="shared" si="72"/>
        <v>0</v>
      </c>
      <c r="AK204" s="120">
        <f t="shared" si="72"/>
        <v>0</v>
      </c>
      <c r="AL204" s="120">
        <f t="shared" si="72"/>
        <v>0</v>
      </c>
      <c r="AM204" s="120">
        <f t="shared" si="72"/>
        <v>0</v>
      </c>
      <c r="AN204" s="120">
        <f t="shared" si="72"/>
        <v>0</v>
      </c>
      <c r="AO204" s="120">
        <f t="shared" si="72"/>
        <v>0</v>
      </c>
      <c r="AP204" s="120">
        <f t="shared" si="72"/>
        <v>0</v>
      </c>
    </row>
    <row r="205" spans="1:42" x14ac:dyDescent="0.4">
      <c r="A205" s="87" t="s">
        <v>13</v>
      </c>
      <c r="C205" s="145">
        <f>SUM(C201:C204)</f>
        <v>0</v>
      </c>
      <c r="D205" s="145">
        <f t="shared" ref="D205:AL205" si="73">SUM(D201:D204)</f>
        <v>0</v>
      </c>
      <c r="E205" s="145">
        <f t="shared" si="73"/>
        <v>0</v>
      </c>
      <c r="F205" s="145">
        <f t="shared" si="73"/>
        <v>0</v>
      </c>
      <c r="G205" s="145">
        <f t="shared" si="73"/>
        <v>0</v>
      </c>
      <c r="H205" s="145">
        <f t="shared" si="73"/>
        <v>0</v>
      </c>
      <c r="I205" s="145">
        <f t="shared" si="73"/>
        <v>0</v>
      </c>
      <c r="J205" s="145">
        <f t="shared" si="73"/>
        <v>0</v>
      </c>
      <c r="K205" s="145">
        <f t="shared" si="73"/>
        <v>0</v>
      </c>
      <c r="L205" s="145">
        <f t="shared" si="73"/>
        <v>0</v>
      </c>
      <c r="M205" s="145">
        <f t="shared" si="73"/>
        <v>0</v>
      </c>
      <c r="N205" s="145">
        <f t="shared" si="73"/>
        <v>0</v>
      </c>
      <c r="O205" s="145">
        <f t="shared" si="73"/>
        <v>0</v>
      </c>
      <c r="P205" s="145">
        <f t="shared" si="73"/>
        <v>0</v>
      </c>
      <c r="Q205" s="145">
        <f t="shared" si="73"/>
        <v>0</v>
      </c>
      <c r="R205" s="145">
        <f t="shared" si="73"/>
        <v>0</v>
      </c>
      <c r="S205" s="145">
        <f t="shared" si="73"/>
        <v>0</v>
      </c>
      <c r="T205" s="145">
        <f t="shared" si="73"/>
        <v>0</v>
      </c>
      <c r="U205" s="145">
        <f t="shared" si="73"/>
        <v>0</v>
      </c>
      <c r="V205" s="145">
        <f t="shared" si="73"/>
        <v>0</v>
      </c>
      <c r="W205" s="145">
        <f t="shared" si="73"/>
        <v>0</v>
      </c>
      <c r="X205" s="145">
        <f t="shared" si="73"/>
        <v>0</v>
      </c>
      <c r="Y205" s="145">
        <f t="shared" si="73"/>
        <v>0</v>
      </c>
      <c r="Z205" s="145">
        <f t="shared" si="73"/>
        <v>0</v>
      </c>
      <c r="AA205" s="145">
        <f t="shared" si="73"/>
        <v>0</v>
      </c>
      <c r="AB205" s="145">
        <f t="shared" si="73"/>
        <v>0</v>
      </c>
      <c r="AC205" s="145">
        <f t="shared" si="73"/>
        <v>0</v>
      </c>
      <c r="AD205" s="145">
        <f t="shared" si="73"/>
        <v>0</v>
      </c>
      <c r="AE205" s="145">
        <f t="shared" si="73"/>
        <v>0</v>
      </c>
      <c r="AF205" s="145">
        <f t="shared" si="73"/>
        <v>0</v>
      </c>
      <c r="AG205" s="145">
        <f t="shared" si="73"/>
        <v>0</v>
      </c>
      <c r="AH205" s="145">
        <f t="shared" si="73"/>
        <v>0</v>
      </c>
      <c r="AI205" s="145">
        <f t="shared" si="73"/>
        <v>0</v>
      </c>
      <c r="AJ205" s="145">
        <f t="shared" si="73"/>
        <v>0</v>
      </c>
      <c r="AK205" s="145">
        <f t="shared" si="73"/>
        <v>0</v>
      </c>
      <c r="AL205" s="145">
        <f t="shared" si="73"/>
        <v>0</v>
      </c>
      <c r="AM205" s="145">
        <f>SUM(AM201:AM204)</f>
        <v>0</v>
      </c>
      <c r="AN205" s="145">
        <f t="shared" ref="AN205:AP205" si="74">SUM(AN201:AN204)</f>
        <v>0</v>
      </c>
      <c r="AO205" s="145">
        <f t="shared" si="74"/>
        <v>0</v>
      </c>
      <c r="AP205" s="145">
        <f t="shared" si="74"/>
        <v>0</v>
      </c>
    </row>
    <row r="206" spans="1:42" x14ac:dyDescent="0.4">
      <c r="A206" s="86" t="s">
        <v>428</v>
      </c>
      <c r="C206" s="119">
        <f>C187+C193+C199+C205</f>
        <v>0</v>
      </c>
      <c r="D206" s="119">
        <f>D187+D193+D199+D205</f>
        <v>0</v>
      </c>
      <c r="E206" s="119">
        <f t="shared" ref="E206:AP206" si="75">E187+E193+E199+E205</f>
        <v>0</v>
      </c>
      <c r="F206" s="119">
        <f t="shared" si="75"/>
        <v>0</v>
      </c>
      <c r="G206" s="119">
        <f t="shared" si="75"/>
        <v>0</v>
      </c>
      <c r="H206" s="119">
        <f t="shared" si="75"/>
        <v>0</v>
      </c>
      <c r="I206" s="119">
        <f t="shared" si="75"/>
        <v>0</v>
      </c>
      <c r="J206" s="119">
        <f t="shared" si="75"/>
        <v>0</v>
      </c>
      <c r="K206" s="119">
        <f t="shared" si="75"/>
        <v>0</v>
      </c>
      <c r="L206" s="119">
        <f t="shared" si="75"/>
        <v>0</v>
      </c>
      <c r="M206" s="119">
        <f t="shared" si="75"/>
        <v>0</v>
      </c>
      <c r="N206" s="119">
        <f t="shared" si="75"/>
        <v>0</v>
      </c>
      <c r="O206" s="119">
        <f t="shared" si="75"/>
        <v>0</v>
      </c>
      <c r="P206" s="119">
        <f t="shared" si="75"/>
        <v>0</v>
      </c>
      <c r="Q206" s="119">
        <f t="shared" si="75"/>
        <v>0</v>
      </c>
      <c r="R206" s="119">
        <f t="shared" si="75"/>
        <v>0</v>
      </c>
      <c r="S206" s="119">
        <f t="shared" si="75"/>
        <v>0</v>
      </c>
      <c r="T206" s="119">
        <f t="shared" si="75"/>
        <v>0</v>
      </c>
      <c r="U206" s="119">
        <f t="shared" si="75"/>
        <v>0</v>
      </c>
      <c r="V206" s="119">
        <f t="shared" si="75"/>
        <v>0</v>
      </c>
      <c r="W206" s="119">
        <f t="shared" si="75"/>
        <v>0</v>
      </c>
      <c r="X206" s="119">
        <f t="shared" si="75"/>
        <v>0</v>
      </c>
      <c r="Y206" s="119">
        <f t="shared" si="75"/>
        <v>0</v>
      </c>
      <c r="Z206" s="119">
        <f t="shared" si="75"/>
        <v>0</v>
      </c>
      <c r="AA206" s="119">
        <f t="shared" si="75"/>
        <v>0</v>
      </c>
      <c r="AB206" s="119">
        <f t="shared" si="75"/>
        <v>0</v>
      </c>
      <c r="AC206" s="119">
        <f t="shared" si="75"/>
        <v>0</v>
      </c>
      <c r="AD206" s="119">
        <f t="shared" si="75"/>
        <v>0</v>
      </c>
      <c r="AE206" s="119">
        <f t="shared" si="75"/>
        <v>0</v>
      </c>
      <c r="AF206" s="119">
        <f t="shared" si="75"/>
        <v>0</v>
      </c>
      <c r="AG206" s="119">
        <f t="shared" si="75"/>
        <v>0</v>
      </c>
      <c r="AH206" s="119">
        <f t="shared" si="75"/>
        <v>0</v>
      </c>
      <c r="AI206" s="119">
        <f t="shared" si="75"/>
        <v>0</v>
      </c>
      <c r="AJ206" s="119">
        <f t="shared" si="75"/>
        <v>0</v>
      </c>
      <c r="AK206" s="119">
        <f t="shared" si="75"/>
        <v>0</v>
      </c>
      <c r="AL206" s="119">
        <f t="shared" si="75"/>
        <v>0</v>
      </c>
      <c r="AM206" s="119">
        <f t="shared" si="75"/>
        <v>0</v>
      </c>
      <c r="AN206" s="119">
        <f t="shared" si="75"/>
        <v>0</v>
      </c>
      <c r="AO206" s="119">
        <f t="shared" si="75"/>
        <v>0</v>
      </c>
      <c r="AP206" s="119">
        <f t="shared" si="75"/>
        <v>0</v>
      </c>
    </row>
    <row r="207" spans="1:42" x14ac:dyDescent="0.4">
      <c r="A207" s="87"/>
    </row>
    <row r="208" spans="1:42" x14ac:dyDescent="0.4">
      <c r="A208" s="86" t="s">
        <v>429</v>
      </c>
      <c r="C208" s="156">
        <f>C179+C206</f>
        <v>310019.0038750004</v>
      </c>
      <c r="D208" s="156">
        <f t="shared" ref="D208:AP208" si="76">D179+D206</f>
        <v>363295.75716575002</v>
      </c>
      <c r="E208" s="156">
        <f t="shared" si="76"/>
        <v>419891.61924355198</v>
      </c>
      <c r="F208" s="156">
        <f t="shared" si="76"/>
        <v>479299.00079481071</v>
      </c>
      <c r="G208" s="156">
        <f t="shared" si="76"/>
        <v>541520.84323030338</v>
      </c>
      <c r="H208" s="156">
        <f t="shared" si="76"/>
        <v>606633.76822733693</v>
      </c>
      <c r="I208" s="156">
        <f t="shared" si="76"/>
        <v>674838.11047203513</v>
      </c>
      <c r="J208" s="156">
        <f t="shared" si="76"/>
        <v>746303.28478764044</v>
      </c>
      <c r="K208" s="156">
        <f t="shared" si="76"/>
        <v>821166.75209822552</v>
      </c>
      <c r="L208" s="156">
        <f t="shared" si="76"/>
        <v>-3045482.2174345441</v>
      </c>
      <c r="M208" s="156">
        <f t="shared" si="76"/>
        <v>1030296.6493543857</v>
      </c>
      <c r="N208" s="156">
        <f t="shared" si="76"/>
        <v>1034934.786605282</v>
      </c>
      <c r="O208" s="156">
        <f t="shared" si="76"/>
        <v>1039633.8841044306</v>
      </c>
      <c r="P208" s="156">
        <f t="shared" si="76"/>
        <v>1044376.7968629944</v>
      </c>
      <c r="Q208" s="156">
        <f t="shared" si="76"/>
        <v>1049119.9316116394</v>
      </c>
      <c r="R208" s="156">
        <f t="shared" si="76"/>
        <v>1053885.1344403368</v>
      </c>
      <c r="S208" s="156">
        <f t="shared" si="76"/>
        <v>1058646.071311909</v>
      </c>
      <c r="T208" s="156">
        <f t="shared" si="76"/>
        <v>1063402.9292668165</v>
      </c>
      <c r="U208" s="156">
        <f t="shared" si="76"/>
        <v>1068158.6601823326</v>
      </c>
      <c r="V208" s="156">
        <f t="shared" si="76"/>
        <v>-4017770.1430631094</v>
      </c>
      <c r="W208" s="156">
        <f t="shared" si="76"/>
        <v>990447.09036031319</v>
      </c>
      <c r="X208" s="156">
        <f t="shared" si="76"/>
        <v>951542.51136932103</v>
      </c>
      <c r="Y208" s="156">
        <f t="shared" si="76"/>
        <v>912007.69190355437</v>
      </c>
      <c r="Z208" s="156">
        <f t="shared" si="76"/>
        <v>871763.63595114322</v>
      </c>
      <c r="AA208" s="156">
        <f t="shared" si="76"/>
        <v>7214012.6803499218</v>
      </c>
      <c r="AB208" s="156">
        <f t="shared" si="76"/>
        <v>0</v>
      </c>
      <c r="AC208" s="156">
        <f t="shared" si="76"/>
        <v>0</v>
      </c>
      <c r="AD208" s="156">
        <f t="shared" si="76"/>
        <v>0</v>
      </c>
      <c r="AE208" s="156">
        <f t="shared" si="76"/>
        <v>0</v>
      </c>
      <c r="AF208" s="156">
        <f t="shared" si="76"/>
        <v>0</v>
      </c>
      <c r="AG208" s="156">
        <f t="shared" si="76"/>
        <v>0</v>
      </c>
      <c r="AH208" s="156">
        <f t="shared" si="76"/>
        <v>0</v>
      </c>
      <c r="AI208" s="156">
        <f t="shared" si="76"/>
        <v>0</v>
      </c>
      <c r="AJ208" s="156">
        <f t="shared" si="76"/>
        <v>0</v>
      </c>
      <c r="AK208" s="156">
        <f t="shared" si="76"/>
        <v>0</v>
      </c>
      <c r="AL208" s="156">
        <f t="shared" si="76"/>
        <v>0</v>
      </c>
      <c r="AM208" s="156">
        <f t="shared" si="76"/>
        <v>0</v>
      </c>
      <c r="AN208" s="156">
        <f t="shared" si="76"/>
        <v>0</v>
      </c>
      <c r="AO208" s="156">
        <f t="shared" si="76"/>
        <v>0</v>
      </c>
      <c r="AP208" s="156">
        <f t="shared" si="76"/>
        <v>0</v>
      </c>
    </row>
    <row r="209" spans="1:42" x14ac:dyDescent="0.4">
      <c r="A209" s="86" t="s">
        <v>430</v>
      </c>
      <c r="B209" s="4">
        <f t="array" ref="B209:AP209">Inputs!C172:AQ172</f>
        <v>0</v>
      </c>
      <c r="C209" s="156">
        <v>0</v>
      </c>
      <c r="D209" s="156">
        <v>0</v>
      </c>
      <c r="E209" s="156">
        <v>0</v>
      </c>
      <c r="F209" s="156">
        <v>0</v>
      </c>
      <c r="G209" s="156">
        <v>11</v>
      </c>
      <c r="H209" s="156">
        <v>11</v>
      </c>
      <c r="I209" s="156">
        <v>22</v>
      </c>
      <c r="J209" s="156">
        <v>22</v>
      </c>
      <c r="K209" s="156">
        <v>22</v>
      </c>
      <c r="L209" s="156">
        <v>22</v>
      </c>
      <c r="M209" s="156">
        <v>22</v>
      </c>
      <c r="N209" s="156">
        <v>22</v>
      </c>
      <c r="O209" s="156">
        <v>22</v>
      </c>
      <c r="P209" s="156">
        <v>22</v>
      </c>
      <c r="Q209" s="156">
        <v>22</v>
      </c>
      <c r="R209" s="156">
        <v>22</v>
      </c>
      <c r="S209" s="156">
        <v>22</v>
      </c>
      <c r="T209" s="156">
        <v>22</v>
      </c>
      <c r="U209" s="156">
        <v>22</v>
      </c>
      <c r="V209" s="156">
        <v>22</v>
      </c>
      <c r="W209" s="156">
        <v>22</v>
      </c>
      <c r="X209" s="156">
        <v>22</v>
      </c>
      <c r="Y209" s="156">
        <v>22</v>
      </c>
      <c r="Z209" s="156">
        <v>22</v>
      </c>
      <c r="AA209" s="156">
        <v>0</v>
      </c>
      <c r="AB209" s="156">
        <v>0</v>
      </c>
      <c r="AC209" s="156">
        <v>0</v>
      </c>
      <c r="AD209" s="156">
        <v>0</v>
      </c>
      <c r="AE209" s="156">
        <v>0</v>
      </c>
      <c r="AF209" s="156">
        <v>0</v>
      </c>
      <c r="AG209" s="156">
        <v>0</v>
      </c>
      <c r="AH209" s="156">
        <v>0</v>
      </c>
      <c r="AI209" s="156">
        <v>0</v>
      </c>
      <c r="AJ209" s="156">
        <v>0</v>
      </c>
      <c r="AK209" s="156">
        <v>0</v>
      </c>
      <c r="AL209" s="156">
        <v>0</v>
      </c>
      <c r="AM209" s="156">
        <v>0</v>
      </c>
      <c r="AN209" s="156">
        <v>0</v>
      </c>
      <c r="AO209" s="156">
        <v>0</v>
      </c>
      <c r="AP209" s="156">
        <v>0</v>
      </c>
    </row>
    <row r="210" spans="1:42" x14ac:dyDescent="0.4">
      <c r="A210" s="17" t="s">
        <v>431</v>
      </c>
      <c r="C210" s="159">
        <f>C208*-C209/100</f>
        <v>0</v>
      </c>
      <c r="D210" s="159">
        <f t="shared" ref="D210:AP210" si="77">D208*-D209/100</f>
        <v>0</v>
      </c>
      <c r="E210" s="159">
        <f t="shared" si="77"/>
        <v>0</v>
      </c>
      <c r="F210" s="159">
        <f t="shared" si="77"/>
        <v>0</v>
      </c>
      <c r="G210" s="159">
        <f t="shared" si="77"/>
        <v>-59567.292755333372</v>
      </c>
      <c r="H210" s="159">
        <f t="shared" si="77"/>
        <v>-66729.714505007069</v>
      </c>
      <c r="I210" s="159">
        <f t="shared" si="77"/>
        <v>-148464.38430384774</v>
      </c>
      <c r="J210" s="159">
        <f t="shared" si="77"/>
        <v>-164186.72265328091</v>
      </c>
      <c r="K210" s="159">
        <f t="shared" si="77"/>
        <v>-180656.68546160962</v>
      </c>
      <c r="L210" s="159">
        <f t="shared" si="77"/>
        <v>670006.08783559967</v>
      </c>
      <c r="M210" s="159">
        <f t="shared" si="77"/>
        <v>-226665.26285796484</v>
      </c>
      <c r="N210" s="159">
        <f t="shared" si="77"/>
        <v>-227685.65305316204</v>
      </c>
      <c r="O210" s="159">
        <f t="shared" si="77"/>
        <v>-228719.45450297472</v>
      </c>
      <c r="P210" s="159">
        <f t="shared" si="77"/>
        <v>-229762.89530985878</v>
      </c>
      <c r="Q210" s="159">
        <f t="shared" si="77"/>
        <v>-230806.38495456069</v>
      </c>
      <c r="R210" s="159">
        <f t="shared" si="77"/>
        <v>-231854.72957687412</v>
      </c>
      <c r="S210" s="159">
        <f t="shared" si="77"/>
        <v>-232902.13568861998</v>
      </c>
      <c r="T210" s="159">
        <f t="shared" si="77"/>
        <v>-233948.64443869964</v>
      </c>
      <c r="U210" s="159">
        <f t="shared" si="77"/>
        <v>-234994.90524011318</v>
      </c>
      <c r="V210" s="159">
        <f t="shared" si="77"/>
        <v>883909.43147388403</v>
      </c>
      <c r="W210" s="159">
        <f t="shared" si="77"/>
        <v>-217898.35987926889</v>
      </c>
      <c r="X210" s="159">
        <f t="shared" si="77"/>
        <v>-209339.35250125063</v>
      </c>
      <c r="Y210" s="159">
        <f t="shared" si="77"/>
        <v>-200641.69221878197</v>
      </c>
      <c r="Z210" s="159">
        <f t="shared" si="77"/>
        <v>-191787.99990925152</v>
      </c>
      <c r="AA210" s="159">
        <f t="shared" si="77"/>
        <v>0</v>
      </c>
      <c r="AB210" s="159">
        <f t="shared" si="77"/>
        <v>0</v>
      </c>
      <c r="AC210" s="159">
        <f t="shared" si="77"/>
        <v>0</v>
      </c>
      <c r="AD210" s="159">
        <f t="shared" si="77"/>
        <v>0</v>
      </c>
      <c r="AE210" s="159">
        <f t="shared" si="77"/>
        <v>0</v>
      </c>
      <c r="AF210" s="159">
        <f t="shared" si="77"/>
        <v>0</v>
      </c>
      <c r="AG210" s="159">
        <f t="shared" si="77"/>
        <v>0</v>
      </c>
      <c r="AH210" s="159">
        <f t="shared" si="77"/>
        <v>0</v>
      </c>
      <c r="AI210" s="159">
        <f t="shared" si="77"/>
        <v>0</v>
      </c>
      <c r="AJ210" s="159">
        <f t="shared" si="77"/>
        <v>0</v>
      </c>
      <c r="AK210" s="159">
        <f t="shared" si="77"/>
        <v>0</v>
      </c>
      <c r="AL210" s="159">
        <f t="shared" si="77"/>
        <v>0</v>
      </c>
      <c r="AM210" s="159">
        <f t="shared" si="77"/>
        <v>0</v>
      </c>
      <c r="AN210" s="159">
        <f t="shared" si="77"/>
        <v>0</v>
      </c>
      <c r="AO210" s="159">
        <f t="shared" si="77"/>
        <v>0</v>
      </c>
      <c r="AP210" s="159">
        <f t="shared" si="77"/>
        <v>0</v>
      </c>
    </row>
    <row r="212" spans="1:42" x14ac:dyDescent="0.4">
      <c r="A212" s="19" t="s">
        <v>30</v>
      </c>
    </row>
    <row r="213" spans="1:42" x14ac:dyDescent="0.4">
      <c r="A213" s="86" t="s">
        <v>29</v>
      </c>
      <c r="C213" s="156">
        <f>C$73</f>
        <v>3914452.99</v>
      </c>
      <c r="D213" s="156">
        <f t="shared" ref="D213:AP213" si="78">D$73</f>
        <v>3874825.6625000001</v>
      </c>
      <c r="E213" s="156">
        <f t="shared" si="78"/>
        <v>3835443.7328125001</v>
      </c>
      <c r="F213" s="156">
        <f t="shared" si="78"/>
        <v>3795636.1943828124</v>
      </c>
      <c r="G213" s="156">
        <f t="shared" si="78"/>
        <v>3755261.010492383</v>
      </c>
      <c r="H213" s="156">
        <f t="shared" si="78"/>
        <v>3714248.2085046927</v>
      </c>
      <c r="I213" s="156">
        <f t="shared" si="78"/>
        <v>3672646.9739673096</v>
      </c>
      <c r="J213" s="156">
        <f t="shared" si="78"/>
        <v>3630466.0645664926</v>
      </c>
      <c r="K213" s="156">
        <f t="shared" si="78"/>
        <v>3587673.9039306547</v>
      </c>
      <c r="L213" s="156">
        <f t="shared" si="78"/>
        <v>-400816.47472107783</v>
      </c>
      <c r="M213" s="156">
        <f t="shared" si="78"/>
        <v>1347377.7949108945</v>
      </c>
      <c r="N213" s="156">
        <f t="shared" si="78"/>
        <v>1314437.2955336669</v>
      </c>
      <c r="O213" s="156">
        <f t="shared" si="78"/>
        <v>1280985.1394220088</v>
      </c>
      <c r="P213" s="156">
        <f t="shared" si="78"/>
        <v>1246995.8414075589</v>
      </c>
      <c r="Q213" s="156">
        <f t="shared" si="78"/>
        <v>1212418.0616927478</v>
      </c>
      <c r="R213" s="156">
        <f t="shared" si="78"/>
        <v>1177267.5484850663</v>
      </c>
      <c r="S213" s="156">
        <f t="shared" si="78"/>
        <v>1141510.9404471933</v>
      </c>
      <c r="T213" s="156">
        <f t="shared" si="78"/>
        <v>1105142.3689583731</v>
      </c>
      <c r="U213" s="156">
        <f t="shared" si="78"/>
        <v>1068158.6601823326</v>
      </c>
      <c r="V213" s="156">
        <f t="shared" si="78"/>
        <v>-4017770.1430631094</v>
      </c>
      <c r="W213" s="156">
        <f t="shared" si="78"/>
        <v>990447.09036031319</v>
      </c>
      <c r="X213" s="156">
        <f t="shared" si="78"/>
        <v>951542.51136932103</v>
      </c>
      <c r="Y213" s="156">
        <f t="shared" si="78"/>
        <v>912007.69190355437</v>
      </c>
      <c r="Z213" s="156">
        <f t="shared" si="78"/>
        <v>871763.63595114322</v>
      </c>
      <c r="AA213" s="156">
        <f t="shared" si="78"/>
        <v>7214012.6803499218</v>
      </c>
      <c r="AB213" s="156">
        <f t="shared" si="78"/>
        <v>0</v>
      </c>
      <c r="AC213" s="156">
        <f t="shared" si="78"/>
        <v>0</v>
      </c>
      <c r="AD213" s="156">
        <f t="shared" si="78"/>
        <v>0</v>
      </c>
      <c r="AE213" s="156">
        <f t="shared" si="78"/>
        <v>0</v>
      </c>
      <c r="AF213" s="156">
        <f t="shared" si="78"/>
        <v>0</v>
      </c>
      <c r="AG213" s="156">
        <f t="shared" si="78"/>
        <v>0</v>
      </c>
      <c r="AH213" s="156">
        <f t="shared" si="78"/>
        <v>0</v>
      </c>
      <c r="AI213" s="156">
        <f t="shared" si="78"/>
        <v>0</v>
      </c>
      <c r="AJ213" s="156">
        <f t="shared" si="78"/>
        <v>0</v>
      </c>
      <c r="AK213" s="156">
        <f t="shared" si="78"/>
        <v>0</v>
      </c>
      <c r="AL213" s="156">
        <f t="shared" si="78"/>
        <v>0</v>
      </c>
      <c r="AM213" s="156">
        <f t="shared" si="78"/>
        <v>0</v>
      </c>
      <c r="AN213" s="156">
        <f t="shared" si="78"/>
        <v>0</v>
      </c>
      <c r="AO213" s="156">
        <f t="shared" si="78"/>
        <v>0</v>
      </c>
      <c r="AP213" s="156">
        <f t="shared" si="78"/>
        <v>0</v>
      </c>
    </row>
    <row r="214" spans="1:42" x14ac:dyDescent="0.4">
      <c r="A214" s="86" t="s">
        <v>425</v>
      </c>
      <c r="C214" s="156">
        <f t="shared" ref="C214:AP214" si="79">C751</f>
        <v>0</v>
      </c>
      <c r="D214" s="156">
        <f t="shared" si="79"/>
        <v>0</v>
      </c>
      <c r="E214" s="156">
        <f t="shared" si="79"/>
        <v>0</v>
      </c>
      <c r="F214" s="156">
        <f t="shared" si="79"/>
        <v>0</v>
      </c>
      <c r="G214" s="156">
        <f t="shared" si="79"/>
        <v>0</v>
      </c>
      <c r="H214" s="156">
        <f t="shared" si="79"/>
        <v>0</v>
      </c>
      <c r="I214" s="156">
        <f t="shared" si="79"/>
        <v>0</v>
      </c>
      <c r="J214" s="156">
        <f t="shared" si="79"/>
        <v>0</v>
      </c>
      <c r="K214" s="156">
        <f t="shared" si="79"/>
        <v>0</v>
      </c>
      <c r="L214" s="156">
        <f t="shared" si="79"/>
        <v>0</v>
      </c>
      <c r="M214" s="156">
        <f t="shared" si="79"/>
        <v>0</v>
      </c>
      <c r="N214" s="156">
        <f t="shared" si="79"/>
        <v>0</v>
      </c>
      <c r="O214" s="156">
        <f t="shared" si="79"/>
        <v>0</v>
      </c>
      <c r="P214" s="156">
        <f t="shared" si="79"/>
        <v>0</v>
      </c>
      <c r="Q214" s="156">
        <f t="shared" si="79"/>
        <v>0</v>
      </c>
      <c r="R214" s="156">
        <f t="shared" si="79"/>
        <v>0</v>
      </c>
      <c r="S214" s="156">
        <f t="shared" si="79"/>
        <v>0</v>
      </c>
      <c r="T214" s="156">
        <f t="shared" si="79"/>
        <v>0</v>
      </c>
      <c r="U214" s="156">
        <f t="shared" si="79"/>
        <v>0</v>
      </c>
      <c r="V214" s="156">
        <f t="shared" si="79"/>
        <v>0</v>
      </c>
      <c r="W214" s="156">
        <f t="shared" si="79"/>
        <v>0</v>
      </c>
      <c r="X214" s="156">
        <f t="shared" si="79"/>
        <v>0</v>
      </c>
      <c r="Y214" s="156">
        <f t="shared" si="79"/>
        <v>0</v>
      </c>
      <c r="Z214" s="156">
        <f t="shared" si="79"/>
        <v>0</v>
      </c>
      <c r="AA214" s="156">
        <f t="shared" si="79"/>
        <v>0</v>
      </c>
      <c r="AB214" s="156">
        <f t="shared" si="79"/>
        <v>0</v>
      </c>
      <c r="AC214" s="156">
        <f t="shared" si="79"/>
        <v>0</v>
      </c>
      <c r="AD214" s="156">
        <f t="shared" si="79"/>
        <v>0</v>
      </c>
      <c r="AE214" s="156">
        <f t="shared" si="79"/>
        <v>0</v>
      </c>
      <c r="AF214" s="156">
        <f t="shared" si="79"/>
        <v>0</v>
      </c>
      <c r="AG214" s="156">
        <f t="shared" si="79"/>
        <v>0</v>
      </c>
      <c r="AH214" s="156">
        <f t="shared" si="79"/>
        <v>0</v>
      </c>
      <c r="AI214" s="156">
        <f t="shared" si="79"/>
        <v>0</v>
      </c>
      <c r="AJ214" s="156">
        <f t="shared" si="79"/>
        <v>0</v>
      </c>
      <c r="AK214" s="156">
        <f t="shared" si="79"/>
        <v>0</v>
      </c>
      <c r="AL214" s="156">
        <f t="shared" si="79"/>
        <v>0</v>
      </c>
      <c r="AM214" s="156">
        <f t="shared" si="79"/>
        <v>0</v>
      </c>
      <c r="AN214" s="156">
        <f t="shared" si="79"/>
        <v>0</v>
      </c>
      <c r="AO214" s="156">
        <f t="shared" si="79"/>
        <v>0</v>
      </c>
      <c r="AP214" s="156">
        <f t="shared" si="79"/>
        <v>0</v>
      </c>
    </row>
    <row r="215" spans="1:42" x14ac:dyDescent="0.4">
      <c r="A215" s="86" t="s">
        <v>426</v>
      </c>
      <c r="C215" s="156">
        <f t="shared" ref="C215:AP215" si="80">-C610</f>
        <v>-1246612.096875</v>
      </c>
      <c r="D215" s="156">
        <f t="shared" si="80"/>
        <v>-1153708.0160842501</v>
      </c>
      <c r="E215" s="156">
        <f t="shared" si="80"/>
        <v>-1057730.2243189483</v>
      </c>
      <c r="F215" s="156">
        <f t="shared" si="80"/>
        <v>-958515.30433800165</v>
      </c>
      <c r="G215" s="156">
        <f t="shared" si="80"/>
        <v>-855918.27801207989</v>
      </c>
      <c r="H215" s="156">
        <f t="shared" si="80"/>
        <v>-749792.5510273556</v>
      </c>
      <c r="I215" s="156">
        <f t="shared" si="80"/>
        <v>-639986.97424527432</v>
      </c>
      <c r="J215" s="156">
        <f t="shared" si="80"/>
        <v>-526340.89052885212</v>
      </c>
      <c r="K215" s="156">
        <f t="shared" si="80"/>
        <v>-408685.26258242904</v>
      </c>
      <c r="L215" s="156">
        <f t="shared" si="80"/>
        <v>-286843.8534634661</v>
      </c>
      <c r="M215" s="156">
        <f t="shared" si="80"/>
        <v>-317081.1455565088</v>
      </c>
      <c r="N215" s="156">
        <f t="shared" si="80"/>
        <v>-279502.50892838481</v>
      </c>
      <c r="O215" s="156">
        <f t="shared" si="80"/>
        <v>-241351.25531757824</v>
      </c>
      <c r="P215" s="156">
        <f t="shared" si="80"/>
        <v>-202619.04454456441</v>
      </c>
      <c r="Q215" s="156">
        <f t="shared" si="80"/>
        <v>-163298.13008110819</v>
      </c>
      <c r="R215" s="156">
        <f t="shared" si="80"/>
        <v>-123382.41404472952</v>
      </c>
      <c r="S215" s="156">
        <f t="shared" si="80"/>
        <v>-82864.869135284287</v>
      </c>
      <c r="T215" s="156">
        <f t="shared" si="80"/>
        <v>-41739.439691556618</v>
      </c>
      <c r="U215" s="156">
        <f t="shared" si="80"/>
        <v>0</v>
      </c>
      <c r="V215" s="156">
        <f t="shared" si="80"/>
        <v>0</v>
      </c>
      <c r="W215" s="156">
        <f t="shared" si="80"/>
        <v>0</v>
      </c>
      <c r="X215" s="156">
        <f t="shared" si="80"/>
        <v>0</v>
      </c>
      <c r="Y215" s="156">
        <f t="shared" si="80"/>
        <v>0</v>
      </c>
      <c r="Z215" s="156">
        <f t="shared" si="80"/>
        <v>0</v>
      </c>
      <c r="AA215" s="156">
        <f t="shared" si="80"/>
        <v>0</v>
      </c>
      <c r="AB215" s="156">
        <f t="shared" si="80"/>
        <v>0</v>
      </c>
      <c r="AC215" s="156">
        <f t="shared" si="80"/>
        <v>0</v>
      </c>
      <c r="AD215" s="156">
        <f t="shared" si="80"/>
        <v>0</v>
      </c>
      <c r="AE215" s="156">
        <f t="shared" si="80"/>
        <v>0</v>
      </c>
      <c r="AF215" s="156">
        <f t="shared" si="80"/>
        <v>0</v>
      </c>
      <c r="AG215" s="156">
        <f t="shared" si="80"/>
        <v>0</v>
      </c>
      <c r="AH215" s="156">
        <f t="shared" si="80"/>
        <v>0</v>
      </c>
      <c r="AI215" s="156">
        <f t="shared" si="80"/>
        <v>0</v>
      </c>
      <c r="AJ215" s="156">
        <f t="shared" si="80"/>
        <v>0</v>
      </c>
      <c r="AK215" s="156">
        <f t="shared" si="80"/>
        <v>0</v>
      </c>
      <c r="AL215" s="156">
        <f t="shared" si="80"/>
        <v>0</v>
      </c>
      <c r="AM215" s="156">
        <f t="shared" si="80"/>
        <v>0</v>
      </c>
      <c r="AN215" s="156">
        <f t="shared" si="80"/>
        <v>0</v>
      </c>
      <c r="AO215" s="156">
        <f t="shared" si="80"/>
        <v>0</v>
      </c>
      <c r="AP215" s="156">
        <f t="shared" si="80"/>
        <v>0</v>
      </c>
    </row>
    <row r="216" spans="1:42" x14ac:dyDescent="0.4">
      <c r="A216" s="86" t="s">
        <v>427</v>
      </c>
      <c r="C216" s="156">
        <f t="shared" ref="C216:AP216" si="81">IF(C$2&lt;=analysis_period,-C453-C484-C510-C536,0)</f>
        <v>-2773908.1050000004</v>
      </c>
      <c r="D216" s="156">
        <f t="shared" si="81"/>
        <v>-2773908.1050000004</v>
      </c>
      <c r="E216" s="156">
        <f t="shared" si="81"/>
        <v>-2773908.1050000004</v>
      </c>
      <c r="F216" s="156">
        <f t="shared" si="81"/>
        <v>-2773908.1050000004</v>
      </c>
      <c r="G216" s="156">
        <f t="shared" si="81"/>
        <v>-2773908.1050000004</v>
      </c>
      <c r="H216" s="156">
        <f t="shared" si="81"/>
        <v>-2773908.1050000004</v>
      </c>
      <c r="I216" s="156">
        <f t="shared" si="81"/>
        <v>-2773908.1050000004</v>
      </c>
      <c r="J216" s="156">
        <f t="shared" si="81"/>
        <v>-2773908.1050000004</v>
      </c>
      <c r="K216" s="156">
        <f t="shared" si="81"/>
        <v>-2773908.1050000004</v>
      </c>
      <c r="L216" s="156">
        <f t="shared" si="81"/>
        <v>-2773908.1050000004</v>
      </c>
      <c r="M216" s="156">
        <f t="shared" si="81"/>
        <v>0</v>
      </c>
      <c r="N216" s="156">
        <f t="shared" si="81"/>
        <v>0</v>
      </c>
      <c r="O216" s="156">
        <f t="shared" si="81"/>
        <v>0</v>
      </c>
      <c r="P216" s="156">
        <f t="shared" si="81"/>
        <v>0</v>
      </c>
      <c r="Q216" s="156">
        <f t="shared" si="81"/>
        <v>0</v>
      </c>
      <c r="R216" s="156">
        <f t="shared" si="81"/>
        <v>0</v>
      </c>
      <c r="S216" s="156">
        <f t="shared" si="81"/>
        <v>0</v>
      </c>
      <c r="T216" s="156">
        <f t="shared" si="81"/>
        <v>0</v>
      </c>
      <c r="U216" s="156">
        <f t="shared" si="81"/>
        <v>0</v>
      </c>
      <c r="V216" s="156">
        <f t="shared" si="81"/>
        <v>0</v>
      </c>
      <c r="W216" s="156">
        <f t="shared" si="81"/>
        <v>0</v>
      </c>
      <c r="X216" s="156">
        <f t="shared" si="81"/>
        <v>0</v>
      </c>
      <c r="Y216" s="156">
        <f t="shared" si="81"/>
        <v>0</v>
      </c>
      <c r="Z216" s="156">
        <f t="shared" si="81"/>
        <v>0</v>
      </c>
      <c r="AA216" s="156">
        <f t="shared" si="81"/>
        <v>0</v>
      </c>
      <c r="AB216" s="156">
        <f t="shared" si="81"/>
        <v>0</v>
      </c>
      <c r="AC216" s="156">
        <f t="shared" si="81"/>
        <v>0</v>
      </c>
      <c r="AD216" s="156">
        <f t="shared" si="81"/>
        <v>0</v>
      </c>
      <c r="AE216" s="156">
        <f t="shared" si="81"/>
        <v>0</v>
      </c>
      <c r="AF216" s="156">
        <f t="shared" si="81"/>
        <v>0</v>
      </c>
      <c r="AG216" s="156">
        <f t="shared" si="81"/>
        <v>0</v>
      </c>
      <c r="AH216" s="156">
        <f t="shared" si="81"/>
        <v>0</v>
      </c>
      <c r="AI216" s="156">
        <f t="shared" si="81"/>
        <v>0</v>
      </c>
      <c r="AJ216" s="156">
        <f t="shared" si="81"/>
        <v>0</v>
      </c>
      <c r="AK216" s="156">
        <f t="shared" si="81"/>
        <v>0</v>
      </c>
      <c r="AL216" s="156">
        <f t="shared" si="81"/>
        <v>0</v>
      </c>
      <c r="AM216" s="156">
        <f t="shared" si="81"/>
        <v>0</v>
      </c>
      <c r="AN216" s="156">
        <f t="shared" si="81"/>
        <v>0</v>
      </c>
      <c r="AO216" s="156">
        <f t="shared" si="81"/>
        <v>0</v>
      </c>
      <c r="AP216" s="156">
        <f t="shared" si="81"/>
        <v>0</v>
      </c>
    </row>
    <row r="217" spans="1:42" x14ac:dyDescent="0.4">
      <c r="A217" s="86" t="s">
        <v>432</v>
      </c>
      <c r="C217" s="156">
        <f>C210</f>
        <v>0</v>
      </c>
      <c r="D217" s="156">
        <f t="shared" ref="D217:AP217" si="82">D210</f>
        <v>0</v>
      </c>
      <c r="E217" s="156">
        <f t="shared" si="82"/>
        <v>0</v>
      </c>
      <c r="F217" s="156">
        <f t="shared" si="82"/>
        <v>0</v>
      </c>
      <c r="G217" s="156">
        <f t="shared" si="82"/>
        <v>-59567.292755333372</v>
      </c>
      <c r="H217" s="156">
        <f t="shared" si="82"/>
        <v>-66729.714505007069</v>
      </c>
      <c r="I217" s="156">
        <f t="shared" si="82"/>
        <v>-148464.38430384774</v>
      </c>
      <c r="J217" s="156">
        <f t="shared" si="82"/>
        <v>-164186.72265328091</v>
      </c>
      <c r="K217" s="156">
        <f t="shared" si="82"/>
        <v>-180656.68546160962</v>
      </c>
      <c r="L217" s="156">
        <f t="shared" si="82"/>
        <v>670006.08783559967</v>
      </c>
      <c r="M217" s="156">
        <f t="shared" si="82"/>
        <v>-226665.26285796484</v>
      </c>
      <c r="N217" s="156">
        <f t="shared" si="82"/>
        <v>-227685.65305316204</v>
      </c>
      <c r="O217" s="156">
        <f t="shared" si="82"/>
        <v>-228719.45450297472</v>
      </c>
      <c r="P217" s="156">
        <f t="shared" si="82"/>
        <v>-229762.89530985878</v>
      </c>
      <c r="Q217" s="156">
        <f t="shared" si="82"/>
        <v>-230806.38495456069</v>
      </c>
      <c r="R217" s="156">
        <f t="shared" si="82"/>
        <v>-231854.72957687412</v>
      </c>
      <c r="S217" s="156">
        <f t="shared" si="82"/>
        <v>-232902.13568861998</v>
      </c>
      <c r="T217" s="156">
        <f t="shared" si="82"/>
        <v>-233948.64443869964</v>
      </c>
      <c r="U217" s="156">
        <f t="shared" si="82"/>
        <v>-234994.90524011318</v>
      </c>
      <c r="V217" s="156">
        <f t="shared" si="82"/>
        <v>883909.43147388403</v>
      </c>
      <c r="W217" s="156">
        <f t="shared" si="82"/>
        <v>-217898.35987926889</v>
      </c>
      <c r="X217" s="156">
        <f t="shared" si="82"/>
        <v>-209339.35250125063</v>
      </c>
      <c r="Y217" s="156">
        <f t="shared" si="82"/>
        <v>-200641.69221878197</v>
      </c>
      <c r="Z217" s="156">
        <f t="shared" si="82"/>
        <v>-191787.99990925152</v>
      </c>
      <c r="AA217" s="156">
        <f t="shared" si="82"/>
        <v>0</v>
      </c>
      <c r="AB217" s="156">
        <f t="shared" si="82"/>
        <v>0</v>
      </c>
      <c r="AC217" s="156">
        <f t="shared" si="82"/>
        <v>0</v>
      </c>
      <c r="AD217" s="156">
        <f t="shared" si="82"/>
        <v>0</v>
      </c>
      <c r="AE217" s="156">
        <f t="shared" si="82"/>
        <v>0</v>
      </c>
      <c r="AF217" s="156">
        <f t="shared" si="82"/>
        <v>0</v>
      </c>
      <c r="AG217" s="156">
        <f t="shared" si="82"/>
        <v>0</v>
      </c>
      <c r="AH217" s="156">
        <f t="shared" si="82"/>
        <v>0</v>
      </c>
      <c r="AI217" s="156">
        <f t="shared" si="82"/>
        <v>0</v>
      </c>
      <c r="AJ217" s="156">
        <f t="shared" si="82"/>
        <v>0</v>
      </c>
      <c r="AK217" s="156">
        <f t="shared" si="82"/>
        <v>0</v>
      </c>
      <c r="AL217" s="156">
        <f t="shared" si="82"/>
        <v>0</v>
      </c>
      <c r="AM217" s="156">
        <f t="shared" si="82"/>
        <v>0</v>
      </c>
      <c r="AN217" s="156">
        <f t="shared" si="82"/>
        <v>0</v>
      </c>
      <c r="AO217" s="156">
        <f t="shared" si="82"/>
        <v>0</v>
      </c>
      <c r="AP217" s="156">
        <f t="shared" si="82"/>
        <v>0</v>
      </c>
    </row>
    <row r="218" spans="1:42" x14ac:dyDescent="0.4">
      <c r="A218" s="86" t="s">
        <v>44</v>
      </c>
      <c r="C218" s="156">
        <f>C$131</f>
        <v>1386954.0525000002</v>
      </c>
      <c r="D218" s="156">
        <f t="shared" ref="D218:AP218" si="83">D$131</f>
        <v>1386954.0525000002</v>
      </c>
      <c r="E218" s="156">
        <f t="shared" si="83"/>
        <v>1386954.0525000002</v>
      </c>
      <c r="F218" s="156">
        <f t="shared" si="83"/>
        <v>1386954.0525000002</v>
      </c>
      <c r="G218" s="156">
        <f t="shared" si="83"/>
        <v>1386954.0525000002</v>
      </c>
      <c r="H218" s="156">
        <f t="shared" si="83"/>
        <v>1386954.0525000002</v>
      </c>
      <c r="I218" s="156">
        <f t="shared" si="83"/>
        <v>0</v>
      </c>
      <c r="J218" s="156">
        <f t="shared" si="83"/>
        <v>0</v>
      </c>
      <c r="K218" s="156">
        <f t="shared" si="83"/>
        <v>0</v>
      </c>
      <c r="L218" s="156">
        <f t="shared" si="83"/>
        <v>0</v>
      </c>
      <c r="M218" s="156">
        <f t="shared" si="83"/>
        <v>0</v>
      </c>
      <c r="N218" s="156">
        <f t="shared" si="83"/>
        <v>0</v>
      </c>
      <c r="O218" s="156">
        <f t="shared" si="83"/>
        <v>0</v>
      </c>
      <c r="P218" s="156">
        <f t="shared" si="83"/>
        <v>0</v>
      </c>
      <c r="Q218" s="156">
        <f t="shared" si="83"/>
        <v>0</v>
      </c>
      <c r="R218" s="156">
        <f t="shared" si="83"/>
        <v>0</v>
      </c>
      <c r="S218" s="156">
        <f t="shared" si="83"/>
        <v>0</v>
      </c>
      <c r="T218" s="156">
        <f t="shared" si="83"/>
        <v>0</v>
      </c>
      <c r="U218" s="156">
        <f t="shared" si="83"/>
        <v>0</v>
      </c>
      <c r="V218" s="156">
        <f t="shared" si="83"/>
        <v>0</v>
      </c>
      <c r="W218" s="156">
        <f t="shared" si="83"/>
        <v>0</v>
      </c>
      <c r="X218" s="156">
        <f t="shared" si="83"/>
        <v>0</v>
      </c>
      <c r="Y218" s="156">
        <f t="shared" si="83"/>
        <v>0</v>
      </c>
      <c r="Z218" s="156">
        <f t="shared" si="83"/>
        <v>0</v>
      </c>
      <c r="AA218" s="156">
        <f t="shared" si="83"/>
        <v>0</v>
      </c>
      <c r="AB218" s="156">
        <f t="shared" si="83"/>
        <v>0</v>
      </c>
      <c r="AC218" s="156">
        <f t="shared" si="83"/>
        <v>0</v>
      </c>
      <c r="AD218" s="156">
        <f t="shared" si="83"/>
        <v>0</v>
      </c>
      <c r="AE218" s="156">
        <f t="shared" si="83"/>
        <v>0</v>
      </c>
      <c r="AF218" s="156">
        <f t="shared" si="83"/>
        <v>0</v>
      </c>
      <c r="AG218" s="156">
        <f t="shared" si="83"/>
        <v>0</v>
      </c>
      <c r="AH218" s="156">
        <f t="shared" si="83"/>
        <v>0</v>
      </c>
      <c r="AI218" s="156">
        <f t="shared" si="83"/>
        <v>0</v>
      </c>
      <c r="AJ218" s="156">
        <f t="shared" si="83"/>
        <v>0</v>
      </c>
      <c r="AK218" s="156">
        <f t="shared" si="83"/>
        <v>0</v>
      </c>
      <c r="AL218" s="156">
        <f t="shared" si="83"/>
        <v>0</v>
      </c>
      <c r="AM218" s="156">
        <f t="shared" si="83"/>
        <v>0</v>
      </c>
      <c r="AN218" s="156">
        <f t="shared" si="83"/>
        <v>0</v>
      </c>
      <c r="AO218" s="156">
        <f t="shared" si="83"/>
        <v>0</v>
      </c>
      <c r="AP218" s="156">
        <f t="shared" si="83"/>
        <v>0</v>
      </c>
    </row>
    <row r="219" spans="1:42" x14ac:dyDescent="0.4">
      <c r="A219" s="86" t="s">
        <v>66</v>
      </c>
      <c r="C219" s="157">
        <f>C$135</f>
        <v>0</v>
      </c>
      <c r="D219" s="157">
        <f t="shared" ref="D219:AP219" si="84">D$135</f>
        <v>0</v>
      </c>
      <c r="E219" s="157">
        <f t="shared" si="84"/>
        <v>0</v>
      </c>
      <c r="F219" s="157">
        <f t="shared" si="84"/>
        <v>0</v>
      </c>
      <c r="G219" s="157">
        <f t="shared" si="84"/>
        <v>0</v>
      </c>
      <c r="H219" s="157">
        <f t="shared" si="84"/>
        <v>0</v>
      </c>
      <c r="I219" s="157">
        <f t="shared" si="84"/>
        <v>0</v>
      </c>
      <c r="J219" s="157">
        <f t="shared" si="84"/>
        <v>0</v>
      </c>
      <c r="K219" s="157">
        <f t="shared" si="84"/>
        <v>0</v>
      </c>
      <c r="L219" s="157">
        <f t="shared" si="84"/>
        <v>0</v>
      </c>
      <c r="M219" s="157">
        <f t="shared" si="84"/>
        <v>0</v>
      </c>
      <c r="N219" s="157">
        <f t="shared" si="84"/>
        <v>0</v>
      </c>
      <c r="O219" s="157">
        <f t="shared" si="84"/>
        <v>0</v>
      </c>
      <c r="P219" s="157">
        <f t="shared" si="84"/>
        <v>0</v>
      </c>
      <c r="Q219" s="157">
        <f t="shared" si="84"/>
        <v>0</v>
      </c>
      <c r="R219" s="157">
        <f t="shared" si="84"/>
        <v>0</v>
      </c>
      <c r="S219" s="157">
        <f t="shared" si="84"/>
        <v>0</v>
      </c>
      <c r="T219" s="157">
        <f t="shared" si="84"/>
        <v>0</v>
      </c>
      <c r="U219" s="157">
        <f t="shared" si="84"/>
        <v>0</v>
      </c>
      <c r="V219" s="157">
        <f t="shared" si="84"/>
        <v>0</v>
      </c>
      <c r="W219" s="157">
        <f t="shared" si="84"/>
        <v>0</v>
      </c>
      <c r="X219" s="157">
        <f t="shared" si="84"/>
        <v>0</v>
      </c>
      <c r="Y219" s="157">
        <f t="shared" si="84"/>
        <v>0</v>
      </c>
      <c r="Z219" s="157">
        <f t="shared" si="84"/>
        <v>0</v>
      </c>
      <c r="AA219" s="157">
        <f t="shared" si="84"/>
        <v>0</v>
      </c>
      <c r="AB219" s="157">
        <f t="shared" si="84"/>
        <v>0</v>
      </c>
      <c r="AC219" s="157">
        <f t="shared" si="84"/>
        <v>0</v>
      </c>
      <c r="AD219" s="157">
        <f t="shared" si="84"/>
        <v>0</v>
      </c>
      <c r="AE219" s="157">
        <f t="shared" si="84"/>
        <v>0</v>
      </c>
      <c r="AF219" s="157">
        <f t="shared" si="84"/>
        <v>0</v>
      </c>
      <c r="AG219" s="157">
        <f t="shared" si="84"/>
        <v>0</v>
      </c>
      <c r="AH219" s="157">
        <f t="shared" si="84"/>
        <v>0</v>
      </c>
      <c r="AI219" s="157">
        <f t="shared" si="84"/>
        <v>0</v>
      </c>
      <c r="AJ219" s="157">
        <f t="shared" si="84"/>
        <v>0</v>
      </c>
      <c r="AK219" s="157">
        <f t="shared" si="84"/>
        <v>0</v>
      </c>
      <c r="AL219" s="157">
        <f t="shared" si="84"/>
        <v>0</v>
      </c>
      <c r="AM219" s="157">
        <f t="shared" si="84"/>
        <v>0</v>
      </c>
      <c r="AN219" s="157">
        <f t="shared" si="84"/>
        <v>0</v>
      </c>
      <c r="AO219" s="157">
        <f t="shared" si="84"/>
        <v>0</v>
      </c>
      <c r="AP219" s="157">
        <f t="shared" si="84"/>
        <v>0</v>
      </c>
    </row>
    <row r="220" spans="1:42" x14ac:dyDescent="0.4">
      <c r="A220" s="86" t="s">
        <v>433</v>
      </c>
      <c r="C220" s="156">
        <f>SUM(C213:C219)</f>
        <v>1280886.8406250002</v>
      </c>
      <c r="D220" s="156">
        <f t="shared" ref="D220:AP220" si="85">SUM(D213:D219)</f>
        <v>1334163.5939157498</v>
      </c>
      <c r="E220" s="156">
        <f t="shared" si="85"/>
        <v>1390759.4559935518</v>
      </c>
      <c r="F220" s="156">
        <f t="shared" si="85"/>
        <v>1450166.8375448105</v>
      </c>
      <c r="G220" s="156">
        <f t="shared" si="85"/>
        <v>1452821.3872249697</v>
      </c>
      <c r="H220" s="156">
        <f t="shared" si="85"/>
        <v>1510771.8904723297</v>
      </c>
      <c r="I220" s="156">
        <f t="shared" si="85"/>
        <v>110287.51041818695</v>
      </c>
      <c r="J220" s="156">
        <f t="shared" si="85"/>
        <v>166030.34638435909</v>
      </c>
      <c r="K220" s="156">
        <f t="shared" si="85"/>
        <v>224423.85088661546</v>
      </c>
      <c r="L220" s="156">
        <f t="shared" si="85"/>
        <v>-2791562.3453489449</v>
      </c>
      <c r="M220" s="156">
        <f t="shared" si="85"/>
        <v>803631.38649642083</v>
      </c>
      <c r="N220" s="156">
        <f t="shared" si="85"/>
        <v>807249.13355211995</v>
      </c>
      <c r="O220" s="156">
        <f t="shared" si="85"/>
        <v>810914.42960145581</v>
      </c>
      <c r="P220" s="156">
        <f t="shared" si="85"/>
        <v>814613.9015531356</v>
      </c>
      <c r="Q220" s="156">
        <f t="shared" si="85"/>
        <v>818313.54665707878</v>
      </c>
      <c r="R220" s="156">
        <f t="shared" si="85"/>
        <v>822030.40486346278</v>
      </c>
      <c r="S220" s="156">
        <f t="shared" si="85"/>
        <v>825743.93562328909</v>
      </c>
      <c r="T220" s="156">
        <f t="shared" si="85"/>
        <v>829454.28482811688</v>
      </c>
      <c r="U220" s="156">
        <f t="shared" si="85"/>
        <v>833163.75494221947</v>
      </c>
      <c r="V220" s="156">
        <f t="shared" si="85"/>
        <v>-3133860.7115892256</v>
      </c>
      <c r="W220" s="156">
        <f t="shared" si="85"/>
        <v>772548.73048104427</v>
      </c>
      <c r="X220" s="156">
        <f t="shared" si="85"/>
        <v>742203.15886807046</v>
      </c>
      <c r="Y220" s="156">
        <f t="shared" si="85"/>
        <v>711365.99968477245</v>
      </c>
      <c r="Z220" s="156">
        <f t="shared" si="85"/>
        <v>679975.63604189176</v>
      </c>
      <c r="AA220" s="156">
        <f t="shared" si="85"/>
        <v>7214012.6803499218</v>
      </c>
      <c r="AB220" s="156">
        <f t="shared" si="85"/>
        <v>0</v>
      </c>
      <c r="AC220" s="156">
        <f t="shared" si="85"/>
        <v>0</v>
      </c>
      <c r="AD220" s="156">
        <f t="shared" si="85"/>
        <v>0</v>
      </c>
      <c r="AE220" s="156">
        <f t="shared" si="85"/>
        <v>0</v>
      </c>
      <c r="AF220" s="156">
        <f t="shared" si="85"/>
        <v>0</v>
      </c>
      <c r="AG220" s="156">
        <f t="shared" si="85"/>
        <v>0</v>
      </c>
      <c r="AH220" s="156">
        <f t="shared" si="85"/>
        <v>0</v>
      </c>
      <c r="AI220" s="156">
        <f t="shared" si="85"/>
        <v>0</v>
      </c>
      <c r="AJ220" s="156">
        <f t="shared" si="85"/>
        <v>0</v>
      </c>
      <c r="AK220" s="156">
        <f t="shared" si="85"/>
        <v>0</v>
      </c>
      <c r="AL220" s="156">
        <f t="shared" si="85"/>
        <v>0</v>
      </c>
      <c r="AM220" s="156">
        <f t="shared" si="85"/>
        <v>0</v>
      </c>
      <c r="AN220" s="156">
        <f t="shared" si="85"/>
        <v>0</v>
      </c>
      <c r="AO220" s="156">
        <f t="shared" si="85"/>
        <v>0</v>
      </c>
      <c r="AP220" s="156">
        <f t="shared" si="85"/>
        <v>0</v>
      </c>
    </row>
    <row r="221" spans="1:42" x14ac:dyDescent="0.4">
      <c r="A221" s="86" t="s">
        <v>437</v>
      </c>
      <c r="C221" s="156"/>
      <c r="D221" s="156"/>
      <c r="E221" s="156"/>
      <c r="F221" s="156"/>
      <c r="G221" s="156"/>
      <c r="H221" s="156"/>
      <c r="I221" s="156"/>
      <c r="J221" s="156"/>
      <c r="K221" s="156"/>
      <c r="L221" s="156"/>
      <c r="M221" s="156"/>
      <c r="N221" s="156"/>
      <c r="O221" s="156"/>
      <c r="P221" s="156"/>
      <c r="Q221" s="156"/>
      <c r="R221" s="156"/>
      <c r="S221" s="156"/>
      <c r="T221" s="156"/>
      <c r="U221" s="156"/>
      <c r="V221" s="156"/>
      <c r="W221" s="156"/>
      <c r="X221" s="156"/>
      <c r="Y221" s="156"/>
      <c r="Z221" s="156"/>
      <c r="AA221" s="156"/>
      <c r="AB221" s="156"/>
      <c r="AC221" s="156"/>
      <c r="AD221" s="156"/>
      <c r="AE221" s="156"/>
      <c r="AF221" s="156"/>
      <c r="AG221" s="156"/>
      <c r="AH221" s="156"/>
      <c r="AI221" s="156"/>
      <c r="AJ221" s="156"/>
      <c r="AK221" s="156"/>
      <c r="AL221" s="156"/>
      <c r="AM221" s="156"/>
      <c r="AN221" s="156"/>
      <c r="AO221" s="156"/>
      <c r="AP221" s="156"/>
    </row>
    <row r="222" spans="1:42" x14ac:dyDescent="0.4">
      <c r="A222" s="21" t="str">
        <f>Inputs!B113</f>
        <v>Investment Based Incentive (IBI)</v>
      </c>
    </row>
    <row r="223" spans="1:42" x14ac:dyDescent="0.4">
      <c r="A223" s="87" t="str">
        <f>Inputs!B114</f>
        <v>As fixed amount</v>
      </c>
    </row>
    <row r="224" spans="1:42" x14ac:dyDescent="0.4">
      <c r="A224" s="78" t="s">
        <v>4</v>
      </c>
      <c r="C224" s="156">
        <f>IF(ibi_fed_amount_tax_fed="Yes",C568,0)</f>
        <v>0</v>
      </c>
    </row>
    <row r="225" spans="1:42" x14ac:dyDescent="0.4">
      <c r="A225" s="78" t="s">
        <v>5</v>
      </c>
      <c r="C225" s="156">
        <f>IF(ibi_sta_amount_tax_fed="Yes",C569,0)</f>
        <v>0</v>
      </c>
    </row>
    <row r="226" spans="1:42" x14ac:dyDescent="0.4">
      <c r="A226" s="78" t="s">
        <v>153</v>
      </c>
      <c r="C226" s="156">
        <f>IF(ibi_uti_amount_tax_fed="Yes",C570,0)</f>
        <v>0</v>
      </c>
    </row>
    <row r="227" spans="1:42" x14ac:dyDescent="0.4">
      <c r="A227" s="78" t="s">
        <v>154</v>
      </c>
      <c r="C227" s="157">
        <f>IF(ibi_oth_amount_tax_fed="Yes",C571,0)</f>
        <v>0</v>
      </c>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row>
    <row r="228" spans="1:42" x14ac:dyDescent="0.4">
      <c r="A228" s="78" t="s">
        <v>13</v>
      </c>
      <c r="C228" s="156">
        <f>SUM(C224:C227)</f>
        <v>0</v>
      </c>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row>
    <row r="229" spans="1:42" x14ac:dyDescent="0.4">
      <c r="A229" s="87" t="str">
        <f>Inputs!B119</f>
        <v>As percentage</v>
      </c>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row>
    <row r="230" spans="1:42" x14ac:dyDescent="0.4">
      <c r="A230" s="78" t="s">
        <v>4</v>
      </c>
      <c r="C230" s="156">
        <f>IF(ibi_fed_percent_tax_fed="Yes",C574,0)</f>
        <v>0</v>
      </c>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row>
    <row r="231" spans="1:42" x14ac:dyDescent="0.4">
      <c r="A231" s="78" t="s">
        <v>5</v>
      </c>
      <c r="C231" s="156">
        <f>IF(ibi_sta_percent_tax_fed="Yes",C575,0)</f>
        <v>0</v>
      </c>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row>
    <row r="232" spans="1:42" x14ac:dyDescent="0.4">
      <c r="A232" s="78" t="s">
        <v>153</v>
      </c>
      <c r="C232" s="156">
        <f>IF(ibi_uti_percent_tax_fed="Yes",C576,0)</f>
        <v>0</v>
      </c>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row>
    <row r="233" spans="1:42" x14ac:dyDescent="0.4">
      <c r="A233" s="78" t="s">
        <v>154</v>
      </c>
      <c r="C233" s="157">
        <f>IF(ibi_oth_percent_tax_fed="Yes",C577,0)</f>
        <v>0</v>
      </c>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row>
    <row r="234" spans="1:42" x14ac:dyDescent="0.4">
      <c r="A234" s="78" t="s">
        <v>13</v>
      </c>
      <c r="C234" s="156">
        <f>SUM(C230:C233)</f>
        <v>0</v>
      </c>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row>
    <row r="235" spans="1:42" x14ac:dyDescent="0.4">
      <c r="A235" s="21" t="str">
        <f>Inputs!B124</f>
        <v>Capacity Based Incentive (CBI)</v>
      </c>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row>
    <row r="236" spans="1:42" x14ac:dyDescent="0.4">
      <c r="A236" s="87" t="s">
        <v>4</v>
      </c>
      <c r="C236" s="156">
        <f>IF(cbi_fed_tax_fed="Yes",C581,0)</f>
        <v>0</v>
      </c>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row>
    <row r="237" spans="1:42" x14ac:dyDescent="0.4">
      <c r="A237" s="87" t="s">
        <v>5</v>
      </c>
      <c r="C237" s="156">
        <f>IF(cbi_sta_tax_fed="Yes",C582,0)</f>
        <v>0</v>
      </c>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row>
    <row r="238" spans="1:42" x14ac:dyDescent="0.4">
      <c r="A238" s="87" t="s">
        <v>153</v>
      </c>
      <c r="C238" s="156">
        <f>IF(cbi_uti_tax_fed="Yes",C583,0)</f>
        <v>0</v>
      </c>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row>
    <row r="239" spans="1:42" x14ac:dyDescent="0.4">
      <c r="A239" s="87" t="s">
        <v>154</v>
      </c>
      <c r="C239" s="157">
        <f>IF(cbi_oth_tax_fed="Yes",C584,0)</f>
        <v>0</v>
      </c>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row>
    <row r="240" spans="1:42" x14ac:dyDescent="0.4">
      <c r="A240" s="87" t="s">
        <v>13</v>
      </c>
      <c r="C240" s="156">
        <f>SUM(C236:C239)</f>
        <v>0</v>
      </c>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row>
    <row r="241" spans="1:42" x14ac:dyDescent="0.4">
      <c r="A241" s="21" t="str">
        <f>Inputs!B129</f>
        <v>Production Based Incentive (PBI)</v>
      </c>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row>
    <row r="242" spans="1:42" x14ac:dyDescent="0.4">
      <c r="A242" s="87" t="s">
        <v>4</v>
      </c>
      <c r="C242" s="156">
        <f t="shared" ref="C242:AP242" si="86">IF(AND(pbi_fed_tax_fed="Yes",pbi_fed_for_ds="No"),C591,0)</f>
        <v>0</v>
      </c>
      <c r="D242" s="156">
        <f t="shared" si="86"/>
        <v>0</v>
      </c>
      <c r="E242" s="156">
        <f t="shared" si="86"/>
        <v>0</v>
      </c>
      <c r="F242" s="156">
        <f t="shared" si="86"/>
        <v>0</v>
      </c>
      <c r="G242" s="156">
        <f t="shared" si="86"/>
        <v>0</v>
      </c>
      <c r="H242" s="156">
        <f t="shared" si="86"/>
        <v>0</v>
      </c>
      <c r="I242" s="156">
        <f t="shared" si="86"/>
        <v>0</v>
      </c>
      <c r="J242" s="156">
        <f t="shared" si="86"/>
        <v>0</v>
      </c>
      <c r="K242" s="156">
        <f t="shared" si="86"/>
        <v>0</v>
      </c>
      <c r="L242" s="156">
        <f t="shared" si="86"/>
        <v>0</v>
      </c>
      <c r="M242" s="156">
        <f t="shared" si="86"/>
        <v>0</v>
      </c>
      <c r="N242" s="156">
        <f t="shared" si="86"/>
        <v>0</v>
      </c>
      <c r="O242" s="156">
        <f t="shared" si="86"/>
        <v>0</v>
      </c>
      <c r="P242" s="156">
        <f t="shared" si="86"/>
        <v>0</v>
      </c>
      <c r="Q242" s="156">
        <f t="shared" si="86"/>
        <v>0</v>
      </c>
      <c r="R242" s="156">
        <f t="shared" si="86"/>
        <v>0</v>
      </c>
      <c r="S242" s="156">
        <f t="shared" si="86"/>
        <v>0</v>
      </c>
      <c r="T242" s="156">
        <f t="shared" si="86"/>
        <v>0</v>
      </c>
      <c r="U242" s="156">
        <f t="shared" si="86"/>
        <v>0</v>
      </c>
      <c r="V242" s="156">
        <f t="shared" si="86"/>
        <v>0</v>
      </c>
      <c r="W242" s="156">
        <f t="shared" si="86"/>
        <v>0</v>
      </c>
      <c r="X242" s="156">
        <f t="shared" si="86"/>
        <v>0</v>
      </c>
      <c r="Y242" s="156">
        <f t="shared" si="86"/>
        <v>0</v>
      </c>
      <c r="Z242" s="156">
        <f t="shared" si="86"/>
        <v>0</v>
      </c>
      <c r="AA242" s="156">
        <f t="shared" si="86"/>
        <v>0</v>
      </c>
      <c r="AB242" s="156">
        <f t="shared" si="86"/>
        <v>0</v>
      </c>
      <c r="AC242" s="156">
        <f t="shared" si="86"/>
        <v>0</v>
      </c>
      <c r="AD242" s="156">
        <f t="shared" si="86"/>
        <v>0</v>
      </c>
      <c r="AE242" s="156">
        <f t="shared" si="86"/>
        <v>0</v>
      </c>
      <c r="AF242" s="156">
        <f t="shared" si="86"/>
        <v>0</v>
      </c>
      <c r="AG242" s="156">
        <f t="shared" si="86"/>
        <v>0</v>
      </c>
      <c r="AH242" s="156">
        <f t="shared" si="86"/>
        <v>0</v>
      </c>
      <c r="AI242" s="156">
        <f t="shared" si="86"/>
        <v>0</v>
      </c>
      <c r="AJ242" s="156">
        <f t="shared" si="86"/>
        <v>0</v>
      </c>
      <c r="AK242" s="156">
        <f t="shared" si="86"/>
        <v>0</v>
      </c>
      <c r="AL242" s="156">
        <f t="shared" si="86"/>
        <v>0</v>
      </c>
      <c r="AM242" s="156">
        <f t="shared" si="86"/>
        <v>0</v>
      </c>
      <c r="AN242" s="156">
        <f t="shared" si="86"/>
        <v>0</v>
      </c>
      <c r="AO242" s="156">
        <f t="shared" si="86"/>
        <v>0</v>
      </c>
      <c r="AP242" s="156">
        <f t="shared" si="86"/>
        <v>0</v>
      </c>
    </row>
    <row r="243" spans="1:42" x14ac:dyDescent="0.4">
      <c r="A243" s="87" t="s">
        <v>5</v>
      </c>
      <c r="C243" s="156">
        <f t="shared" ref="C243:AP243" si="87">IF(AND(pbi_sta_tax_fed="Yes",pbi_sta_for_ds="No"),C595,0)</f>
        <v>0</v>
      </c>
      <c r="D243" s="156">
        <f t="shared" si="87"/>
        <v>0</v>
      </c>
      <c r="E243" s="156">
        <f t="shared" si="87"/>
        <v>0</v>
      </c>
      <c r="F243" s="156">
        <f t="shared" si="87"/>
        <v>0</v>
      </c>
      <c r="G243" s="156">
        <f t="shared" si="87"/>
        <v>0</v>
      </c>
      <c r="H243" s="156">
        <f t="shared" si="87"/>
        <v>0</v>
      </c>
      <c r="I243" s="156">
        <f t="shared" si="87"/>
        <v>0</v>
      </c>
      <c r="J243" s="156">
        <f t="shared" si="87"/>
        <v>0</v>
      </c>
      <c r="K243" s="156">
        <f t="shared" si="87"/>
        <v>0</v>
      </c>
      <c r="L243" s="156">
        <f t="shared" si="87"/>
        <v>0</v>
      </c>
      <c r="M243" s="156">
        <f t="shared" si="87"/>
        <v>0</v>
      </c>
      <c r="N243" s="156">
        <f t="shared" si="87"/>
        <v>0</v>
      </c>
      <c r="O243" s="156">
        <f t="shared" si="87"/>
        <v>0</v>
      </c>
      <c r="P243" s="156">
        <f t="shared" si="87"/>
        <v>0</v>
      </c>
      <c r="Q243" s="156">
        <f t="shared" si="87"/>
        <v>0</v>
      </c>
      <c r="R243" s="156">
        <f t="shared" si="87"/>
        <v>0</v>
      </c>
      <c r="S243" s="156">
        <f t="shared" si="87"/>
        <v>0</v>
      </c>
      <c r="T243" s="156">
        <f t="shared" si="87"/>
        <v>0</v>
      </c>
      <c r="U243" s="156">
        <f t="shared" si="87"/>
        <v>0</v>
      </c>
      <c r="V243" s="156">
        <f t="shared" si="87"/>
        <v>0</v>
      </c>
      <c r="W243" s="156">
        <f t="shared" si="87"/>
        <v>0</v>
      </c>
      <c r="X243" s="156">
        <f t="shared" si="87"/>
        <v>0</v>
      </c>
      <c r="Y243" s="156">
        <f t="shared" si="87"/>
        <v>0</v>
      </c>
      <c r="Z243" s="156">
        <f t="shared" si="87"/>
        <v>0</v>
      </c>
      <c r="AA243" s="156">
        <f t="shared" si="87"/>
        <v>0</v>
      </c>
      <c r="AB243" s="156">
        <f t="shared" si="87"/>
        <v>0</v>
      </c>
      <c r="AC243" s="156">
        <f t="shared" si="87"/>
        <v>0</v>
      </c>
      <c r="AD243" s="156">
        <f t="shared" si="87"/>
        <v>0</v>
      </c>
      <c r="AE243" s="156">
        <f t="shared" si="87"/>
        <v>0</v>
      </c>
      <c r="AF243" s="156">
        <f t="shared" si="87"/>
        <v>0</v>
      </c>
      <c r="AG243" s="156">
        <f t="shared" si="87"/>
        <v>0</v>
      </c>
      <c r="AH243" s="156">
        <f t="shared" si="87"/>
        <v>0</v>
      </c>
      <c r="AI243" s="156">
        <f t="shared" si="87"/>
        <v>0</v>
      </c>
      <c r="AJ243" s="156">
        <f t="shared" si="87"/>
        <v>0</v>
      </c>
      <c r="AK243" s="156">
        <f t="shared" si="87"/>
        <v>0</v>
      </c>
      <c r="AL243" s="156">
        <f t="shared" si="87"/>
        <v>0</v>
      </c>
      <c r="AM243" s="156">
        <f t="shared" si="87"/>
        <v>0</v>
      </c>
      <c r="AN243" s="156">
        <f t="shared" si="87"/>
        <v>0</v>
      </c>
      <c r="AO243" s="156">
        <f t="shared" si="87"/>
        <v>0</v>
      </c>
      <c r="AP243" s="156">
        <f t="shared" si="87"/>
        <v>0</v>
      </c>
    </row>
    <row r="244" spans="1:42" x14ac:dyDescent="0.4">
      <c r="A244" s="87" t="s">
        <v>153</v>
      </c>
      <c r="C244" s="156">
        <f t="shared" ref="C244:AP244" si="88">IF(AND(pbi_uti_tax_fed="Yes",pbi_uti_for_ds="No"),C599,0)</f>
        <v>0</v>
      </c>
      <c r="D244" s="156">
        <f t="shared" si="88"/>
        <v>0</v>
      </c>
      <c r="E244" s="156">
        <f t="shared" si="88"/>
        <v>0</v>
      </c>
      <c r="F244" s="156">
        <f t="shared" si="88"/>
        <v>0</v>
      </c>
      <c r="G244" s="156">
        <f t="shared" si="88"/>
        <v>0</v>
      </c>
      <c r="H244" s="156">
        <f t="shared" si="88"/>
        <v>0</v>
      </c>
      <c r="I244" s="156">
        <f t="shared" si="88"/>
        <v>0</v>
      </c>
      <c r="J244" s="156">
        <f t="shared" si="88"/>
        <v>0</v>
      </c>
      <c r="K244" s="156">
        <f t="shared" si="88"/>
        <v>0</v>
      </c>
      <c r="L244" s="156">
        <f t="shared" si="88"/>
        <v>0</v>
      </c>
      <c r="M244" s="156">
        <f t="shared" si="88"/>
        <v>0</v>
      </c>
      <c r="N244" s="156">
        <f t="shared" si="88"/>
        <v>0</v>
      </c>
      <c r="O244" s="156">
        <f t="shared" si="88"/>
        <v>0</v>
      </c>
      <c r="P244" s="156">
        <f t="shared" si="88"/>
        <v>0</v>
      </c>
      <c r="Q244" s="156">
        <f t="shared" si="88"/>
        <v>0</v>
      </c>
      <c r="R244" s="156">
        <f t="shared" si="88"/>
        <v>0</v>
      </c>
      <c r="S244" s="156">
        <f t="shared" si="88"/>
        <v>0</v>
      </c>
      <c r="T244" s="156">
        <f t="shared" si="88"/>
        <v>0</v>
      </c>
      <c r="U244" s="156">
        <f t="shared" si="88"/>
        <v>0</v>
      </c>
      <c r="V244" s="156">
        <f t="shared" si="88"/>
        <v>0</v>
      </c>
      <c r="W244" s="156">
        <f t="shared" si="88"/>
        <v>0</v>
      </c>
      <c r="X244" s="156">
        <f t="shared" si="88"/>
        <v>0</v>
      </c>
      <c r="Y244" s="156">
        <f t="shared" si="88"/>
        <v>0</v>
      </c>
      <c r="Z244" s="156">
        <f t="shared" si="88"/>
        <v>0</v>
      </c>
      <c r="AA244" s="156">
        <f t="shared" si="88"/>
        <v>0</v>
      </c>
      <c r="AB244" s="156">
        <f t="shared" si="88"/>
        <v>0</v>
      </c>
      <c r="AC244" s="156">
        <f t="shared" si="88"/>
        <v>0</v>
      </c>
      <c r="AD244" s="156">
        <f t="shared" si="88"/>
        <v>0</v>
      </c>
      <c r="AE244" s="156">
        <f t="shared" si="88"/>
        <v>0</v>
      </c>
      <c r="AF244" s="156">
        <f t="shared" si="88"/>
        <v>0</v>
      </c>
      <c r="AG244" s="156">
        <f t="shared" si="88"/>
        <v>0</v>
      </c>
      <c r="AH244" s="156">
        <f t="shared" si="88"/>
        <v>0</v>
      </c>
      <c r="AI244" s="156">
        <f t="shared" si="88"/>
        <v>0</v>
      </c>
      <c r="AJ244" s="156">
        <f t="shared" si="88"/>
        <v>0</v>
      </c>
      <c r="AK244" s="156">
        <f t="shared" si="88"/>
        <v>0</v>
      </c>
      <c r="AL244" s="156">
        <f t="shared" si="88"/>
        <v>0</v>
      </c>
      <c r="AM244" s="156">
        <f t="shared" si="88"/>
        <v>0</v>
      </c>
      <c r="AN244" s="156">
        <f t="shared" si="88"/>
        <v>0</v>
      </c>
      <c r="AO244" s="156">
        <f t="shared" si="88"/>
        <v>0</v>
      </c>
      <c r="AP244" s="156">
        <f t="shared" si="88"/>
        <v>0</v>
      </c>
    </row>
    <row r="245" spans="1:42" x14ac:dyDescent="0.4">
      <c r="A245" s="87" t="s">
        <v>154</v>
      </c>
      <c r="C245" s="156">
        <f t="shared" ref="C245:AP245" si="89">IF(AND(pbi_oth_tax_fed="Yes",pbi_oth_for_ds="No"),C603,0)</f>
        <v>0</v>
      </c>
      <c r="D245" s="156">
        <f t="shared" si="89"/>
        <v>0</v>
      </c>
      <c r="E245" s="156">
        <f t="shared" si="89"/>
        <v>0</v>
      </c>
      <c r="F245" s="156">
        <f t="shared" si="89"/>
        <v>0</v>
      </c>
      <c r="G245" s="156">
        <f t="shared" si="89"/>
        <v>0</v>
      </c>
      <c r="H245" s="156">
        <f t="shared" si="89"/>
        <v>0</v>
      </c>
      <c r="I245" s="156">
        <f t="shared" si="89"/>
        <v>0</v>
      </c>
      <c r="J245" s="156">
        <f t="shared" si="89"/>
        <v>0</v>
      </c>
      <c r="K245" s="156">
        <f t="shared" si="89"/>
        <v>0</v>
      </c>
      <c r="L245" s="156">
        <f t="shared" si="89"/>
        <v>0</v>
      </c>
      <c r="M245" s="156">
        <f t="shared" si="89"/>
        <v>0</v>
      </c>
      <c r="N245" s="156">
        <f t="shared" si="89"/>
        <v>0</v>
      </c>
      <c r="O245" s="156">
        <f t="shared" si="89"/>
        <v>0</v>
      </c>
      <c r="P245" s="156">
        <f t="shared" si="89"/>
        <v>0</v>
      </c>
      <c r="Q245" s="156">
        <f t="shared" si="89"/>
        <v>0</v>
      </c>
      <c r="R245" s="156">
        <f t="shared" si="89"/>
        <v>0</v>
      </c>
      <c r="S245" s="156">
        <f t="shared" si="89"/>
        <v>0</v>
      </c>
      <c r="T245" s="156">
        <f t="shared" si="89"/>
        <v>0</v>
      </c>
      <c r="U245" s="156">
        <f t="shared" si="89"/>
        <v>0</v>
      </c>
      <c r="V245" s="156">
        <f t="shared" si="89"/>
        <v>0</v>
      </c>
      <c r="W245" s="156">
        <f t="shared" si="89"/>
        <v>0</v>
      </c>
      <c r="X245" s="156">
        <f t="shared" si="89"/>
        <v>0</v>
      </c>
      <c r="Y245" s="156">
        <f t="shared" si="89"/>
        <v>0</v>
      </c>
      <c r="Z245" s="156">
        <f t="shared" si="89"/>
        <v>0</v>
      </c>
      <c r="AA245" s="156">
        <f t="shared" si="89"/>
        <v>0</v>
      </c>
      <c r="AB245" s="156">
        <f t="shared" si="89"/>
        <v>0</v>
      </c>
      <c r="AC245" s="156">
        <f t="shared" si="89"/>
        <v>0</v>
      </c>
      <c r="AD245" s="156">
        <f t="shared" si="89"/>
        <v>0</v>
      </c>
      <c r="AE245" s="156">
        <f t="shared" si="89"/>
        <v>0</v>
      </c>
      <c r="AF245" s="156">
        <f t="shared" si="89"/>
        <v>0</v>
      </c>
      <c r="AG245" s="156">
        <f t="shared" si="89"/>
        <v>0</v>
      </c>
      <c r="AH245" s="156">
        <f t="shared" si="89"/>
        <v>0</v>
      </c>
      <c r="AI245" s="156">
        <f t="shared" si="89"/>
        <v>0</v>
      </c>
      <c r="AJ245" s="156">
        <f t="shared" si="89"/>
        <v>0</v>
      </c>
      <c r="AK245" s="156">
        <f t="shared" si="89"/>
        <v>0</v>
      </c>
      <c r="AL245" s="156">
        <f t="shared" si="89"/>
        <v>0</v>
      </c>
      <c r="AM245" s="156">
        <f t="shared" si="89"/>
        <v>0</v>
      </c>
      <c r="AN245" s="156">
        <f t="shared" si="89"/>
        <v>0</v>
      </c>
      <c r="AO245" s="156">
        <f t="shared" si="89"/>
        <v>0</v>
      </c>
      <c r="AP245" s="156">
        <f t="shared" si="89"/>
        <v>0</v>
      </c>
    </row>
    <row r="246" spans="1:42" x14ac:dyDescent="0.4">
      <c r="A246" s="87" t="s">
        <v>13</v>
      </c>
      <c r="C246" s="158">
        <f>SUM(C242:C245)</f>
        <v>0</v>
      </c>
      <c r="D246" s="158">
        <f t="shared" ref="D246:AP246" si="90">SUM(D242:D245)</f>
        <v>0</v>
      </c>
      <c r="E246" s="158">
        <f t="shared" si="90"/>
        <v>0</v>
      </c>
      <c r="F246" s="158">
        <f t="shared" si="90"/>
        <v>0</v>
      </c>
      <c r="G246" s="158">
        <f t="shared" si="90"/>
        <v>0</v>
      </c>
      <c r="H246" s="158">
        <f t="shared" si="90"/>
        <v>0</v>
      </c>
      <c r="I246" s="158">
        <f t="shared" si="90"/>
        <v>0</v>
      </c>
      <c r="J246" s="158">
        <f t="shared" si="90"/>
        <v>0</v>
      </c>
      <c r="K246" s="158">
        <f t="shared" si="90"/>
        <v>0</v>
      </c>
      <c r="L246" s="158">
        <f t="shared" si="90"/>
        <v>0</v>
      </c>
      <c r="M246" s="158">
        <f t="shared" si="90"/>
        <v>0</v>
      </c>
      <c r="N246" s="158">
        <f t="shared" si="90"/>
        <v>0</v>
      </c>
      <c r="O246" s="158">
        <f t="shared" si="90"/>
        <v>0</v>
      </c>
      <c r="P246" s="158">
        <f t="shared" si="90"/>
        <v>0</v>
      </c>
      <c r="Q246" s="158">
        <f t="shared" si="90"/>
        <v>0</v>
      </c>
      <c r="R246" s="158">
        <f t="shared" si="90"/>
        <v>0</v>
      </c>
      <c r="S246" s="158">
        <f t="shared" si="90"/>
        <v>0</v>
      </c>
      <c r="T246" s="158">
        <f t="shared" si="90"/>
        <v>0</v>
      </c>
      <c r="U246" s="158">
        <f t="shared" si="90"/>
        <v>0</v>
      </c>
      <c r="V246" s="158">
        <f t="shared" si="90"/>
        <v>0</v>
      </c>
      <c r="W246" s="158">
        <f t="shared" si="90"/>
        <v>0</v>
      </c>
      <c r="X246" s="158">
        <f t="shared" si="90"/>
        <v>0</v>
      </c>
      <c r="Y246" s="158">
        <f t="shared" si="90"/>
        <v>0</v>
      </c>
      <c r="Z246" s="158">
        <f t="shared" si="90"/>
        <v>0</v>
      </c>
      <c r="AA246" s="158">
        <f t="shared" si="90"/>
        <v>0</v>
      </c>
      <c r="AB246" s="158">
        <f t="shared" si="90"/>
        <v>0</v>
      </c>
      <c r="AC246" s="158">
        <f t="shared" si="90"/>
        <v>0</v>
      </c>
      <c r="AD246" s="158">
        <f t="shared" si="90"/>
        <v>0</v>
      </c>
      <c r="AE246" s="158">
        <f t="shared" si="90"/>
        <v>0</v>
      </c>
      <c r="AF246" s="158">
        <f t="shared" si="90"/>
        <v>0</v>
      </c>
      <c r="AG246" s="158">
        <f t="shared" si="90"/>
        <v>0</v>
      </c>
      <c r="AH246" s="158">
        <f t="shared" si="90"/>
        <v>0</v>
      </c>
      <c r="AI246" s="158">
        <f t="shared" si="90"/>
        <v>0</v>
      </c>
      <c r="AJ246" s="158">
        <f t="shared" si="90"/>
        <v>0</v>
      </c>
      <c r="AK246" s="158">
        <f t="shared" si="90"/>
        <v>0</v>
      </c>
      <c r="AL246" s="158">
        <f t="shared" si="90"/>
        <v>0</v>
      </c>
      <c r="AM246" s="158">
        <f t="shared" si="90"/>
        <v>0</v>
      </c>
      <c r="AN246" s="158">
        <f t="shared" si="90"/>
        <v>0</v>
      </c>
      <c r="AO246" s="158">
        <f t="shared" si="90"/>
        <v>0</v>
      </c>
      <c r="AP246" s="158">
        <f t="shared" si="90"/>
        <v>0</v>
      </c>
    </row>
    <row r="247" spans="1:42" x14ac:dyDescent="0.4">
      <c r="A247" s="86" t="s">
        <v>428</v>
      </c>
      <c r="C247" s="156">
        <f>C228+C234+C240+C246</f>
        <v>0</v>
      </c>
      <c r="D247" s="156">
        <f t="shared" ref="D247:AP247" si="91">D228+D234+D240+D246</f>
        <v>0</v>
      </c>
      <c r="E247" s="156">
        <f t="shared" si="91"/>
        <v>0</v>
      </c>
      <c r="F247" s="156">
        <f t="shared" si="91"/>
        <v>0</v>
      </c>
      <c r="G247" s="156">
        <f t="shared" si="91"/>
        <v>0</v>
      </c>
      <c r="H247" s="156">
        <f t="shared" si="91"/>
        <v>0</v>
      </c>
      <c r="I247" s="156">
        <f t="shared" si="91"/>
        <v>0</v>
      </c>
      <c r="J247" s="156">
        <f t="shared" si="91"/>
        <v>0</v>
      </c>
      <c r="K247" s="156">
        <f t="shared" si="91"/>
        <v>0</v>
      </c>
      <c r="L247" s="156">
        <f t="shared" si="91"/>
        <v>0</v>
      </c>
      <c r="M247" s="156">
        <f t="shared" si="91"/>
        <v>0</v>
      </c>
      <c r="N247" s="156">
        <f t="shared" si="91"/>
        <v>0</v>
      </c>
      <c r="O247" s="156">
        <f t="shared" si="91"/>
        <v>0</v>
      </c>
      <c r="P247" s="156">
        <f t="shared" si="91"/>
        <v>0</v>
      </c>
      <c r="Q247" s="156">
        <f t="shared" si="91"/>
        <v>0</v>
      </c>
      <c r="R247" s="156">
        <f t="shared" si="91"/>
        <v>0</v>
      </c>
      <c r="S247" s="156">
        <f t="shared" si="91"/>
        <v>0</v>
      </c>
      <c r="T247" s="156">
        <f t="shared" si="91"/>
        <v>0</v>
      </c>
      <c r="U247" s="156">
        <f t="shared" si="91"/>
        <v>0</v>
      </c>
      <c r="V247" s="156">
        <f t="shared" si="91"/>
        <v>0</v>
      </c>
      <c r="W247" s="156">
        <f t="shared" si="91"/>
        <v>0</v>
      </c>
      <c r="X247" s="156">
        <f t="shared" si="91"/>
        <v>0</v>
      </c>
      <c r="Y247" s="156">
        <f t="shared" si="91"/>
        <v>0</v>
      </c>
      <c r="Z247" s="156">
        <f t="shared" si="91"/>
        <v>0</v>
      </c>
      <c r="AA247" s="156">
        <f t="shared" si="91"/>
        <v>0</v>
      </c>
      <c r="AB247" s="156">
        <f t="shared" si="91"/>
        <v>0</v>
      </c>
      <c r="AC247" s="156">
        <f t="shared" si="91"/>
        <v>0</v>
      </c>
      <c r="AD247" s="156">
        <f t="shared" si="91"/>
        <v>0</v>
      </c>
      <c r="AE247" s="156">
        <f t="shared" si="91"/>
        <v>0</v>
      </c>
      <c r="AF247" s="156">
        <f t="shared" si="91"/>
        <v>0</v>
      </c>
      <c r="AG247" s="156">
        <f t="shared" si="91"/>
        <v>0</v>
      </c>
      <c r="AH247" s="156">
        <f t="shared" si="91"/>
        <v>0</v>
      </c>
      <c r="AI247" s="156">
        <f t="shared" si="91"/>
        <v>0</v>
      </c>
      <c r="AJ247" s="156">
        <f t="shared" si="91"/>
        <v>0</v>
      </c>
      <c r="AK247" s="156">
        <f t="shared" si="91"/>
        <v>0</v>
      </c>
      <c r="AL247" s="156">
        <f t="shared" si="91"/>
        <v>0</v>
      </c>
      <c r="AM247" s="156">
        <f t="shared" si="91"/>
        <v>0</v>
      </c>
      <c r="AN247" s="156">
        <f t="shared" si="91"/>
        <v>0</v>
      </c>
      <c r="AO247" s="156">
        <f t="shared" si="91"/>
        <v>0</v>
      </c>
      <c r="AP247" s="156">
        <f t="shared" si="91"/>
        <v>0</v>
      </c>
    </row>
    <row r="248" spans="1:42" x14ac:dyDescent="0.4">
      <c r="A248" s="87"/>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row>
    <row r="249" spans="1:42" x14ac:dyDescent="0.4">
      <c r="A249" s="86" t="s">
        <v>434</v>
      </c>
      <c r="C249" s="159">
        <f>C220+C247</f>
        <v>1280886.8406250002</v>
      </c>
      <c r="D249" s="159">
        <f t="shared" ref="D249:AP249" si="92">D220+D247</f>
        <v>1334163.5939157498</v>
      </c>
      <c r="E249" s="159">
        <f t="shared" si="92"/>
        <v>1390759.4559935518</v>
      </c>
      <c r="F249" s="159">
        <f t="shared" si="92"/>
        <v>1450166.8375448105</v>
      </c>
      <c r="G249" s="159">
        <f t="shared" si="92"/>
        <v>1452821.3872249697</v>
      </c>
      <c r="H249" s="159">
        <f t="shared" si="92"/>
        <v>1510771.8904723297</v>
      </c>
      <c r="I249" s="159">
        <f t="shared" si="92"/>
        <v>110287.51041818695</v>
      </c>
      <c r="J249" s="159">
        <f t="shared" si="92"/>
        <v>166030.34638435909</v>
      </c>
      <c r="K249" s="159">
        <f t="shared" si="92"/>
        <v>224423.85088661546</v>
      </c>
      <c r="L249" s="159">
        <f t="shared" si="92"/>
        <v>-2791562.3453489449</v>
      </c>
      <c r="M249" s="159">
        <f t="shared" si="92"/>
        <v>803631.38649642083</v>
      </c>
      <c r="N249" s="159">
        <f t="shared" si="92"/>
        <v>807249.13355211995</v>
      </c>
      <c r="O249" s="159">
        <f t="shared" si="92"/>
        <v>810914.42960145581</v>
      </c>
      <c r="P249" s="159">
        <f t="shared" si="92"/>
        <v>814613.9015531356</v>
      </c>
      <c r="Q249" s="159">
        <f t="shared" si="92"/>
        <v>818313.54665707878</v>
      </c>
      <c r="R249" s="159">
        <f t="shared" si="92"/>
        <v>822030.40486346278</v>
      </c>
      <c r="S249" s="159">
        <f t="shared" si="92"/>
        <v>825743.93562328909</v>
      </c>
      <c r="T249" s="159">
        <f t="shared" si="92"/>
        <v>829454.28482811688</v>
      </c>
      <c r="U249" s="159">
        <f t="shared" si="92"/>
        <v>833163.75494221947</v>
      </c>
      <c r="V249" s="159">
        <f t="shared" si="92"/>
        <v>-3133860.7115892256</v>
      </c>
      <c r="W249" s="159">
        <f t="shared" si="92"/>
        <v>772548.73048104427</v>
      </c>
      <c r="X249" s="159">
        <f t="shared" si="92"/>
        <v>742203.15886807046</v>
      </c>
      <c r="Y249" s="159">
        <f t="shared" si="92"/>
        <v>711365.99968477245</v>
      </c>
      <c r="Z249" s="159">
        <f t="shared" si="92"/>
        <v>679975.63604189176</v>
      </c>
      <c r="AA249" s="159">
        <f t="shared" si="92"/>
        <v>7214012.6803499218</v>
      </c>
      <c r="AB249" s="159">
        <f t="shared" si="92"/>
        <v>0</v>
      </c>
      <c r="AC249" s="159">
        <f t="shared" si="92"/>
        <v>0</v>
      </c>
      <c r="AD249" s="159">
        <f t="shared" si="92"/>
        <v>0</v>
      </c>
      <c r="AE249" s="159">
        <f t="shared" si="92"/>
        <v>0</v>
      </c>
      <c r="AF249" s="159">
        <f t="shared" si="92"/>
        <v>0</v>
      </c>
      <c r="AG249" s="159">
        <f t="shared" si="92"/>
        <v>0</v>
      </c>
      <c r="AH249" s="159">
        <f t="shared" si="92"/>
        <v>0</v>
      </c>
      <c r="AI249" s="159">
        <f t="shared" si="92"/>
        <v>0</v>
      </c>
      <c r="AJ249" s="159">
        <f t="shared" si="92"/>
        <v>0</v>
      </c>
      <c r="AK249" s="159">
        <f t="shared" si="92"/>
        <v>0</v>
      </c>
      <c r="AL249" s="159">
        <f t="shared" si="92"/>
        <v>0</v>
      </c>
      <c r="AM249" s="159">
        <f t="shared" si="92"/>
        <v>0</v>
      </c>
      <c r="AN249" s="159">
        <f t="shared" si="92"/>
        <v>0</v>
      </c>
      <c r="AO249" s="159">
        <f t="shared" si="92"/>
        <v>0</v>
      </c>
      <c r="AP249" s="159">
        <f t="shared" si="92"/>
        <v>0</v>
      </c>
    </row>
    <row r="250" spans="1:42" x14ac:dyDescent="0.4">
      <c r="A250" s="86" t="s">
        <v>435</v>
      </c>
      <c r="B250" s="4">
        <f t="array" ref="B250:AP250">Inputs!C173:AQ173</f>
        <v>0</v>
      </c>
      <c r="C250" s="158">
        <v>0</v>
      </c>
      <c r="D250" s="158">
        <v>0</v>
      </c>
      <c r="E250" s="158">
        <v>0</v>
      </c>
      <c r="F250" s="158">
        <v>0</v>
      </c>
      <c r="G250" s="158">
        <v>0</v>
      </c>
      <c r="H250" s="158">
        <v>0</v>
      </c>
      <c r="I250" s="158">
        <v>0</v>
      </c>
      <c r="J250" s="158">
        <v>0</v>
      </c>
      <c r="K250" s="158">
        <v>0</v>
      </c>
      <c r="L250" s="158">
        <v>0</v>
      </c>
      <c r="M250" s="158">
        <v>0</v>
      </c>
      <c r="N250" s="158">
        <v>0</v>
      </c>
      <c r="O250" s="158">
        <v>0</v>
      </c>
      <c r="P250" s="158">
        <v>0</v>
      </c>
      <c r="Q250" s="158">
        <v>0</v>
      </c>
      <c r="R250" s="158">
        <v>0</v>
      </c>
      <c r="S250" s="158">
        <v>0</v>
      </c>
      <c r="T250" s="158">
        <v>0</v>
      </c>
      <c r="U250" s="158">
        <v>0</v>
      </c>
      <c r="V250" s="158">
        <v>0</v>
      </c>
      <c r="W250" s="158">
        <v>0</v>
      </c>
      <c r="X250" s="158">
        <v>0</v>
      </c>
      <c r="Y250" s="158">
        <v>0</v>
      </c>
      <c r="Z250" s="158">
        <v>0</v>
      </c>
      <c r="AA250" s="158">
        <v>0</v>
      </c>
      <c r="AB250" s="158">
        <v>0</v>
      </c>
      <c r="AC250" s="158">
        <v>0</v>
      </c>
      <c r="AD250" s="158">
        <v>0</v>
      </c>
      <c r="AE250" s="158">
        <v>0</v>
      </c>
      <c r="AF250" s="158">
        <v>0</v>
      </c>
      <c r="AG250" s="158">
        <v>0</v>
      </c>
      <c r="AH250" s="158">
        <v>0</v>
      </c>
      <c r="AI250" s="158">
        <v>0</v>
      </c>
      <c r="AJ250" s="158">
        <v>0</v>
      </c>
      <c r="AK250" s="158">
        <v>0</v>
      </c>
      <c r="AL250" s="158">
        <v>0</v>
      </c>
      <c r="AM250" s="158">
        <v>0</v>
      </c>
      <c r="AN250" s="158">
        <v>0</v>
      </c>
      <c r="AO250" s="158">
        <v>0</v>
      </c>
      <c r="AP250" s="158">
        <v>0</v>
      </c>
    </row>
    <row r="251" spans="1:42" x14ac:dyDescent="0.4">
      <c r="A251" s="86" t="s">
        <v>436</v>
      </c>
      <c r="C251" s="159">
        <f>C249*-C250/100</f>
        <v>0</v>
      </c>
      <c r="D251" s="159">
        <f t="shared" ref="D251:AP251" si="93">D249*-D250/100</f>
        <v>0</v>
      </c>
      <c r="E251" s="159">
        <f t="shared" si="93"/>
        <v>0</v>
      </c>
      <c r="F251" s="159">
        <f t="shared" si="93"/>
        <v>0</v>
      </c>
      <c r="G251" s="159">
        <f t="shared" si="93"/>
        <v>0</v>
      </c>
      <c r="H251" s="159">
        <f t="shared" si="93"/>
        <v>0</v>
      </c>
      <c r="I251" s="159">
        <f t="shared" si="93"/>
        <v>0</v>
      </c>
      <c r="J251" s="159">
        <f t="shared" si="93"/>
        <v>0</v>
      </c>
      <c r="K251" s="159">
        <f t="shared" si="93"/>
        <v>0</v>
      </c>
      <c r="L251" s="159">
        <f t="shared" si="93"/>
        <v>0</v>
      </c>
      <c r="M251" s="159">
        <f t="shared" si="93"/>
        <v>0</v>
      </c>
      <c r="N251" s="159">
        <f t="shared" si="93"/>
        <v>0</v>
      </c>
      <c r="O251" s="159">
        <f t="shared" si="93"/>
        <v>0</v>
      </c>
      <c r="P251" s="159">
        <f t="shared" si="93"/>
        <v>0</v>
      </c>
      <c r="Q251" s="159">
        <f t="shared" si="93"/>
        <v>0</v>
      </c>
      <c r="R251" s="159">
        <f t="shared" si="93"/>
        <v>0</v>
      </c>
      <c r="S251" s="159">
        <f t="shared" si="93"/>
        <v>0</v>
      </c>
      <c r="T251" s="159">
        <f t="shared" si="93"/>
        <v>0</v>
      </c>
      <c r="U251" s="159">
        <f t="shared" si="93"/>
        <v>0</v>
      </c>
      <c r="V251" s="159">
        <f t="shared" si="93"/>
        <v>0</v>
      </c>
      <c r="W251" s="159">
        <f t="shared" si="93"/>
        <v>0</v>
      </c>
      <c r="X251" s="159">
        <f t="shared" si="93"/>
        <v>0</v>
      </c>
      <c r="Y251" s="159">
        <f t="shared" si="93"/>
        <v>0</v>
      </c>
      <c r="Z251" s="159">
        <f t="shared" si="93"/>
        <v>0</v>
      </c>
      <c r="AA251" s="159">
        <f t="shared" si="93"/>
        <v>0</v>
      </c>
      <c r="AB251" s="159">
        <f t="shared" si="93"/>
        <v>0</v>
      </c>
      <c r="AC251" s="159">
        <f t="shared" si="93"/>
        <v>0</v>
      </c>
      <c r="AD251" s="159">
        <f t="shared" si="93"/>
        <v>0</v>
      </c>
      <c r="AE251" s="159">
        <f t="shared" si="93"/>
        <v>0</v>
      </c>
      <c r="AF251" s="159">
        <f t="shared" si="93"/>
        <v>0</v>
      </c>
      <c r="AG251" s="159">
        <f t="shared" si="93"/>
        <v>0</v>
      </c>
      <c r="AH251" s="159">
        <f t="shared" si="93"/>
        <v>0</v>
      </c>
      <c r="AI251" s="159">
        <f t="shared" si="93"/>
        <v>0</v>
      </c>
      <c r="AJ251" s="159">
        <f t="shared" si="93"/>
        <v>0</v>
      </c>
      <c r="AK251" s="159">
        <f t="shared" si="93"/>
        <v>0</v>
      </c>
      <c r="AL251" s="159">
        <f t="shared" si="93"/>
        <v>0</v>
      </c>
      <c r="AM251" s="159">
        <f t="shared" si="93"/>
        <v>0</v>
      </c>
      <c r="AN251" s="159">
        <f t="shared" si="93"/>
        <v>0</v>
      </c>
      <c r="AO251" s="159">
        <f t="shared" si="93"/>
        <v>0</v>
      </c>
      <c r="AP251" s="159">
        <f t="shared" si="93"/>
        <v>0</v>
      </c>
    </row>
    <row r="252" spans="1:42" x14ac:dyDescent="0.4">
      <c r="A252" s="21"/>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row>
    <row r="253" spans="1:42" x14ac:dyDescent="0.4">
      <c r="A253" s="80" t="s">
        <v>389</v>
      </c>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row>
    <row r="254" spans="1:42" x14ac:dyDescent="0.4">
      <c r="A254" s="19" t="s">
        <v>443</v>
      </c>
    </row>
    <row r="255" spans="1:42" x14ac:dyDescent="0.4">
      <c r="A255" s="86" t="s">
        <v>163</v>
      </c>
      <c r="B255" s="156">
        <f>total_installed_cost</f>
        <v>31916100</v>
      </c>
    </row>
    <row r="256" spans="1:42" x14ac:dyDescent="0.4">
      <c r="A256" s="86" t="s">
        <v>438</v>
      </c>
      <c r="B256" s="156">
        <f>cost_other_financing</f>
        <v>0</v>
      </c>
    </row>
    <row r="257" spans="1:17" x14ac:dyDescent="0.4">
      <c r="A257" s="86" t="s">
        <v>164</v>
      </c>
      <c r="B257" s="157">
        <f>construction_financing_cost</f>
        <v>718113</v>
      </c>
    </row>
    <row r="258" spans="1:17" x14ac:dyDescent="0.4">
      <c r="A258" s="17" t="s">
        <v>441</v>
      </c>
      <c r="B258" s="156">
        <f>SUM(B255:B257)</f>
        <v>32634213</v>
      </c>
    </row>
    <row r="259" spans="1:17" x14ac:dyDescent="0.4">
      <c r="A259" s="17" t="s">
        <v>442</v>
      </c>
      <c r="B259" s="156">
        <f>B258</f>
        <v>32634213</v>
      </c>
    </row>
    <row r="260" spans="1:17" x14ac:dyDescent="0.4">
      <c r="A260" s="86"/>
      <c r="B260" s="156"/>
    </row>
    <row r="261" spans="1:17" x14ac:dyDescent="0.4">
      <c r="A261" s="19" t="s">
        <v>415</v>
      </c>
    </row>
    <row r="262" spans="1:17" ht="15" customHeight="1" x14ac:dyDescent="0.4">
      <c r="A262" s="328" t="s">
        <v>408</v>
      </c>
      <c r="B262" s="337" t="s">
        <v>418</v>
      </c>
      <c r="C262" s="338"/>
      <c r="D262" s="337" t="s">
        <v>396</v>
      </c>
      <c r="E262" s="338"/>
      <c r="F262" s="339"/>
      <c r="G262" s="337" t="s">
        <v>405</v>
      </c>
      <c r="H262" s="338"/>
      <c r="I262" s="338"/>
      <c r="J262" s="339"/>
      <c r="K262" s="340" t="s">
        <v>398</v>
      </c>
      <c r="L262" s="341"/>
      <c r="M262" s="342" t="s">
        <v>400</v>
      </c>
      <c r="N262" s="344"/>
      <c r="O262" s="343"/>
      <c r="P262" s="321" t="s">
        <v>406</v>
      </c>
      <c r="Q262" s="335" t="s">
        <v>408</v>
      </c>
    </row>
    <row r="263" spans="1:17" ht="52.5" x14ac:dyDescent="0.4">
      <c r="A263" s="323" t="s">
        <v>404</v>
      </c>
      <c r="B263" s="226" t="s">
        <v>444</v>
      </c>
      <c r="C263" s="317" t="s">
        <v>395</v>
      </c>
      <c r="D263" s="226" t="s">
        <v>393</v>
      </c>
      <c r="E263" s="317" t="s">
        <v>394</v>
      </c>
      <c r="F263" s="317" t="s">
        <v>397</v>
      </c>
      <c r="G263" s="226" t="s">
        <v>45</v>
      </c>
      <c r="H263" s="317" t="s">
        <v>46</v>
      </c>
      <c r="I263" s="317" t="s">
        <v>399</v>
      </c>
      <c r="J263" s="317" t="s">
        <v>423</v>
      </c>
      <c r="K263" s="226" t="s">
        <v>47</v>
      </c>
      <c r="L263" s="317" t="s">
        <v>422</v>
      </c>
      <c r="M263" s="316" t="s">
        <v>403</v>
      </c>
      <c r="N263" s="318" t="s">
        <v>402</v>
      </c>
      <c r="O263" s="318" t="s">
        <v>401</v>
      </c>
      <c r="P263" s="322" t="s">
        <v>407</v>
      </c>
      <c r="Q263" s="336"/>
    </row>
    <row r="264" spans="1:17" x14ac:dyDescent="0.4">
      <c r="A264" s="325" t="str">
        <f>Inputs!B137</f>
        <v>5-yr MACRS</v>
      </c>
      <c r="B264" s="271">
        <f>IF(Inputs!$C$145=0,0,depr_alloc_macrs_5_percent*100/Inputs!$C$145)</f>
        <v>0</v>
      </c>
      <c r="C264" s="119">
        <f>$B$258*depr_alloc_macrs_5_percent/100</f>
        <v>0</v>
      </c>
      <c r="D264" s="123">
        <f t="shared" ref="D264:D270" si="94">$B264/100*($B$282+$B$288)</f>
        <v>0</v>
      </c>
      <c r="E264" s="119">
        <f t="shared" ref="E264:E270" si="95">$B264/100*$B$294</f>
        <v>0</v>
      </c>
      <c r="F264" s="128">
        <f>C264-D264-E264</f>
        <v>0</v>
      </c>
      <c r="G264" s="119">
        <f>IF(depr_itc_sta_macrs_5="Yes",F264,0)</f>
        <v>0</v>
      </c>
      <c r="H264" s="129">
        <f t="shared" ref="H264:H270" si="96">IF($G$271=0,0,G264/$G$271)*100</f>
        <v>0</v>
      </c>
      <c r="I264" s="119">
        <f t="shared" ref="I264:I270" si="97">SUM($C$544:$AP$544)*H264/100</f>
        <v>0</v>
      </c>
      <c r="J264" s="128">
        <f>I264*0.5</f>
        <v>0</v>
      </c>
      <c r="K264" s="123">
        <f t="shared" ref="K264:K270" si="98">H264/100*$K$271</f>
        <v>0</v>
      </c>
      <c r="L264" s="119">
        <f>K264*0.5</f>
        <v>0</v>
      </c>
      <c r="M264" s="122">
        <f>IF(itc_sta_amount_deprbas_sta="Yes",L264,0)+IF(itc_sta_percent_deprbas_sta="Yes",J264,0)</f>
        <v>0</v>
      </c>
      <c r="N264" s="125">
        <f t="shared" ref="N264:N269" si="99">IF(itc_fed_amount_deprbas_sta="Yes",L402,0)+IF(itc_fed_percent_deprbas_sta="Yes",J402,0)</f>
        <v>0</v>
      </c>
      <c r="O264" s="125">
        <f>F264-M264-N264</f>
        <v>0</v>
      </c>
      <c r="P264" s="127">
        <f>IF(depr_bonus_sta_macrs_5="Yes",O264*depr_bonus_sta/100,0)</f>
        <v>0</v>
      </c>
      <c r="Q264" s="126">
        <f>O264-P264</f>
        <v>0</v>
      </c>
    </row>
    <row r="265" spans="1:17" x14ac:dyDescent="0.4">
      <c r="A265" s="326" t="str">
        <f>Inputs!B138</f>
        <v>15-yr MACRS</v>
      </c>
      <c r="B265" s="271">
        <f>IF(Inputs!$C$145=0,0,depr_alloc_macrs_15_percent*100/Inputs!$C$145)</f>
        <v>0</v>
      </c>
      <c r="C265" s="119">
        <f>$B$258*depr_alloc_macrs_15_percent/100</f>
        <v>0</v>
      </c>
      <c r="D265" s="123">
        <f t="shared" si="94"/>
        <v>0</v>
      </c>
      <c r="E265" s="119">
        <f t="shared" si="95"/>
        <v>0</v>
      </c>
      <c r="F265" s="128">
        <f t="shared" ref="F265:F269" si="100">C265-D265-E265</f>
        <v>0</v>
      </c>
      <c r="G265" s="119">
        <f>IF(depr_itc_sta_macrs_15="Yes",F265,0)</f>
        <v>0</v>
      </c>
      <c r="H265" s="129">
        <f t="shared" si="96"/>
        <v>0</v>
      </c>
      <c r="I265" s="119">
        <f t="shared" si="97"/>
        <v>0</v>
      </c>
      <c r="J265" s="128">
        <f t="shared" ref="J265:J270" si="101">I265*0.5</f>
        <v>0</v>
      </c>
      <c r="K265" s="123">
        <f t="shared" si="98"/>
        <v>0</v>
      </c>
      <c r="L265" s="119">
        <f t="shared" ref="L265:L270" si="102">K265*0.5</f>
        <v>0</v>
      </c>
      <c r="M265" s="123">
        <f t="shared" ref="M265:M268" si="103">IF(itc_sta_amount_deprbas_sta="Yes",L265,0)+IF(itc_sta_percent_deprbas_sta="Yes",J265,0)</f>
        <v>0</v>
      </c>
      <c r="N265" s="119">
        <f t="shared" si="99"/>
        <v>0</v>
      </c>
      <c r="O265" s="119">
        <f t="shared" ref="O265:O268" si="104">F265-M265-N265</f>
        <v>0</v>
      </c>
      <c r="P265" s="121">
        <f>IF(depr_bonus_sta_macrs_15="Yes",O265*depr_bonus_sta/100,0)</f>
        <v>0</v>
      </c>
      <c r="Q265" s="128">
        <f t="shared" ref="Q265:Q268" si="105">O265-P265</f>
        <v>0</v>
      </c>
    </row>
    <row r="266" spans="1:17" x14ac:dyDescent="0.4">
      <c r="A266" s="326" t="str">
        <f>Inputs!B139</f>
        <v>5-yr SL</v>
      </c>
      <c r="B266" s="271">
        <f>IF(Inputs!$C$145=0,0,depr_alloc_sl_5_percent*100/Inputs!$C$145)</f>
        <v>0</v>
      </c>
      <c r="C266" s="119">
        <f>$B$258*depr_alloc_sl_5_percent/100</f>
        <v>0</v>
      </c>
      <c r="D266" s="123">
        <f t="shared" si="94"/>
        <v>0</v>
      </c>
      <c r="E266" s="119">
        <f t="shared" si="95"/>
        <v>0</v>
      </c>
      <c r="F266" s="128">
        <f t="shared" si="100"/>
        <v>0</v>
      </c>
      <c r="G266" s="119">
        <f>IF(depr_itc_sta_sl_5="Yes",F266,0)</f>
        <v>0</v>
      </c>
      <c r="H266" s="129">
        <f t="shared" si="96"/>
        <v>0</v>
      </c>
      <c r="I266" s="119">
        <f t="shared" si="97"/>
        <v>0</v>
      </c>
      <c r="J266" s="128">
        <f t="shared" si="101"/>
        <v>0</v>
      </c>
      <c r="K266" s="123">
        <f t="shared" si="98"/>
        <v>0</v>
      </c>
      <c r="L266" s="119">
        <f t="shared" si="102"/>
        <v>0</v>
      </c>
      <c r="M266" s="123">
        <f t="shared" si="103"/>
        <v>0</v>
      </c>
      <c r="N266" s="119">
        <f t="shared" si="99"/>
        <v>0</v>
      </c>
      <c r="O266" s="119">
        <f t="shared" si="104"/>
        <v>0</v>
      </c>
      <c r="P266" s="121">
        <f>IF(depr_bonus_sta_sl_5="Yes",O266*depr_bonus_sta/100,0)</f>
        <v>0</v>
      </c>
      <c r="Q266" s="128">
        <f t="shared" si="105"/>
        <v>0</v>
      </c>
    </row>
    <row r="267" spans="1:17" x14ac:dyDescent="0.4">
      <c r="A267" s="326" t="str">
        <f>Inputs!B140</f>
        <v>15-yr SL</v>
      </c>
      <c r="B267" s="271">
        <f>IF(Inputs!$C$145=0,0,depr_alloc_sl_15_percent*100/Inputs!$C$145)</f>
        <v>0</v>
      </c>
      <c r="C267" s="119">
        <f>$B$258*depr_alloc_sl_15_percent/100</f>
        <v>0</v>
      </c>
      <c r="D267" s="123">
        <f t="shared" si="94"/>
        <v>0</v>
      </c>
      <c r="E267" s="119">
        <f t="shared" si="95"/>
        <v>0</v>
      </c>
      <c r="F267" s="128">
        <f t="shared" si="100"/>
        <v>0</v>
      </c>
      <c r="G267" s="119">
        <f>IF(depr_itc_sta_sl_15="Yes",F267,0)</f>
        <v>0</v>
      </c>
      <c r="H267" s="129">
        <f t="shared" si="96"/>
        <v>0</v>
      </c>
      <c r="I267" s="119">
        <f t="shared" si="97"/>
        <v>0</v>
      </c>
      <c r="J267" s="128">
        <f t="shared" si="101"/>
        <v>0</v>
      </c>
      <c r="K267" s="123">
        <f t="shared" si="98"/>
        <v>0</v>
      </c>
      <c r="L267" s="119">
        <f t="shared" si="102"/>
        <v>0</v>
      </c>
      <c r="M267" s="123">
        <f t="shared" si="103"/>
        <v>0</v>
      </c>
      <c r="N267" s="119">
        <f t="shared" si="99"/>
        <v>0</v>
      </c>
      <c r="O267" s="119">
        <f t="shared" si="104"/>
        <v>0</v>
      </c>
      <c r="P267" s="121">
        <f>IF(depr_bonus_sta_sl_15="Yes",O267*depr_bonus_sta/100,0)</f>
        <v>0</v>
      </c>
      <c r="Q267" s="128">
        <f t="shared" si="105"/>
        <v>0</v>
      </c>
    </row>
    <row r="268" spans="1:17" x14ac:dyDescent="0.4">
      <c r="A268" s="326" t="str">
        <f>Inputs!B141</f>
        <v>20-yr SL</v>
      </c>
      <c r="B268" s="271">
        <f>IF(Inputs!$C$145=0,0,depr_alloc_sl_20_percent*100/Inputs!$C$145)</f>
        <v>0</v>
      </c>
      <c r="C268" s="119">
        <f>$B$258*depr_alloc_sl_20_percent/100</f>
        <v>0</v>
      </c>
      <c r="D268" s="123">
        <f t="shared" si="94"/>
        <v>0</v>
      </c>
      <c r="E268" s="119">
        <f t="shared" si="95"/>
        <v>0</v>
      </c>
      <c r="F268" s="128">
        <f t="shared" si="100"/>
        <v>0</v>
      </c>
      <c r="G268" s="119">
        <f>IF(depr_itc_sta_sl_20="Yes",F268,0)</f>
        <v>0</v>
      </c>
      <c r="H268" s="129">
        <f t="shared" si="96"/>
        <v>0</v>
      </c>
      <c r="I268" s="119">
        <f t="shared" si="97"/>
        <v>0</v>
      </c>
      <c r="J268" s="128">
        <f t="shared" si="101"/>
        <v>0</v>
      </c>
      <c r="K268" s="123">
        <f t="shared" si="98"/>
        <v>0</v>
      </c>
      <c r="L268" s="119">
        <f t="shared" si="102"/>
        <v>0</v>
      </c>
      <c r="M268" s="123">
        <f t="shared" si="103"/>
        <v>0</v>
      </c>
      <c r="N268" s="119">
        <f t="shared" si="99"/>
        <v>0</v>
      </c>
      <c r="O268" s="119">
        <f t="shared" si="104"/>
        <v>0</v>
      </c>
      <c r="P268" s="121">
        <f>IF(depr_bonus_sta_sl_20="Yes",O268*depr_bonus_sta/100,0)</f>
        <v>0</v>
      </c>
      <c r="Q268" s="128">
        <f t="shared" si="105"/>
        <v>0</v>
      </c>
    </row>
    <row r="269" spans="1:17" x14ac:dyDescent="0.4">
      <c r="A269" s="326" t="str">
        <f>Inputs!B142</f>
        <v>39-yr SL</v>
      </c>
      <c r="B269" s="271">
        <f>IF(Inputs!$C$145=0,0,depr_alloc_sl_39_percent*100/Inputs!$C$145)</f>
        <v>0</v>
      </c>
      <c r="C269" s="119">
        <f>$B$258*depr_alloc_sl_39_percent/100</f>
        <v>0</v>
      </c>
      <c r="D269" s="123">
        <f t="shared" si="94"/>
        <v>0</v>
      </c>
      <c r="E269" s="119">
        <f t="shared" si="95"/>
        <v>0</v>
      </c>
      <c r="F269" s="128">
        <f t="shared" si="100"/>
        <v>0</v>
      </c>
      <c r="G269" s="119">
        <f>IF(depr_itc_sta_sl_39="Yes",F269,0)</f>
        <v>0</v>
      </c>
      <c r="H269" s="129">
        <f t="shared" si="96"/>
        <v>0</v>
      </c>
      <c r="I269" s="119">
        <f t="shared" si="97"/>
        <v>0</v>
      </c>
      <c r="J269" s="128">
        <f t="shared" si="101"/>
        <v>0</v>
      </c>
      <c r="K269" s="123">
        <f t="shared" si="98"/>
        <v>0</v>
      </c>
      <c r="L269" s="119">
        <f t="shared" si="102"/>
        <v>0</v>
      </c>
      <c r="M269" s="123">
        <f>IF(itc_sta_amount_deprbas_sta="Yes",L269,0)+IF(itc_sta_percent_deprbas_sta="Yes",J269,0)</f>
        <v>0</v>
      </c>
      <c r="N269" s="119">
        <f t="shared" si="99"/>
        <v>0</v>
      </c>
      <c r="O269" s="119">
        <f>F269-M269-N269</f>
        <v>0</v>
      </c>
      <c r="P269" s="121">
        <f>IF(depr_bonus_sta_sl_39="Yes",O269*depr_bonus_sta/100,0)</f>
        <v>0</v>
      </c>
      <c r="Q269" s="128">
        <f>O269-P269</f>
        <v>0</v>
      </c>
    </row>
    <row r="270" spans="1:17" x14ac:dyDescent="0.4">
      <c r="A270" s="71" t="s">
        <v>286</v>
      </c>
      <c r="B270" s="324">
        <f>IF(Inputs!$C$145=0,0,depr_alloc_custom_percent*100/Inputs!$C$145)</f>
        <v>100</v>
      </c>
      <c r="C270" s="119">
        <f>$B$258*depr_alloc_custom_percent/100</f>
        <v>27739081.050000001</v>
      </c>
      <c r="D270" s="123">
        <f t="shared" si="94"/>
        <v>0</v>
      </c>
      <c r="E270" s="119">
        <f t="shared" si="95"/>
        <v>0</v>
      </c>
      <c r="F270" s="128">
        <f>C270-D270-E270</f>
        <v>27739081.050000001</v>
      </c>
      <c r="G270" s="119">
        <f>IF(depr_itc_sta_custom="Yes",F270,0)</f>
        <v>27739081.050000001</v>
      </c>
      <c r="H270" s="129">
        <f t="shared" si="96"/>
        <v>100</v>
      </c>
      <c r="I270" s="119">
        <f t="shared" si="97"/>
        <v>8321724.3150000013</v>
      </c>
      <c r="J270" s="128">
        <f t="shared" si="101"/>
        <v>4160862.1575000007</v>
      </c>
      <c r="K270" s="123">
        <f t="shared" si="98"/>
        <v>0</v>
      </c>
      <c r="L270" s="119">
        <f t="shared" si="102"/>
        <v>0</v>
      </c>
      <c r="M270" s="123">
        <f>IF(itc_sta_amount_deprbas_sta="Yes",L270,0)+IF(itc_sta_percent_deprbas_sta="Yes",J270,0)</f>
        <v>4160862.1575000007</v>
      </c>
      <c r="N270" s="119">
        <f>IF(itc_fed_amount_deprbas_sta="Yes",L408,0)+IF(itc_fed_percent_deprbas_sta="Yes",J408,0)</f>
        <v>0</v>
      </c>
      <c r="O270" s="119">
        <f>F270-M270-N270</f>
        <v>23578218.892499998</v>
      </c>
      <c r="P270" s="121">
        <f>IF(depr_bonus_sta_custom="Yes",O270*depr_bonus_sta/100,0)</f>
        <v>0</v>
      </c>
      <c r="Q270" s="128">
        <f>O270-P270</f>
        <v>23578218.892499998</v>
      </c>
    </row>
    <row r="271" spans="1:17" x14ac:dyDescent="0.4">
      <c r="A271" s="327" t="s">
        <v>13</v>
      </c>
      <c r="B271" s="208">
        <f t="shared" ref="B271:J271" si="106">SUM(B264:B270)</f>
        <v>100</v>
      </c>
      <c r="C271" s="136">
        <f t="shared" si="106"/>
        <v>27739081.050000001</v>
      </c>
      <c r="D271" s="134">
        <f t="shared" si="106"/>
        <v>0</v>
      </c>
      <c r="E271" s="319">
        <f t="shared" si="106"/>
        <v>0</v>
      </c>
      <c r="F271" s="137">
        <f t="shared" si="106"/>
        <v>27739081.050000001</v>
      </c>
      <c r="G271" s="319">
        <f t="shared" si="106"/>
        <v>27739081.050000001</v>
      </c>
      <c r="H271" s="130">
        <f t="shared" si="106"/>
        <v>100</v>
      </c>
      <c r="I271" s="130">
        <f t="shared" si="106"/>
        <v>8321724.3150000013</v>
      </c>
      <c r="J271" s="136">
        <f t="shared" si="106"/>
        <v>4160862.1575000007</v>
      </c>
      <c r="K271" s="134">
        <f>SUM(C541:AP541)</f>
        <v>0</v>
      </c>
      <c r="L271" s="319">
        <f t="shared" ref="L271:Q271" si="107">SUM(L264:L270)</f>
        <v>0</v>
      </c>
      <c r="M271" s="134">
        <f t="shared" si="107"/>
        <v>4160862.1575000007</v>
      </c>
      <c r="N271" s="319">
        <f t="shared" si="107"/>
        <v>0</v>
      </c>
      <c r="O271" s="319">
        <f t="shared" si="107"/>
        <v>23578218.892499998</v>
      </c>
      <c r="P271" s="315">
        <f t="shared" si="107"/>
        <v>0</v>
      </c>
      <c r="Q271" s="137">
        <f t="shared" si="107"/>
        <v>23578218.892499998</v>
      </c>
    </row>
    <row r="272" spans="1:17" x14ac:dyDescent="0.4">
      <c r="A272" s="21"/>
      <c r="B272" s="271"/>
      <c r="C272" s="119"/>
      <c r="D272" s="119"/>
      <c r="E272" s="119"/>
      <c r="F272" s="119"/>
      <c r="G272" s="119"/>
      <c r="H272" s="129"/>
      <c r="I272" s="119"/>
      <c r="J272" s="119"/>
      <c r="K272" s="119"/>
      <c r="L272" s="119"/>
      <c r="M272" s="119"/>
      <c r="N272" s="119"/>
      <c r="O272" s="119"/>
      <c r="P272" s="119"/>
      <c r="Q272" s="119"/>
    </row>
    <row r="273" spans="1:17" x14ac:dyDescent="0.4">
      <c r="A273" s="17" t="s">
        <v>420</v>
      </c>
      <c r="B273" s="332">
        <f>G271</f>
        <v>27739081.050000001</v>
      </c>
      <c r="C273" s="119"/>
      <c r="D273" s="119"/>
      <c r="E273" s="119"/>
      <c r="F273" s="119"/>
      <c r="G273" s="119"/>
      <c r="H273" s="129"/>
      <c r="I273" s="119"/>
      <c r="J273" s="119"/>
      <c r="K273" s="119"/>
      <c r="L273" s="119"/>
      <c r="M273" s="119"/>
      <c r="N273" s="119"/>
      <c r="O273" s="119"/>
      <c r="P273" s="119"/>
      <c r="Q273" s="119"/>
    </row>
    <row r="275" spans="1:17" x14ac:dyDescent="0.4">
      <c r="A275" s="4" t="s">
        <v>439</v>
      </c>
    </row>
    <row r="276" spans="1:17" x14ac:dyDescent="0.4">
      <c r="A276" s="86" t="str">
        <f t="shared" ref="A276:A287" si="108">A566</f>
        <v>Investment Based Incentive (IBI)</v>
      </c>
    </row>
    <row r="277" spans="1:17" x14ac:dyDescent="0.4">
      <c r="A277" s="21" t="str">
        <f t="shared" si="108"/>
        <v>As fixed amount</v>
      </c>
    </row>
    <row r="278" spans="1:17" x14ac:dyDescent="0.4">
      <c r="A278" s="87" t="str">
        <f t="shared" si="108"/>
        <v>Federal ($)</v>
      </c>
      <c r="B278" s="156">
        <f>IF(ibi_fed_amount_deprbas_sta="Yes",ibi_fed_amount,0)</f>
        <v>0</v>
      </c>
    </row>
    <row r="279" spans="1:17" x14ac:dyDescent="0.4">
      <c r="A279" s="87" t="str">
        <f t="shared" si="108"/>
        <v>State ($)</v>
      </c>
      <c r="B279" s="156">
        <f>IF(ibi_sta_amount_deprbas_sta="Yes",ibi_sta_amount,0)</f>
        <v>0</v>
      </c>
    </row>
    <row r="280" spans="1:17" x14ac:dyDescent="0.4">
      <c r="A280" s="87" t="str">
        <f t="shared" si="108"/>
        <v>Utility ($)</v>
      </c>
      <c r="B280" s="156">
        <f>IF(ibi_uti_amount_deprbas_sta="Yes",ibi_uti_amount,0)</f>
        <v>0</v>
      </c>
    </row>
    <row r="281" spans="1:17" x14ac:dyDescent="0.4">
      <c r="A281" s="87" t="str">
        <f t="shared" si="108"/>
        <v>Other ($)</v>
      </c>
      <c r="B281" s="157">
        <f>IF(ibi_oth_amount_deprbas_sta="Yes",ibi_oth_amount,0)</f>
        <v>0</v>
      </c>
    </row>
    <row r="282" spans="1:17" x14ac:dyDescent="0.4">
      <c r="A282" s="87" t="s">
        <v>391</v>
      </c>
      <c r="B282" s="156">
        <f>SUM(B278:B281)</f>
        <v>0</v>
      </c>
    </row>
    <row r="283" spans="1:17" x14ac:dyDescent="0.4">
      <c r="A283" s="21" t="str">
        <f t="shared" si="108"/>
        <v>As percentage</v>
      </c>
    </row>
    <row r="284" spans="1:17" x14ac:dyDescent="0.4">
      <c r="A284" s="87" t="str">
        <f t="shared" si="108"/>
        <v>Federal (% of total installed cost)</v>
      </c>
      <c r="B284" s="156">
        <f>IF(ibi_fed_percent_deprbas_sta="Yes",C574,0)</f>
        <v>0</v>
      </c>
    </row>
    <row r="285" spans="1:17" x14ac:dyDescent="0.4">
      <c r="A285" s="87" t="str">
        <f t="shared" si="108"/>
        <v>State (% of total installed cost)</v>
      </c>
      <c r="B285" s="156">
        <f>IF(ibi_sta_percent_deprbas_sta="Yes",C575,0)</f>
        <v>0</v>
      </c>
    </row>
    <row r="286" spans="1:17" x14ac:dyDescent="0.4">
      <c r="A286" s="87" t="str">
        <f t="shared" si="108"/>
        <v>Utility (% of total installed cost)</v>
      </c>
      <c r="B286" s="156">
        <f>IF(ibi_uti_percent_deprbas_sta="Yes",C576,0)</f>
        <v>0</v>
      </c>
    </row>
    <row r="287" spans="1:17" x14ac:dyDescent="0.4">
      <c r="A287" s="87" t="str">
        <f t="shared" si="108"/>
        <v>Other (% of total installed cost)</v>
      </c>
      <c r="B287" s="157">
        <f>IF(ibi_oth_percent_deprbas_sta="Yes",C577,0)</f>
        <v>0</v>
      </c>
    </row>
    <row r="288" spans="1:17" x14ac:dyDescent="0.4">
      <c r="A288" s="87" t="s">
        <v>390</v>
      </c>
      <c r="B288" s="156">
        <f>SUM(B284:B287)</f>
        <v>0</v>
      </c>
    </row>
    <row r="289" spans="1:42" x14ac:dyDescent="0.4">
      <c r="A289" s="86" t="str">
        <f t="shared" ref="A289:A293" si="109">A580</f>
        <v>Capacity Based Incentive (CBI)</v>
      </c>
    </row>
    <row r="290" spans="1:42" x14ac:dyDescent="0.4">
      <c r="A290" s="21" t="str">
        <f t="shared" si="109"/>
        <v>Federal ($/W)</v>
      </c>
      <c r="B290" s="156">
        <f>IF(cbi_fed_deprbas_sta="Yes",C581,0)</f>
        <v>0</v>
      </c>
    </row>
    <row r="291" spans="1:42" x14ac:dyDescent="0.4">
      <c r="A291" s="21" t="str">
        <f t="shared" si="109"/>
        <v>State ($/W)</v>
      </c>
      <c r="B291" s="156">
        <f>IF(cbi_sta_deprbas_sta="Yes",C582,0)</f>
        <v>0</v>
      </c>
    </row>
    <row r="292" spans="1:42" x14ac:dyDescent="0.4">
      <c r="A292" s="21" t="str">
        <f t="shared" si="109"/>
        <v>Utility ($/W)</v>
      </c>
      <c r="B292" s="156">
        <f>IF(cbi_uti_deprbas_sta="Yes",C583,0)</f>
        <v>0</v>
      </c>
    </row>
    <row r="293" spans="1:42" x14ac:dyDescent="0.4">
      <c r="A293" s="21" t="str">
        <f t="shared" si="109"/>
        <v>Other ($/W)</v>
      </c>
      <c r="B293" s="156">
        <f>IF(cbi_oth_deprbas_sta="Yes",C584,0)</f>
        <v>0</v>
      </c>
    </row>
    <row r="294" spans="1:42" x14ac:dyDescent="0.4">
      <c r="A294" s="21" t="s">
        <v>392</v>
      </c>
      <c r="B294" s="320">
        <f>SUM(B290:B293)</f>
        <v>0</v>
      </c>
    </row>
    <row r="296" spans="1:42" x14ac:dyDescent="0.4">
      <c r="A296" s="4" t="s">
        <v>56</v>
      </c>
    </row>
    <row r="297" spans="1:42" x14ac:dyDescent="0.4">
      <c r="A297" s="86" t="s">
        <v>409</v>
      </c>
    </row>
    <row r="298" spans="1:42" x14ac:dyDescent="0.4">
      <c r="A298" s="21" t="s">
        <v>43</v>
      </c>
    </row>
    <row r="299" spans="1:42" x14ac:dyDescent="0.4">
      <c r="A299" s="22" t="str">
        <f t="shared" ref="A299:A304" si="110">A264</f>
        <v>5-yr MACRS</v>
      </c>
      <c r="B299" s="164" cm="1">
        <f t="array" ref="B299">SUM(IF(ISNUMBER(C299:AP299),C299:AP299))</f>
        <v>100</v>
      </c>
      <c r="C299" s="165">
        <f>LOOKUP(C$2,'Depreciation Schedules'!$A$3:$A$42,'Depreciation Schedules'!$B$3:$B$42)</f>
        <v>20</v>
      </c>
      <c r="D299" s="165">
        <f>LOOKUP(D$2,'Depreciation Schedules'!$A$3:$A$42,'Depreciation Schedules'!$B$3:$B$42)</f>
        <v>32</v>
      </c>
      <c r="E299" s="165">
        <f>LOOKUP(E$2,'Depreciation Schedules'!$A$3:$A$42,'Depreciation Schedules'!$B$3:$B$42)</f>
        <v>19.2</v>
      </c>
      <c r="F299" s="165">
        <f>LOOKUP(F$2,'Depreciation Schedules'!$A$3:$A$42,'Depreciation Schedules'!$B$3:$B$42)</f>
        <v>11.52</v>
      </c>
      <c r="G299" s="165">
        <f>LOOKUP(G$2,'Depreciation Schedules'!$A$3:$A$42,'Depreciation Schedules'!$B$3:$B$42)</f>
        <v>11.52</v>
      </c>
      <c r="H299" s="165">
        <f>LOOKUP(H$2,'Depreciation Schedules'!$A$3:$A$42,'Depreciation Schedules'!$B$3:$B$42)</f>
        <v>5.76</v>
      </c>
      <c r="I299" s="165">
        <f>LOOKUP(I$2,'Depreciation Schedules'!$A$3:$A$42,'Depreciation Schedules'!$B$3:$B$42)</f>
        <v>0</v>
      </c>
      <c r="J299" s="165">
        <f>LOOKUP(J$2,'Depreciation Schedules'!$A$3:$A$42,'Depreciation Schedules'!$B$3:$B$42)</f>
        <v>0</v>
      </c>
      <c r="K299" s="165">
        <f>LOOKUP(K$2,'Depreciation Schedules'!$A$3:$A$42,'Depreciation Schedules'!$B$3:$B$42)</f>
        <v>0</v>
      </c>
      <c r="L299" s="165">
        <f>LOOKUP(L$2,'Depreciation Schedules'!$A$3:$A$42,'Depreciation Schedules'!$B$3:$B$42)</f>
        <v>0</v>
      </c>
      <c r="M299" s="165">
        <f>LOOKUP(M$2,'Depreciation Schedules'!$A$3:$A$42,'Depreciation Schedules'!$B$3:$B$42)</f>
        <v>0</v>
      </c>
      <c r="N299" s="165">
        <f>LOOKUP(N$2,'Depreciation Schedules'!$A$3:$A$42,'Depreciation Schedules'!$B$3:$B$42)</f>
        <v>0</v>
      </c>
      <c r="O299" s="165">
        <f>LOOKUP(O$2,'Depreciation Schedules'!$A$3:$A$42,'Depreciation Schedules'!$B$3:$B$42)</f>
        <v>0</v>
      </c>
      <c r="P299" s="165">
        <f>LOOKUP(P$2,'Depreciation Schedules'!$A$3:$A$42,'Depreciation Schedules'!$B$3:$B$42)</f>
        <v>0</v>
      </c>
      <c r="Q299" s="165">
        <f>LOOKUP(Q$2,'Depreciation Schedules'!$A$3:$A$42,'Depreciation Schedules'!$B$3:$B$42)</f>
        <v>0</v>
      </c>
      <c r="R299" s="165">
        <f>LOOKUP(R$2,'Depreciation Schedules'!$A$3:$A$42,'Depreciation Schedules'!$B$3:$B$42)</f>
        <v>0</v>
      </c>
      <c r="S299" s="165">
        <f>LOOKUP(S$2,'Depreciation Schedules'!$A$3:$A$42,'Depreciation Schedules'!$B$3:$B$42)</f>
        <v>0</v>
      </c>
      <c r="T299" s="165">
        <f>LOOKUP(T$2,'Depreciation Schedules'!$A$3:$A$42,'Depreciation Schedules'!$B$3:$B$42)</f>
        <v>0</v>
      </c>
      <c r="U299" s="165">
        <f>LOOKUP(U$2,'Depreciation Schedules'!$A$3:$A$42,'Depreciation Schedules'!$B$3:$B$42)</f>
        <v>0</v>
      </c>
      <c r="V299" s="165">
        <f>LOOKUP(V$2,'Depreciation Schedules'!$A$3:$A$42,'Depreciation Schedules'!$B$3:$B$42)</f>
        <v>0</v>
      </c>
      <c r="W299" s="165">
        <f>LOOKUP(W$2,'Depreciation Schedules'!$A$3:$A$42,'Depreciation Schedules'!$B$3:$B$42)</f>
        <v>0</v>
      </c>
      <c r="X299" s="165">
        <f>LOOKUP(X$2,'Depreciation Schedules'!$A$3:$A$42,'Depreciation Schedules'!$B$3:$B$42)</f>
        <v>0</v>
      </c>
      <c r="Y299" s="165">
        <f>LOOKUP(Y$2,'Depreciation Schedules'!$A$3:$A$42,'Depreciation Schedules'!$B$3:$B$42)</f>
        <v>0</v>
      </c>
      <c r="Z299" s="165">
        <f>LOOKUP(Z$2,'Depreciation Schedules'!$A$3:$A$42,'Depreciation Schedules'!$B$3:$B$42)</f>
        <v>0</v>
      </c>
      <c r="AA299" s="165">
        <f>LOOKUP(AA$2,'Depreciation Schedules'!$A$3:$A$42,'Depreciation Schedules'!$B$3:$B$42)</f>
        <v>0</v>
      </c>
      <c r="AB299" s="165" t="e">
        <f>LOOKUP(AB$2,'Depreciation Schedules'!$A$3:$A$42,'Depreciation Schedules'!$B$3:$B$42)</f>
        <v>#N/A</v>
      </c>
      <c r="AC299" s="165" t="e">
        <f>LOOKUP(AC$2,'Depreciation Schedules'!$A$3:$A$42,'Depreciation Schedules'!$B$3:$B$42)</f>
        <v>#N/A</v>
      </c>
      <c r="AD299" s="165" t="e">
        <f>LOOKUP(AD$2,'Depreciation Schedules'!$A$3:$A$42,'Depreciation Schedules'!$B$3:$B$42)</f>
        <v>#N/A</v>
      </c>
      <c r="AE299" s="165" t="e">
        <f>LOOKUP(AE$2,'Depreciation Schedules'!$A$3:$A$42,'Depreciation Schedules'!$B$3:$B$42)</f>
        <v>#N/A</v>
      </c>
      <c r="AF299" s="165" t="e">
        <f>LOOKUP(AF$2,'Depreciation Schedules'!$A$3:$A$42,'Depreciation Schedules'!$B$3:$B$42)</f>
        <v>#N/A</v>
      </c>
      <c r="AG299" s="165" t="e">
        <f>LOOKUP(AG$2,'Depreciation Schedules'!$A$3:$A$42,'Depreciation Schedules'!$B$3:$B$42)</f>
        <v>#N/A</v>
      </c>
      <c r="AH299" s="165" t="e">
        <f>LOOKUP(AH$2,'Depreciation Schedules'!$A$3:$A$42,'Depreciation Schedules'!$B$3:$B$42)</f>
        <v>#N/A</v>
      </c>
      <c r="AI299" s="165" t="e">
        <f>LOOKUP(AI$2,'Depreciation Schedules'!$A$3:$A$42,'Depreciation Schedules'!$B$3:$B$42)</f>
        <v>#N/A</v>
      </c>
      <c r="AJ299" s="165" t="e">
        <f>LOOKUP(AJ$2,'Depreciation Schedules'!$A$3:$A$42,'Depreciation Schedules'!$B$3:$B$42)</f>
        <v>#N/A</v>
      </c>
      <c r="AK299" s="165" t="e">
        <f>LOOKUP(AK$2,'Depreciation Schedules'!$A$3:$A$42,'Depreciation Schedules'!$B$3:$B$42)</f>
        <v>#N/A</v>
      </c>
      <c r="AL299" s="165" t="e">
        <f>LOOKUP(AL$2,'Depreciation Schedules'!$A$3:$A$42,'Depreciation Schedules'!$B$3:$B$42)</f>
        <v>#N/A</v>
      </c>
      <c r="AM299" s="165" t="e">
        <f>LOOKUP(AM$2,'Depreciation Schedules'!$A$3:$A$42,'Depreciation Schedules'!$B$3:$B$42)</f>
        <v>#N/A</v>
      </c>
      <c r="AN299" s="165" t="e">
        <f>LOOKUP(AN$2,'Depreciation Schedules'!$A$3:$A$42,'Depreciation Schedules'!$B$3:$B$42)</f>
        <v>#N/A</v>
      </c>
      <c r="AO299" s="165" t="e">
        <f>LOOKUP(AO$2,'Depreciation Schedules'!$A$3:$A$42,'Depreciation Schedules'!$B$3:$B$42)</f>
        <v>#N/A</v>
      </c>
      <c r="AP299" s="165" t="e">
        <f>LOOKUP(AP$2,'Depreciation Schedules'!$A$3:$A$42,'Depreciation Schedules'!$B$3:$B$42)</f>
        <v>#N/A</v>
      </c>
    </row>
    <row r="300" spans="1:42" x14ac:dyDescent="0.4">
      <c r="A300" s="22" t="str">
        <f t="shared" si="110"/>
        <v>15-yr MACRS</v>
      </c>
      <c r="B300" s="164" cm="1">
        <f t="array" ref="B300">SUM(IF(ISNUMBER(C300:AP300),C300:AP300))</f>
        <v>99.990000000000009</v>
      </c>
      <c r="C300" s="165">
        <f>LOOKUP(C$2,'Depreciation Schedules'!$A$3:$A$42,'Depreciation Schedules'!$C$3:$C$42)</f>
        <v>5</v>
      </c>
      <c r="D300" s="165">
        <f>LOOKUP(D$2,'Depreciation Schedules'!$A$3:$A$42,'Depreciation Schedules'!$C$3:$C$42)</f>
        <v>9.5</v>
      </c>
      <c r="E300" s="165">
        <f>LOOKUP(E$2,'Depreciation Schedules'!$A$3:$A$42,'Depreciation Schedules'!$C$3:$C$42)</f>
        <v>8.5500000000000007</v>
      </c>
      <c r="F300" s="165">
        <f>LOOKUP(F$2,'Depreciation Schedules'!$A$3:$A$42,'Depreciation Schedules'!$C$3:$C$42)</f>
        <v>7.7</v>
      </c>
      <c r="G300" s="165">
        <f>LOOKUP(G$2,'Depreciation Schedules'!$A$3:$A$42,'Depreciation Schedules'!$C$3:$C$42)</f>
        <v>6.93</v>
      </c>
      <c r="H300" s="165">
        <f>LOOKUP(H$2,'Depreciation Schedules'!$A$3:$A$42,'Depreciation Schedules'!$C$3:$C$42)</f>
        <v>6.23</v>
      </c>
      <c r="I300" s="165">
        <f>LOOKUP(I$2,'Depreciation Schedules'!$A$3:$A$42,'Depreciation Schedules'!$C$3:$C$42)</f>
        <v>5.9</v>
      </c>
      <c r="J300" s="165">
        <f>LOOKUP(J$2,'Depreciation Schedules'!$A$3:$A$42,'Depreciation Schedules'!$C$3:$C$42)</f>
        <v>5.9</v>
      </c>
      <c r="K300" s="165">
        <f>LOOKUP(K$2,'Depreciation Schedules'!$A$3:$A$42,'Depreciation Schedules'!$C$3:$C$42)</f>
        <v>5.91</v>
      </c>
      <c r="L300" s="165">
        <f>LOOKUP(L$2,'Depreciation Schedules'!$A$3:$A$42,'Depreciation Schedules'!$C$3:$C$42)</f>
        <v>5.9</v>
      </c>
      <c r="M300" s="165">
        <f>LOOKUP(M$2,'Depreciation Schedules'!$A$3:$A$42,'Depreciation Schedules'!$C$3:$C$42)</f>
        <v>5.91</v>
      </c>
      <c r="N300" s="165">
        <f>LOOKUP(N$2,'Depreciation Schedules'!$A$3:$A$42,'Depreciation Schedules'!$C$3:$C$42)</f>
        <v>5.9</v>
      </c>
      <c r="O300" s="165">
        <f>LOOKUP(O$2,'Depreciation Schedules'!$A$3:$A$42,'Depreciation Schedules'!$C$3:$C$42)</f>
        <v>5.91</v>
      </c>
      <c r="P300" s="165">
        <f>LOOKUP(P$2,'Depreciation Schedules'!$A$3:$A$42,'Depreciation Schedules'!$C$3:$C$42)</f>
        <v>5.9</v>
      </c>
      <c r="Q300" s="165">
        <f>LOOKUP(Q$2,'Depreciation Schedules'!$A$3:$A$42,'Depreciation Schedules'!$C$3:$C$42)</f>
        <v>5.9</v>
      </c>
      <c r="R300" s="165">
        <f>LOOKUP(R$2,'Depreciation Schedules'!$A$3:$A$42,'Depreciation Schedules'!$C$3:$C$42)</f>
        <v>2.95</v>
      </c>
      <c r="S300" s="165">
        <f>LOOKUP(S$2,'Depreciation Schedules'!$A$3:$A$42,'Depreciation Schedules'!$C$3:$C$42)</f>
        <v>0</v>
      </c>
      <c r="T300" s="165">
        <f>LOOKUP(T$2,'Depreciation Schedules'!$A$3:$A$42,'Depreciation Schedules'!$C$3:$C$42)</f>
        <v>0</v>
      </c>
      <c r="U300" s="165">
        <f>LOOKUP(U$2,'Depreciation Schedules'!$A$3:$A$42,'Depreciation Schedules'!$C$3:$C$42)</f>
        <v>0</v>
      </c>
      <c r="V300" s="165">
        <f>LOOKUP(V$2,'Depreciation Schedules'!$A$3:$A$42,'Depreciation Schedules'!$C$3:$C$42)</f>
        <v>0</v>
      </c>
      <c r="W300" s="165">
        <f>LOOKUP(W$2,'Depreciation Schedules'!$A$3:$A$42,'Depreciation Schedules'!$C$3:$C$42)</f>
        <v>0</v>
      </c>
      <c r="X300" s="165">
        <f>LOOKUP(X$2,'Depreciation Schedules'!$A$3:$A$42,'Depreciation Schedules'!$C$3:$C$42)</f>
        <v>0</v>
      </c>
      <c r="Y300" s="165">
        <f>LOOKUP(Y$2,'Depreciation Schedules'!$A$3:$A$42,'Depreciation Schedules'!$C$3:$C$42)</f>
        <v>0</v>
      </c>
      <c r="Z300" s="165">
        <f>LOOKUP(Z$2,'Depreciation Schedules'!$A$3:$A$42,'Depreciation Schedules'!$C$3:$C$42)</f>
        <v>0</v>
      </c>
      <c r="AA300" s="165">
        <f>LOOKUP(AA$2,'Depreciation Schedules'!$A$3:$A$42,'Depreciation Schedules'!$C$3:$C$42)</f>
        <v>0</v>
      </c>
      <c r="AB300" s="165" t="e">
        <f>LOOKUP(AB$2,'Depreciation Schedules'!$A$3:$A$42,'Depreciation Schedules'!$C$3:$C$42)</f>
        <v>#N/A</v>
      </c>
      <c r="AC300" s="165" t="e">
        <f>LOOKUP(AC$2,'Depreciation Schedules'!$A$3:$A$42,'Depreciation Schedules'!$C$3:$C$42)</f>
        <v>#N/A</v>
      </c>
      <c r="AD300" s="165" t="e">
        <f>LOOKUP(AD$2,'Depreciation Schedules'!$A$3:$A$42,'Depreciation Schedules'!$C$3:$C$42)</f>
        <v>#N/A</v>
      </c>
      <c r="AE300" s="165" t="e">
        <f>LOOKUP(AE$2,'Depreciation Schedules'!$A$3:$A$42,'Depreciation Schedules'!$C$3:$C$42)</f>
        <v>#N/A</v>
      </c>
      <c r="AF300" s="165" t="e">
        <f>LOOKUP(AF$2,'Depreciation Schedules'!$A$3:$A$42,'Depreciation Schedules'!$C$3:$C$42)</f>
        <v>#N/A</v>
      </c>
      <c r="AG300" s="165" t="e">
        <f>LOOKUP(AG$2,'Depreciation Schedules'!$A$3:$A$42,'Depreciation Schedules'!$C$3:$C$42)</f>
        <v>#N/A</v>
      </c>
      <c r="AH300" s="165" t="e">
        <f>LOOKUP(AH$2,'Depreciation Schedules'!$A$3:$A$42,'Depreciation Schedules'!$C$3:$C$42)</f>
        <v>#N/A</v>
      </c>
      <c r="AI300" s="165" t="e">
        <f>LOOKUP(AI$2,'Depreciation Schedules'!$A$3:$A$42,'Depreciation Schedules'!$C$3:$C$42)</f>
        <v>#N/A</v>
      </c>
      <c r="AJ300" s="165" t="e">
        <f>LOOKUP(AJ$2,'Depreciation Schedules'!$A$3:$A$42,'Depreciation Schedules'!$C$3:$C$42)</f>
        <v>#N/A</v>
      </c>
      <c r="AK300" s="165" t="e">
        <f>LOOKUP(AK$2,'Depreciation Schedules'!$A$3:$A$42,'Depreciation Schedules'!$C$3:$C$42)</f>
        <v>#N/A</v>
      </c>
      <c r="AL300" s="165" t="e">
        <f>LOOKUP(AL$2,'Depreciation Schedules'!$A$3:$A$42,'Depreciation Schedules'!$C$3:$C$42)</f>
        <v>#N/A</v>
      </c>
      <c r="AM300" s="165" t="e">
        <f>LOOKUP(AM$2,'Depreciation Schedules'!$A$3:$A$42,'Depreciation Schedules'!$C$3:$C$42)</f>
        <v>#N/A</v>
      </c>
      <c r="AN300" s="165" t="e">
        <f>LOOKUP(AN$2,'Depreciation Schedules'!$A$3:$A$42,'Depreciation Schedules'!$C$3:$C$42)</f>
        <v>#N/A</v>
      </c>
      <c r="AO300" s="165" t="e">
        <f>LOOKUP(AO$2,'Depreciation Schedules'!$A$3:$A$42,'Depreciation Schedules'!$C$3:$C$42)</f>
        <v>#N/A</v>
      </c>
      <c r="AP300" s="165" t="e">
        <f>LOOKUP(AP$2,'Depreciation Schedules'!$A$3:$A$42,'Depreciation Schedules'!$C$3:$C$42)</f>
        <v>#N/A</v>
      </c>
    </row>
    <row r="301" spans="1:42" x14ac:dyDescent="0.4">
      <c r="A301" s="22" t="str">
        <f t="shared" si="110"/>
        <v>5-yr SL</v>
      </c>
      <c r="B301" s="164" cm="1">
        <f t="array" ref="B301">SUM(IF(ISNUMBER(C301:AP301),C301:AP301))</f>
        <v>100</v>
      </c>
      <c r="C301" s="165">
        <f>LOOKUP(C$2,'Depreciation Schedules'!$A$3:$A$42,'Depreciation Schedules'!$D$3:$D$42)</f>
        <v>10</v>
      </c>
      <c r="D301" s="165">
        <f>LOOKUP(D$2,'Depreciation Schedules'!$A$3:$A$42,'Depreciation Schedules'!$D$3:$D$42)</f>
        <v>20</v>
      </c>
      <c r="E301" s="165">
        <f>LOOKUP(E$2,'Depreciation Schedules'!$A$3:$A$42,'Depreciation Schedules'!$D$3:$D$42)</f>
        <v>20</v>
      </c>
      <c r="F301" s="165">
        <f>LOOKUP(F$2,'Depreciation Schedules'!$A$3:$A$42,'Depreciation Schedules'!$D$3:$D$42)</f>
        <v>20</v>
      </c>
      <c r="G301" s="165">
        <f>LOOKUP(G$2,'Depreciation Schedules'!$A$3:$A$42,'Depreciation Schedules'!$D$3:$D$42)</f>
        <v>20</v>
      </c>
      <c r="H301" s="165">
        <f>LOOKUP(H$2,'Depreciation Schedules'!$A$3:$A$42,'Depreciation Schedules'!$D$3:$D$42)</f>
        <v>10</v>
      </c>
      <c r="I301" s="165">
        <f>LOOKUP(I$2,'Depreciation Schedules'!$A$3:$A$42,'Depreciation Schedules'!$D$3:$D$42)</f>
        <v>0</v>
      </c>
      <c r="J301" s="165">
        <f>LOOKUP(J$2,'Depreciation Schedules'!$A$3:$A$42,'Depreciation Schedules'!$D$3:$D$42)</f>
        <v>0</v>
      </c>
      <c r="K301" s="165">
        <f>LOOKUP(K$2,'Depreciation Schedules'!$A$3:$A$42,'Depreciation Schedules'!$D$3:$D$42)</f>
        <v>0</v>
      </c>
      <c r="L301" s="165">
        <f>LOOKUP(L$2,'Depreciation Schedules'!$A$3:$A$42,'Depreciation Schedules'!$D$3:$D$42)</f>
        <v>0</v>
      </c>
      <c r="M301" s="165">
        <f>LOOKUP(M$2,'Depreciation Schedules'!$A$3:$A$42,'Depreciation Schedules'!$D$3:$D$42)</f>
        <v>0</v>
      </c>
      <c r="N301" s="165">
        <f>LOOKUP(N$2,'Depreciation Schedules'!$A$3:$A$42,'Depreciation Schedules'!$D$3:$D$42)</f>
        <v>0</v>
      </c>
      <c r="O301" s="165">
        <f>LOOKUP(O$2,'Depreciation Schedules'!$A$3:$A$42,'Depreciation Schedules'!$D$3:$D$42)</f>
        <v>0</v>
      </c>
      <c r="P301" s="165">
        <f>LOOKUP(P$2,'Depreciation Schedules'!$A$3:$A$42,'Depreciation Schedules'!$D$3:$D$42)</f>
        <v>0</v>
      </c>
      <c r="Q301" s="165">
        <f>LOOKUP(Q$2,'Depreciation Schedules'!$A$3:$A$42,'Depreciation Schedules'!$D$3:$D$42)</f>
        <v>0</v>
      </c>
      <c r="R301" s="165">
        <f>LOOKUP(R$2,'Depreciation Schedules'!$A$3:$A$42,'Depreciation Schedules'!$D$3:$D$42)</f>
        <v>0</v>
      </c>
      <c r="S301" s="165">
        <f>LOOKUP(S$2,'Depreciation Schedules'!$A$3:$A$42,'Depreciation Schedules'!$D$3:$D$42)</f>
        <v>0</v>
      </c>
      <c r="T301" s="165">
        <f>LOOKUP(T$2,'Depreciation Schedules'!$A$3:$A$42,'Depreciation Schedules'!$D$3:$D$42)</f>
        <v>0</v>
      </c>
      <c r="U301" s="165">
        <f>LOOKUP(U$2,'Depreciation Schedules'!$A$3:$A$42,'Depreciation Schedules'!$D$3:$D$42)</f>
        <v>0</v>
      </c>
      <c r="V301" s="165">
        <f>LOOKUP(V$2,'Depreciation Schedules'!$A$3:$A$42,'Depreciation Schedules'!$D$3:$D$42)</f>
        <v>0</v>
      </c>
      <c r="W301" s="165">
        <f>LOOKUP(W$2,'Depreciation Schedules'!$A$3:$A$42,'Depreciation Schedules'!$D$3:$D$42)</f>
        <v>0</v>
      </c>
      <c r="X301" s="165">
        <f>LOOKUP(X$2,'Depreciation Schedules'!$A$3:$A$42,'Depreciation Schedules'!$D$3:$D$42)</f>
        <v>0</v>
      </c>
      <c r="Y301" s="165">
        <f>LOOKUP(Y$2,'Depreciation Schedules'!$A$3:$A$42,'Depreciation Schedules'!$D$3:$D$42)</f>
        <v>0</v>
      </c>
      <c r="Z301" s="165">
        <f>LOOKUP(Z$2,'Depreciation Schedules'!$A$3:$A$42,'Depreciation Schedules'!$D$3:$D$42)</f>
        <v>0</v>
      </c>
      <c r="AA301" s="165">
        <f>LOOKUP(AA$2,'Depreciation Schedules'!$A$3:$A$42,'Depreciation Schedules'!$D$3:$D$42)</f>
        <v>0</v>
      </c>
      <c r="AB301" s="165" t="e">
        <f>LOOKUP(AB$2,'Depreciation Schedules'!$A$3:$A$42,'Depreciation Schedules'!$D$3:$D$42)</f>
        <v>#N/A</v>
      </c>
      <c r="AC301" s="165" t="e">
        <f>LOOKUP(AC$2,'Depreciation Schedules'!$A$3:$A$42,'Depreciation Schedules'!$D$3:$D$42)</f>
        <v>#N/A</v>
      </c>
      <c r="AD301" s="165" t="e">
        <f>LOOKUP(AD$2,'Depreciation Schedules'!$A$3:$A$42,'Depreciation Schedules'!$D$3:$D$42)</f>
        <v>#N/A</v>
      </c>
      <c r="AE301" s="165" t="e">
        <f>LOOKUP(AE$2,'Depreciation Schedules'!$A$3:$A$42,'Depreciation Schedules'!$D$3:$D$42)</f>
        <v>#N/A</v>
      </c>
      <c r="AF301" s="165" t="e">
        <f>LOOKUP(AF$2,'Depreciation Schedules'!$A$3:$A$42,'Depreciation Schedules'!$D$3:$D$42)</f>
        <v>#N/A</v>
      </c>
      <c r="AG301" s="165" t="e">
        <f>LOOKUP(AG$2,'Depreciation Schedules'!$A$3:$A$42,'Depreciation Schedules'!$D$3:$D$42)</f>
        <v>#N/A</v>
      </c>
      <c r="AH301" s="165" t="e">
        <f>LOOKUP(AH$2,'Depreciation Schedules'!$A$3:$A$42,'Depreciation Schedules'!$D$3:$D$42)</f>
        <v>#N/A</v>
      </c>
      <c r="AI301" s="165" t="e">
        <f>LOOKUP(AI$2,'Depreciation Schedules'!$A$3:$A$42,'Depreciation Schedules'!$D$3:$D$42)</f>
        <v>#N/A</v>
      </c>
      <c r="AJ301" s="165" t="e">
        <f>LOOKUP(AJ$2,'Depreciation Schedules'!$A$3:$A$42,'Depreciation Schedules'!$D$3:$D$42)</f>
        <v>#N/A</v>
      </c>
      <c r="AK301" s="165" t="e">
        <f>LOOKUP(AK$2,'Depreciation Schedules'!$A$3:$A$42,'Depreciation Schedules'!$D$3:$D$42)</f>
        <v>#N/A</v>
      </c>
      <c r="AL301" s="165" t="e">
        <f>LOOKUP(AL$2,'Depreciation Schedules'!$A$3:$A$42,'Depreciation Schedules'!$D$3:$D$42)</f>
        <v>#N/A</v>
      </c>
      <c r="AM301" s="165" t="e">
        <f>LOOKUP(AM$2,'Depreciation Schedules'!$A$3:$A$42,'Depreciation Schedules'!$D$3:$D$42)</f>
        <v>#N/A</v>
      </c>
      <c r="AN301" s="165" t="e">
        <f>LOOKUP(AN$2,'Depreciation Schedules'!$A$3:$A$42,'Depreciation Schedules'!$D$3:$D$42)</f>
        <v>#N/A</v>
      </c>
      <c r="AO301" s="165" t="e">
        <f>LOOKUP(AO$2,'Depreciation Schedules'!$A$3:$A$42,'Depreciation Schedules'!$D$3:$D$42)</f>
        <v>#N/A</v>
      </c>
      <c r="AP301" s="165" t="e">
        <f>LOOKUP(AP$2,'Depreciation Schedules'!$A$3:$A$42,'Depreciation Schedules'!$D$3:$D$42)</f>
        <v>#N/A</v>
      </c>
    </row>
    <row r="302" spans="1:42" x14ac:dyDescent="0.4">
      <c r="A302" s="22" t="str">
        <f t="shared" si="110"/>
        <v>15-yr SL</v>
      </c>
      <c r="B302" s="164" cm="1">
        <f t="array" ref="B302">SUM(IF(ISNUMBER(C302:AP302),C302:AP302))</f>
        <v>100.02000000000001</v>
      </c>
      <c r="C302" s="165">
        <f>LOOKUP(C$2,'Depreciation Schedules'!$A$3:$A$42,'Depreciation Schedules'!$E$3:$E$42)</f>
        <v>3.33</v>
      </c>
      <c r="D302" s="165">
        <f>LOOKUP(D$2,'Depreciation Schedules'!$A$3:$A$42,'Depreciation Schedules'!$E$3:$E$42)</f>
        <v>6.67</v>
      </c>
      <c r="E302" s="165">
        <f>LOOKUP(E$2,'Depreciation Schedules'!$A$3:$A$42,'Depreciation Schedules'!$E$3:$E$42)</f>
        <v>6.67</v>
      </c>
      <c r="F302" s="165">
        <f>LOOKUP(F$2,'Depreciation Schedules'!$A$3:$A$42,'Depreciation Schedules'!$E$3:$E$42)</f>
        <v>6.67</v>
      </c>
      <c r="G302" s="165">
        <f>LOOKUP(G$2,'Depreciation Schedules'!$A$3:$A$42,'Depreciation Schedules'!$E$3:$E$42)</f>
        <v>6.67</v>
      </c>
      <c r="H302" s="165">
        <f>LOOKUP(H$2,'Depreciation Schedules'!$A$3:$A$42,'Depreciation Schedules'!$E$3:$E$42)</f>
        <v>6.67</v>
      </c>
      <c r="I302" s="165">
        <f>LOOKUP(I$2,'Depreciation Schedules'!$A$3:$A$42,'Depreciation Schedules'!$E$3:$E$42)</f>
        <v>6.67</v>
      </c>
      <c r="J302" s="165">
        <f>LOOKUP(J$2,'Depreciation Schedules'!$A$3:$A$42,'Depreciation Schedules'!$E$3:$E$42)</f>
        <v>6.67</v>
      </c>
      <c r="K302" s="165">
        <f>LOOKUP(K$2,'Depreciation Schedules'!$A$3:$A$42,'Depreciation Schedules'!$E$3:$E$42)</f>
        <v>6.67</v>
      </c>
      <c r="L302" s="165">
        <f>LOOKUP(L$2,'Depreciation Schedules'!$A$3:$A$42,'Depreciation Schedules'!$E$3:$E$42)</f>
        <v>6.67</v>
      </c>
      <c r="M302" s="165">
        <f>LOOKUP(M$2,'Depreciation Schedules'!$A$3:$A$42,'Depreciation Schedules'!$E$3:$E$42)</f>
        <v>6.67</v>
      </c>
      <c r="N302" s="165">
        <f>LOOKUP(N$2,'Depreciation Schedules'!$A$3:$A$42,'Depreciation Schedules'!$E$3:$E$42)</f>
        <v>6.66</v>
      </c>
      <c r="O302" s="165">
        <f>LOOKUP(O$2,'Depreciation Schedules'!$A$3:$A$42,'Depreciation Schedules'!$E$3:$E$42)</f>
        <v>6.67</v>
      </c>
      <c r="P302" s="165">
        <f>LOOKUP(P$2,'Depreciation Schedules'!$A$3:$A$42,'Depreciation Schedules'!$E$3:$E$42)</f>
        <v>6.66</v>
      </c>
      <c r="Q302" s="165">
        <f>LOOKUP(Q$2,'Depreciation Schedules'!$A$3:$A$42,'Depreciation Schedules'!$E$3:$E$42)</f>
        <v>6.67</v>
      </c>
      <c r="R302" s="165">
        <f>LOOKUP(R$2,'Depreciation Schedules'!$A$3:$A$42,'Depreciation Schedules'!$E$3:$E$42)</f>
        <v>3.33</v>
      </c>
      <c r="S302" s="165">
        <f>LOOKUP(S$2,'Depreciation Schedules'!$A$3:$A$42,'Depreciation Schedules'!$E$3:$E$42)</f>
        <v>0</v>
      </c>
      <c r="T302" s="165">
        <f>LOOKUP(T$2,'Depreciation Schedules'!$A$3:$A$42,'Depreciation Schedules'!$E$3:$E$42)</f>
        <v>0</v>
      </c>
      <c r="U302" s="165">
        <f>LOOKUP(U$2,'Depreciation Schedules'!$A$3:$A$42,'Depreciation Schedules'!$E$3:$E$42)</f>
        <v>0</v>
      </c>
      <c r="V302" s="165">
        <f>LOOKUP(V$2,'Depreciation Schedules'!$A$3:$A$42,'Depreciation Schedules'!$E$3:$E$42)</f>
        <v>0</v>
      </c>
      <c r="W302" s="165">
        <f>LOOKUP(W$2,'Depreciation Schedules'!$A$3:$A$42,'Depreciation Schedules'!$E$3:$E$42)</f>
        <v>0</v>
      </c>
      <c r="X302" s="165">
        <f>LOOKUP(X$2,'Depreciation Schedules'!$A$3:$A$42,'Depreciation Schedules'!$E$3:$E$42)</f>
        <v>0</v>
      </c>
      <c r="Y302" s="165">
        <f>LOOKUP(Y$2,'Depreciation Schedules'!$A$3:$A$42,'Depreciation Schedules'!$E$3:$E$42)</f>
        <v>0</v>
      </c>
      <c r="Z302" s="165">
        <f>LOOKUP(Z$2,'Depreciation Schedules'!$A$3:$A$42,'Depreciation Schedules'!$E$3:$E$42)</f>
        <v>0</v>
      </c>
      <c r="AA302" s="165">
        <f>LOOKUP(AA$2,'Depreciation Schedules'!$A$3:$A$42,'Depreciation Schedules'!$E$3:$E$42)</f>
        <v>0</v>
      </c>
      <c r="AB302" s="165" t="e">
        <f>LOOKUP(AB$2,'Depreciation Schedules'!$A$3:$A$42,'Depreciation Schedules'!$E$3:$E$42)</f>
        <v>#N/A</v>
      </c>
      <c r="AC302" s="165" t="e">
        <f>LOOKUP(AC$2,'Depreciation Schedules'!$A$3:$A$42,'Depreciation Schedules'!$E$3:$E$42)</f>
        <v>#N/A</v>
      </c>
      <c r="AD302" s="165" t="e">
        <f>LOOKUP(AD$2,'Depreciation Schedules'!$A$3:$A$42,'Depreciation Schedules'!$E$3:$E$42)</f>
        <v>#N/A</v>
      </c>
      <c r="AE302" s="165" t="e">
        <f>LOOKUP(AE$2,'Depreciation Schedules'!$A$3:$A$42,'Depreciation Schedules'!$E$3:$E$42)</f>
        <v>#N/A</v>
      </c>
      <c r="AF302" s="165" t="e">
        <f>LOOKUP(AF$2,'Depreciation Schedules'!$A$3:$A$42,'Depreciation Schedules'!$E$3:$E$42)</f>
        <v>#N/A</v>
      </c>
      <c r="AG302" s="165" t="e">
        <f>LOOKUP(AG$2,'Depreciation Schedules'!$A$3:$A$42,'Depreciation Schedules'!$E$3:$E$42)</f>
        <v>#N/A</v>
      </c>
      <c r="AH302" s="165" t="e">
        <f>LOOKUP(AH$2,'Depreciation Schedules'!$A$3:$A$42,'Depreciation Schedules'!$E$3:$E$42)</f>
        <v>#N/A</v>
      </c>
      <c r="AI302" s="165" t="e">
        <f>LOOKUP(AI$2,'Depreciation Schedules'!$A$3:$A$42,'Depreciation Schedules'!$E$3:$E$42)</f>
        <v>#N/A</v>
      </c>
      <c r="AJ302" s="165" t="e">
        <f>LOOKUP(AJ$2,'Depreciation Schedules'!$A$3:$A$42,'Depreciation Schedules'!$E$3:$E$42)</f>
        <v>#N/A</v>
      </c>
      <c r="AK302" s="165" t="e">
        <f>LOOKUP(AK$2,'Depreciation Schedules'!$A$3:$A$42,'Depreciation Schedules'!$E$3:$E$42)</f>
        <v>#N/A</v>
      </c>
      <c r="AL302" s="165" t="e">
        <f>LOOKUP(AL$2,'Depreciation Schedules'!$A$3:$A$42,'Depreciation Schedules'!$E$3:$E$42)</f>
        <v>#N/A</v>
      </c>
      <c r="AM302" s="165" t="e">
        <f>LOOKUP(AM$2,'Depreciation Schedules'!$A$3:$A$42,'Depreciation Schedules'!$E$3:$E$42)</f>
        <v>#N/A</v>
      </c>
      <c r="AN302" s="165" t="e">
        <f>LOOKUP(AN$2,'Depreciation Schedules'!$A$3:$A$42,'Depreciation Schedules'!$E$3:$E$42)</f>
        <v>#N/A</v>
      </c>
      <c r="AO302" s="165" t="e">
        <f>LOOKUP(AO$2,'Depreciation Schedules'!$A$3:$A$42,'Depreciation Schedules'!$E$3:$E$42)</f>
        <v>#N/A</v>
      </c>
      <c r="AP302" s="165" t="e">
        <f>LOOKUP(AP$2,'Depreciation Schedules'!$A$3:$A$42,'Depreciation Schedules'!$E$3:$E$42)</f>
        <v>#N/A</v>
      </c>
    </row>
    <row r="303" spans="1:42" x14ac:dyDescent="0.4">
      <c r="A303" s="22" t="str">
        <f t="shared" si="110"/>
        <v>20-yr SL</v>
      </c>
      <c r="B303" s="164" cm="1">
        <f t="array" ref="B303">SUM(IF(ISNUMBER(C303:AP303),C303:AP303))</f>
        <v>100</v>
      </c>
      <c r="C303" s="165">
        <f>LOOKUP(C$2,'Depreciation Schedules'!$A$3:$A$42,'Depreciation Schedules'!$F$3:$F$42)</f>
        <v>2.5</v>
      </c>
      <c r="D303" s="165">
        <f>LOOKUP(D$2,'Depreciation Schedules'!$A$3:$A$42,'Depreciation Schedules'!$F$3:$F$42)</f>
        <v>5</v>
      </c>
      <c r="E303" s="165">
        <f>LOOKUP(E$2,'Depreciation Schedules'!$A$3:$A$42,'Depreciation Schedules'!$F$3:$F$42)</f>
        <v>5</v>
      </c>
      <c r="F303" s="165">
        <f>LOOKUP(F$2,'Depreciation Schedules'!$A$3:$A$42,'Depreciation Schedules'!$F$3:$F$42)</f>
        <v>5</v>
      </c>
      <c r="G303" s="165">
        <f>LOOKUP(G$2,'Depreciation Schedules'!$A$3:$A$42,'Depreciation Schedules'!$F$3:$F$42)</f>
        <v>5</v>
      </c>
      <c r="H303" s="165">
        <f>LOOKUP(H$2,'Depreciation Schedules'!$A$3:$A$42,'Depreciation Schedules'!$F$3:$F$42)</f>
        <v>5</v>
      </c>
      <c r="I303" s="165">
        <f>LOOKUP(I$2,'Depreciation Schedules'!$A$3:$A$42,'Depreciation Schedules'!$F$3:$F$42)</f>
        <v>5</v>
      </c>
      <c r="J303" s="165">
        <f>LOOKUP(J$2,'Depreciation Schedules'!$A$3:$A$42,'Depreciation Schedules'!$F$3:$F$42)</f>
        <v>5</v>
      </c>
      <c r="K303" s="165">
        <f>LOOKUP(K$2,'Depreciation Schedules'!$A$3:$A$42,'Depreciation Schedules'!$F$3:$F$42)</f>
        <v>5</v>
      </c>
      <c r="L303" s="165">
        <f>LOOKUP(L$2,'Depreciation Schedules'!$A$3:$A$42,'Depreciation Schedules'!$F$3:$F$42)</f>
        <v>5</v>
      </c>
      <c r="M303" s="165">
        <f>LOOKUP(M$2,'Depreciation Schedules'!$A$3:$A$42,'Depreciation Schedules'!$F$3:$F$42)</f>
        <v>5</v>
      </c>
      <c r="N303" s="165">
        <f>LOOKUP(N$2,'Depreciation Schedules'!$A$3:$A$42,'Depreciation Schedules'!$F$3:$F$42)</f>
        <v>5</v>
      </c>
      <c r="O303" s="165">
        <f>LOOKUP(O$2,'Depreciation Schedules'!$A$3:$A$42,'Depreciation Schedules'!$F$3:$F$42)</f>
        <v>5</v>
      </c>
      <c r="P303" s="165">
        <f>LOOKUP(P$2,'Depreciation Schedules'!$A$3:$A$42,'Depreciation Schedules'!$F$3:$F$42)</f>
        <v>5</v>
      </c>
      <c r="Q303" s="165">
        <f>LOOKUP(Q$2,'Depreciation Schedules'!$A$3:$A$42,'Depreciation Schedules'!$F$3:$F$42)</f>
        <v>5</v>
      </c>
      <c r="R303" s="165">
        <f>LOOKUP(R$2,'Depreciation Schedules'!$A$3:$A$42,'Depreciation Schedules'!$F$3:$F$42)</f>
        <v>5</v>
      </c>
      <c r="S303" s="165">
        <f>LOOKUP(S$2,'Depreciation Schedules'!$A$3:$A$42,'Depreciation Schedules'!$F$3:$F$42)</f>
        <v>5</v>
      </c>
      <c r="T303" s="165">
        <f>LOOKUP(T$2,'Depreciation Schedules'!$A$3:$A$42,'Depreciation Schedules'!$F$3:$F$42)</f>
        <v>5</v>
      </c>
      <c r="U303" s="165">
        <f>LOOKUP(U$2,'Depreciation Schedules'!$A$3:$A$42,'Depreciation Schedules'!$F$3:$F$42)</f>
        <v>5</v>
      </c>
      <c r="V303" s="165">
        <f>LOOKUP(V$2,'Depreciation Schedules'!$A$3:$A$42,'Depreciation Schedules'!$F$3:$F$42)</f>
        <v>5</v>
      </c>
      <c r="W303" s="165">
        <f>LOOKUP(W$2,'Depreciation Schedules'!$A$3:$A$42,'Depreciation Schedules'!$F$3:$F$42)</f>
        <v>2.5</v>
      </c>
      <c r="X303" s="165">
        <f>LOOKUP(X$2,'Depreciation Schedules'!$A$3:$A$42,'Depreciation Schedules'!$F$3:$F$42)</f>
        <v>0</v>
      </c>
      <c r="Y303" s="165">
        <f>LOOKUP(Y$2,'Depreciation Schedules'!$A$3:$A$42,'Depreciation Schedules'!$F$3:$F$42)</f>
        <v>0</v>
      </c>
      <c r="Z303" s="165">
        <f>LOOKUP(Z$2,'Depreciation Schedules'!$A$3:$A$42,'Depreciation Schedules'!$F$3:$F$42)</f>
        <v>0</v>
      </c>
      <c r="AA303" s="165">
        <f>LOOKUP(AA$2,'Depreciation Schedules'!$A$3:$A$42,'Depreciation Schedules'!$F$3:$F$42)</f>
        <v>0</v>
      </c>
      <c r="AB303" s="165" t="e">
        <f>LOOKUP(AB$2,'Depreciation Schedules'!$A$3:$A$42,'Depreciation Schedules'!$F$3:$F$42)</f>
        <v>#N/A</v>
      </c>
      <c r="AC303" s="165" t="e">
        <f>LOOKUP(AC$2,'Depreciation Schedules'!$A$3:$A$42,'Depreciation Schedules'!$F$3:$F$42)</f>
        <v>#N/A</v>
      </c>
      <c r="AD303" s="165" t="e">
        <f>LOOKUP(AD$2,'Depreciation Schedules'!$A$3:$A$42,'Depreciation Schedules'!$F$3:$F$42)</f>
        <v>#N/A</v>
      </c>
      <c r="AE303" s="165" t="e">
        <f>LOOKUP(AE$2,'Depreciation Schedules'!$A$3:$A$42,'Depreciation Schedules'!$F$3:$F$42)</f>
        <v>#N/A</v>
      </c>
      <c r="AF303" s="165" t="e">
        <f>LOOKUP(AF$2,'Depreciation Schedules'!$A$3:$A$42,'Depreciation Schedules'!$F$3:$F$42)</f>
        <v>#N/A</v>
      </c>
      <c r="AG303" s="165" t="e">
        <f>LOOKUP(AG$2,'Depreciation Schedules'!$A$3:$A$42,'Depreciation Schedules'!$F$3:$F$42)</f>
        <v>#N/A</v>
      </c>
      <c r="AH303" s="165" t="e">
        <f>LOOKUP(AH$2,'Depreciation Schedules'!$A$3:$A$42,'Depreciation Schedules'!$F$3:$F$42)</f>
        <v>#N/A</v>
      </c>
      <c r="AI303" s="165" t="e">
        <f>LOOKUP(AI$2,'Depreciation Schedules'!$A$3:$A$42,'Depreciation Schedules'!$F$3:$F$42)</f>
        <v>#N/A</v>
      </c>
      <c r="AJ303" s="165" t="e">
        <f>LOOKUP(AJ$2,'Depreciation Schedules'!$A$3:$A$42,'Depreciation Schedules'!$F$3:$F$42)</f>
        <v>#N/A</v>
      </c>
      <c r="AK303" s="165" t="e">
        <f>LOOKUP(AK$2,'Depreciation Schedules'!$A$3:$A$42,'Depreciation Schedules'!$F$3:$F$42)</f>
        <v>#N/A</v>
      </c>
      <c r="AL303" s="165" t="e">
        <f>LOOKUP(AL$2,'Depreciation Schedules'!$A$3:$A$42,'Depreciation Schedules'!$F$3:$F$42)</f>
        <v>#N/A</v>
      </c>
      <c r="AM303" s="165" t="e">
        <f>LOOKUP(AM$2,'Depreciation Schedules'!$A$3:$A$42,'Depreciation Schedules'!$F$3:$F$42)</f>
        <v>#N/A</v>
      </c>
      <c r="AN303" s="165" t="e">
        <f>LOOKUP(AN$2,'Depreciation Schedules'!$A$3:$A$42,'Depreciation Schedules'!$F$3:$F$42)</f>
        <v>#N/A</v>
      </c>
      <c r="AO303" s="165" t="e">
        <f>LOOKUP(AO$2,'Depreciation Schedules'!$A$3:$A$42,'Depreciation Schedules'!$F$3:$F$42)</f>
        <v>#N/A</v>
      </c>
      <c r="AP303" s="165" t="e">
        <f>LOOKUP(AP$2,'Depreciation Schedules'!$A$3:$A$42,'Depreciation Schedules'!$F$3:$F$42)</f>
        <v>#N/A</v>
      </c>
    </row>
    <row r="304" spans="1:42" x14ac:dyDescent="0.4">
      <c r="A304" s="22" t="str">
        <f t="shared" si="110"/>
        <v>39-yr SL</v>
      </c>
      <c r="B304" s="164" cm="1">
        <f t="array" ref="B304">SUM(IF(ISNUMBER(C304:AP304),C304:AP304))</f>
        <v>62.820512820512739</v>
      </c>
      <c r="C304" s="165">
        <f>LOOKUP(C$2,'Depreciation Schedules'!$A$3:$A$42,'Depreciation Schedules'!$G$3:$G$42)</f>
        <v>1.2820512820512799</v>
      </c>
      <c r="D304" s="165">
        <f>LOOKUP(D$2,'Depreciation Schedules'!$A$3:$A$42,'Depreciation Schedules'!$G$3:$G$42)</f>
        <v>2.5641025641025599</v>
      </c>
      <c r="E304" s="165">
        <f>LOOKUP(E$2,'Depreciation Schedules'!$A$3:$A$42,'Depreciation Schedules'!$G$3:$G$42)</f>
        <v>2.5641025641025599</v>
      </c>
      <c r="F304" s="165">
        <f>LOOKUP(F$2,'Depreciation Schedules'!$A$3:$A$42,'Depreciation Schedules'!$G$3:$G$42)</f>
        <v>2.5641025641025599</v>
      </c>
      <c r="G304" s="165">
        <f>LOOKUP(G$2,'Depreciation Schedules'!$A$3:$A$42,'Depreciation Schedules'!$G$3:$G$42)</f>
        <v>2.5641025641025599</v>
      </c>
      <c r="H304" s="165">
        <f>LOOKUP(H$2,'Depreciation Schedules'!$A$3:$A$42,'Depreciation Schedules'!$G$3:$G$42)</f>
        <v>2.5641025641025599</v>
      </c>
      <c r="I304" s="165">
        <f>LOOKUP(I$2,'Depreciation Schedules'!$A$3:$A$42,'Depreciation Schedules'!$G$3:$G$42)</f>
        <v>2.5641025641025599</v>
      </c>
      <c r="J304" s="165">
        <f>LOOKUP(J$2,'Depreciation Schedules'!$A$3:$A$42,'Depreciation Schedules'!$G$3:$G$42)</f>
        <v>2.5641025641025599</v>
      </c>
      <c r="K304" s="165">
        <f>LOOKUP(K$2,'Depreciation Schedules'!$A$3:$A$42,'Depreciation Schedules'!$G$3:$G$42)</f>
        <v>2.5641025641025599</v>
      </c>
      <c r="L304" s="165">
        <f>LOOKUP(L$2,'Depreciation Schedules'!$A$3:$A$42,'Depreciation Schedules'!$G$3:$G$42)</f>
        <v>2.5641025641025599</v>
      </c>
      <c r="M304" s="165">
        <f>LOOKUP(M$2,'Depreciation Schedules'!$A$3:$A$42,'Depreciation Schedules'!$G$3:$G$42)</f>
        <v>2.5641025641025599</v>
      </c>
      <c r="N304" s="165">
        <f>LOOKUP(N$2,'Depreciation Schedules'!$A$3:$A$42,'Depreciation Schedules'!$G$3:$G$42)</f>
        <v>2.5641025641025599</v>
      </c>
      <c r="O304" s="165">
        <f>LOOKUP(O$2,'Depreciation Schedules'!$A$3:$A$42,'Depreciation Schedules'!$G$3:$G$42)</f>
        <v>2.5641025641025599</v>
      </c>
      <c r="P304" s="165">
        <f>LOOKUP(P$2,'Depreciation Schedules'!$A$3:$A$42,'Depreciation Schedules'!$G$3:$G$42)</f>
        <v>2.5641025641025599</v>
      </c>
      <c r="Q304" s="165">
        <f>LOOKUP(Q$2,'Depreciation Schedules'!$A$3:$A$42,'Depreciation Schedules'!$G$3:$G$42)</f>
        <v>2.5641025641025599</v>
      </c>
      <c r="R304" s="165">
        <f>LOOKUP(R$2,'Depreciation Schedules'!$A$3:$A$42,'Depreciation Schedules'!$G$3:$G$42)</f>
        <v>2.5641025641025599</v>
      </c>
      <c r="S304" s="165">
        <f>LOOKUP(S$2,'Depreciation Schedules'!$A$3:$A$42,'Depreciation Schedules'!$G$3:$G$42)</f>
        <v>2.5641025641025599</v>
      </c>
      <c r="T304" s="165">
        <f>LOOKUP(T$2,'Depreciation Schedules'!$A$3:$A$42,'Depreciation Schedules'!$G$3:$G$42)</f>
        <v>2.5641025641025599</v>
      </c>
      <c r="U304" s="165">
        <f>LOOKUP(U$2,'Depreciation Schedules'!$A$3:$A$42,'Depreciation Schedules'!$G$3:$G$42)</f>
        <v>2.5641025641025599</v>
      </c>
      <c r="V304" s="165">
        <f>LOOKUP(V$2,'Depreciation Schedules'!$A$3:$A$42,'Depreciation Schedules'!$G$3:$G$42)</f>
        <v>2.5641025641025599</v>
      </c>
      <c r="W304" s="165">
        <f>LOOKUP(W$2,'Depreciation Schedules'!$A$3:$A$42,'Depreciation Schedules'!$G$3:$G$42)</f>
        <v>2.5641025641025599</v>
      </c>
      <c r="X304" s="165">
        <f>LOOKUP(X$2,'Depreciation Schedules'!$A$3:$A$42,'Depreciation Schedules'!$G$3:$G$42)</f>
        <v>2.5641025641025599</v>
      </c>
      <c r="Y304" s="165">
        <f>LOOKUP(Y$2,'Depreciation Schedules'!$A$3:$A$42,'Depreciation Schedules'!$G$3:$G$42)</f>
        <v>2.5641025641025599</v>
      </c>
      <c r="Z304" s="165">
        <f>LOOKUP(Z$2,'Depreciation Schedules'!$A$3:$A$42,'Depreciation Schedules'!$G$3:$G$42)</f>
        <v>2.5641025641025599</v>
      </c>
      <c r="AA304" s="165">
        <f>LOOKUP(AA$2,'Depreciation Schedules'!$A$3:$A$42,'Depreciation Schedules'!$G$3:$G$42)</f>
        <v>2.5641025641025599</v>
      </c>
      <c r="AB304" s="165" t="e">
        <f>LOOKUP(AB$2,'Depreciation Schedules'!$A$3:$A$42,'Depreciation Schedules'!$G$3:$G$42)</f>
        <v>#N/A</v>
      </c>
      <c r="AC304" s="165" t="e">
        <f>LOOKUP(AC$2,'Depreciation Schedules'!$A$3:$A$42,'Depreciation Schedules'!$G$3:$G$42)</f>
        <v>#N/A</v>
      </c>
      <c r="AD304" s="165" t="e">
        <f>LOOKUP(AD$2,'Depreciation Schedules'!$A$3:$A$42,'Depreciation Schedules'!$G$3:$G$42)</f>
        <v>#N/A</v>
      </c>
      <c r="AE304" s="165" t="e">
        <f>LOOKUP(AE$2,'Depreciation Schedules'!$A$3:$A$42,'Depreciation Schedules'!$G$3:$G$42)</f>
        <v>#N/A</v>
      </c>
      <c r="AF304" s="165" t="e">
        <f>LOOKUP(AF$2,'Depreciation Schedules'!$A$3:$A$42,'Depreciation Schedules'!$G$3:$G$42)</f>
        <v>#N/A</v>
      </c>
      <c r="AG304" s="165" t="e">
        <f>LOOKUP(AG$2,'Depreciation Schedules'!$A$3:$A$42,'Depreciation Schedules'!$G$3:$G$42)</f>
        <v>#N/A</v>
      </c>
      <c r="AH304" s="165" t="e">
        <f>LOOKUP(AH$2,'Depreciation Schedules'!$A$3:$A$42,'Depreciation Schedules'!$G$3:$G$42)</f>
        <v>#N/A</v>
      </c>
      <c r="AI304" s="165" t="e">
        <f>LOOKUP(AI$2,'Depreciation Schedules'!$A$3:$A$42,'Depreciation Schedules'!$G$3:$G$42)</f>
        <v>#N/A</v>
      </c>
      <c r="AJ304" s="165" t="e">
        <f>LOOKUP(AJ$2,'Depreciation Schedules'!$A$3:$A$42,'Depreciation Schedules'!$G$3:$G$42)</f>
        <v>#N/A</v>
      </c>
      <c r="AK304" s="165" t="e">
        <f>LOOKUP(AK$2,'Depreciation Schedules'!$A$3:$A$42,'Depreciation Schedules'!$G$3:$G$42)</f>
        <v>#N/A</v>
      </c>
      <c r="AL304" s="165" t="e">
        <f>LOOKUP(AL$2,'Depreciation Schedules'!$A$3:$A$42,'Depreciation Schedules'!$G$3:$G$42)</f>
        <v>#N/A</v>
      </c>
      <c r="AM304" s="165" t="e">
        <f>LOOKUP(AM$2,'Depreciation Schedules'!$A$3:$A$42,'Depreciation Schedules'!$G$3:$G$42)</f>
        <v>#N/A</v>
      </c>
      <c r="AN304" s="165" t="e">
        <f>LOOKUP(AN$2,'Depreciation Schedules'!$A$3:$A$42,'Depreciation Schedules'!$G$3:$G$42)</f>
        <v>#N/A</v>
      </c>
      <c r="AO304" s="165" t="e">
        <f>LOOKUP(AO$2,'Depreciation Schedules'!$A$3:$A$42,'Depreciation Schedules'!$G$3:$G$42)</f>
        <v>#N/A</v>
      </c>
      <c r="AP304" s="165" t="e">
        <f>LOOKUP(AP$2,'Depreciation Schedules'!$A$3:$A$42,'Depreciation Schedules'!$G$3:$G$42)</f>
        <v>#N/A</v>
      </c>
    </row>
    <row r="305" spans="1:42" x14ac:dyDescent="0.4">
      <c r="A305" s="22" t="s">
        <v>286</v>
      </c>
      <c r="B305" s="168" cm="1">
        <f t="array" ref="B305">SUM(IF(ISNUMBER(C305:AP305),C305:AP305))</f>
        <v>100</v>
      </c>
      <c r="C305" s="165">
        <f t="array" ref="C305:AP305">Inputs!D216:AQ216</f>
        <v>10</v>
      </c>
      <c r="D305" s="165">
        <v>10</v>
      </c>
      <c r="E305" s="165">
        <v>10</v>
      </c>
      <c r="F305" s="165">
        <v>10</v>
      </c>
      <c r="G305" s="165">
        <v>10</v>
      </c>
      <c r="H305" s="165">
        <v>10</v>
      </c>
      <c r="I305" s="165">
        <v>10</v>
      </c>
      <c r="J305" s="165">
        <v>10</v>
      </c>
      <c r="K305" s="165">
        <v>10</v>
      </c>
      <c r="L305" s="165">
        <v>10</v>
      </c>
      <c r="M305" s="165">
        <v>0</v>
      </c>
      <c r="N305" s="165">
        <v>0</v>
      </c>
      <c r="O305" s="165">
        <v>0</v>
      </c>
      <c r="P305" s="165">
        <v>0</v>
      </c>
      <c r="Q305" s="165">
        <v>0</v>
      </c>
      <c r="R305" s="165">
        <v>0</v>
      </c>
      <c r="S305" s="165">
        <v>0</v>
      </c>
      <c r="T305" s="165">
        <v>0</v>
      </c>
      <c r="U305" s="165">
        <v>0</v>
      </c>
      <c r="V305" s="165">
        <v>0</v>
      </c>
      <c r="W305" s="165">
        <v>0</v>
      </c>
      <c r="X305" s="165">
        <v>0</v>
      </c>
      <c r="Y305" s="165">
        <v>0</v>
      </c>
      <c r="Z305" s="165">
        <v>0</v>
      </c>
      <c r="AA305" s="165">
        <v>0</v>
      </c>
      <c r="AB305" s="165">
        <v>0</v>
      </c>
      <c r="AC305" s="165">
        <v>0</v>
      </c>
      <c r="AD305" s="165">
        <v>0</v>
      </c>
      <c r="AE305" s="165">
        <v>0</v>
      </c>
      <c r="AF305" s="165">
        <v>0</v>
      </c>
      <c r="AG305" s="165">
        <v>0</v>
      </c>
      <c r="AH305" s="165">
        <v>0</v>
      </c>
      <c r="AI305" s="165">
        <v>0</v>
      </c>
      <c r="AJ305" s="165">
        <v>0</v>
      </c>
      <c r="AK305" s="165">
        <v>0</v>
      </c>
      <c r="AL305" s="165">
        <v>0</v>
      </c>
      <c r="AM305" s="165">
        <v>0</v>
      </c>
      <c r="AN305" s="165">
        <v>0</v>
      </c>
      <c r="AO305" s="165">
        <v>0</v>
      </c>
      <c r="AP305" s="165">
        <v>0</v>
      </c>
    </row>
    <row r="306" spans="1:42" x14ac:dyDescent="0.4">
      <c r="A306" s="21" t="s">
        <v>3</v>
      </c>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row>
    <row r="307" spans="1:42" x14ac:dyDescent="0.4">
      <c r="A307" s="22" t="str">
        <f t="shared" ref="A307:A312" si="111">A299</f>
        <v>5-yr MACRS</v>
      </c>
      <c r="B307" s="164" cm="1">
        <f t="array" ref="B307">SUM(IF(ISNUMBER(C307:AP307),C307:AP307))</f>
        <v>0</v>
      </c>
      <c r="C307" s="119">
        <f>C299/100*$Q$264</f>
        <v>0</v>
      </c>
      <c r="D307" s="119">
        <f t="shared" ref="D307:AP307" si="112">D299/100*$Q$264</f>
        <v>0</v>
      </c>
      <c r="E307" s="119">
        <f t="shared" si="112"/>
        <v>0</v>
      </c>
      <c r="F307" s="119">
        <f t="shared" si="112"/>
        <v>0</v>
      </c>
      <c r="G307" s="119">
        <f t="shared" si="112"/>
        <v>0</v>
      </c>
      <c r="H307" s="119">
        <f t="shared" si="112"/>
        <v>0</v>
      </c>
      <c r="I307" s="119">
        <f t="shared" si="112"/>
        <v>0</v>
      </c>
      <c r="J307" s="119">
        <f t="shared" si="112"/>
        <v>0</v>
      </c>
      <c r="K307" s="119">
        <f t="shared" si="112"/>
        <v>0</v>
      </c>
      <c r="L307" s="119">
        <f t="shared" si="112"/>
        <v>0</v>
      </c>
      <c r="M307" s="119">
        <f t="shared" si="112"/>
        <v>0</v>
      </c>
      <c r="N307" s="119">
        <f t="shared" si="112"/>
        <v>0</v>
      </c>
      <c r="O307" s="119">
        <f t="shared" si="112"/>
        <v>0</v>
      </c>
      <c r="P307" s="119">
        <f t="shared" si="112"/>
        <v>0</v>
      </c>
      <c r="Q307" s="119">
        <f t="shared" si="112"/>
        <v>0</v>
      </c>
      <c r="R307" s="119">
        <f t="shared" si="112"/>
        <v>0</v>
      </c>
      <c r="S307" s="119">
        <f t="shared" si="112"/>
        <v>0</v>
      </c>
      <c r="T307" s="119">
        <f t="shared" si="112"/>
        <v>0</v>
      </c>
      <c r="U307" s="119">
        <f t="shared" si="112"/>
        <v>0</v>
      </c>
      <c r="V307" s="119">
        <f t="shared" si="112"/>
        <v>0</v>
      </c>
      <c r="W307" s="119">
        <f t="shared" si="112"/>
        <v>0</v>
      </c>
      <c r="X307" s="119">
        <f t="shared" si="112"/>
        <v>0</v>
      </c>
      <c r="Y307" s="119">
        <f t="shared" si="112"/>
        <v>0</v>
      </c>
      <c r="Z307" s="119">
        <f t="shared" si="112"/>
        <v>0</v>
      </c>
      <c r="AA307" s="119">
        <f t="shared" si="112"/>
        <v>0</v>
      </c>
      <c r="AB307" s="119" t="e">
        <f t="shared" si="112"/>
        <v>#N/A</v>
      </c>
      <c r="AC307" s="119" t="e">
        <f t="shared" si="112"/>
        <v>#N/A</v>
      </c>
      <c r="AD307" s="119" t="e">
        <f t="shared" si="112"/>
        <v>#N/A</v>
      </c>
      <c r="AE307" s="119" t="e">
        <f t="shared" si="112"/>
        <v>#N/A</v>
      </c>
      <c r="AF307" s="119" t="e">
        <f t="shared" si="112"/>
        <v>#N/A</v>
      </c>
      <c r="AG307" s="119" t="e">
        <f t="shared" si="112"/>
        <v>#N/A</v>
      </c>
      <c r="AH307" s="119" t="e">
        <f t="shared" si="112"/>
        <v>#N/A</v>
      </c>
      <c r="AI307" s="119" t="e">
        <f t="shared" si="112"/>
        <v>#N/A</v>
      </c>
      <c r="AJ307" s="119" t="e">
        <f t="shared" si="112"/>
        <v>#N/A</v>
      </c>
      <c r="AK307" s="119" t="e">
        <f t="shared" si="112"/>
        <v>#N/A</v>
      </c>
      <c r="AL307" s="119" t="e">
        <f t="shared" si="112"/>
        <v>#N/A</v>
      </c>
      <c r="AM307" s="119" t="e">
        <f t="shared" si="112"/>
        <v>#N/A</v>
      </c>
      <c r="AN307" s="119" t="e">
        <f t="shared" si="112"/>
        <v>#N/A</v>
      </c>
      <c r="AO307" s="119" t="e">
        <f t="shared" si="112"/>
        <v>#N/A</v>
      </c>
      <c r="AP307" s="119" t="e">
        <f t="shared" si="112"/>
        <v>#N/A</v>
      </c>
    </row>
    <row r="308" spans="1:42" x14ac:dyDescent="0.4">
      <c r="A308" s="22" t="str">
        <f t="shared" si="111"/>
        <v>15-yr MACRS</v>
      </c>
      <c r="B308" s="164" cm="1">
        <f t="array" ref="B308">SUM(IF(ISNUMBER(C308:AP308),C308:AP308))</f>
        <v>0</v>
      </c>
      <c r="C308" s="119">
        <f>C300/100*$Q$265</f>
        <v>0</v>
      </c>
      <c r="D308" s="119">
        <f t="shared" ref="D308:AP308" si="113">D300/100*$Q$265</f>
        <v>0</v>
      </c>
      <c r="E308" s="119">
        <f t="shared" si="113"/>
        <v>0</v>
      </c>
      <c r="F308" s="119">
        <f t="shared" si="113"/>
        <v>0</v>
      </c>
      <c r="G308" s="119">
        <f t="shared" si="113"/>
        <v>0</v>
      </c>
      <c r="H308" s="119">
        <f t="shared" si="113"/>
        <v>0</v>
      </c>
      <c r="I308" s="119">
        <f t="shared" si="113"/>
        <v>0</v>
      </c>
      <c r="J308" s="119">
        <f t="shared" si="113"/>
        <v>0</v>
      </c>
      <c r="K308" s="119">
        <f t="shared" si="113"/>
        <v>0</v>
      </c>
      <c r="L308" s="119">
        <f t="shared" si="113"/>
        <v>0</v>
      </c>
      <c r="M308" s="119">
        <f t="shared" si="113"/>
        <v>0</v>
      </c>
      <c r="N308" s="119">
        <f t="shared" si="113"/>
        <v>0</v>
      </c>
      <c r="O308" s="119">
        <f t="shared" si="113"/>
        <v>0</v>
      </c>
      <c r="P308" s="119">
        <f t="shared" si="113"/>
        <v>0</v>
      </c>
      <c r="Q308" s="119">
        <f t="shared" si="113"/>
        <v>0</v>
      </c>
      <c r="R308" s="119">
        <f t="shared" si="113"/>
        <v>0</v>
      </c>
      <c r="S308" s="119">
        <f t="shared" si="113"/>
        <v>0</v>
      </c>
      <c r="T308" s="119">
        <f t="shared" si="113"/>
        <v>0</v>
      </c>
      <c r="U308" s="119">
        <f t="shared" si="113"/>
        <v>0</v>
      </c>
      <c r="V308" s="119">
        <f t="shared" si="113"/>
        <v>0</v>
      </c>
      <c r="W308" s="119">
        <f t="shared" si="113"/>
        <v>0</v>
      </c>
      <c r="X308" s="119">
        <f t="shared" si="113"/>
        <v>0</v>
      </c>
      <c r="Y308" s="119">
        <f t="shared" si="113"/>
        <v>0</v>
      </c>
      <c r="Z308" s="119">
        <f t="shared" si="113"/>
        <v>0</v>
      </c>
      <c r="AA308" s="119">
        <f t="shared" si="113"/>
        <v>0</v>
      </c>
      <c r="AB308" s="119" t="e">
        <f t="shared" si="113"/>
        <v>#N/A</v>
      </c>
      <c r="AC308" s="119" t="e">
        <f t="shared" si="113"/>
        <v>#N/A</v>
      </c>
      <c r="AD308" s="119" t="e">
        <f t="shared" si="113"/>
        <v>#N/A</v>
      </c>
      <c r="AE308" s="119" t="e">
        <f t="shared" si="113"/>
        <v>#N/A</v>
      </c>
      <c r="AF308" s="119" t="e">
        <f t="shared" si="113"/>
        <v>#N/A</v>
      </c>
      <c r="AG308" s="119" t="e">
        <f t="shared" si="113"/>
        <v>#N/A</v>
      </c>
      <c r="AH308" s="119" t="e">
        <f t="shared" si="113"/>
        <v>#N/A</v>
      </c>
      <c r="AI308" s="119" t="e">
        <f t="shared" si="113"/>
        <v>#N/A</v>
      </c>
      <c r="AJ308" s="119" t="e">
        <f t="shared" si="113"/>
        <v>#N/A</v>
      </c>
      <c r="AK308" s="119" t="e">
        <f t="shared" si="113"/>
        <v>#N/A</v>
      </c>
      <c r="AL308" s="119" t="e">
        <f t="shared" si="113"/>
        <v>#N/A</v>
      </c>
      <c r="AM308" s="119" t="e">
        <f t="shared" si="113"/>
        <v>#N/A</v>
      </c>
      <c r="AN308" s="119" t="e">
        <f t="shared" si="113"/>
        <v>#N/A</v>
      </c>
      <c r="AO308" s="119" t="e">
        <f t="shared" si="113"/>
        <v>#N/A</v>
      </c>
      <c r="AP308" s="119" t="e">
        <f t="shared" si="113"/>
        <v>#N/A</v>
      </c>
    </row>
    <row r="309" spans="1:42" x14ac:dyDescent="0.4">
      <c r="A309" s="22" t="str">
        <f t="shared" si="111"/>
        <v>5-yr SL</v>
      </c>
      <c r="B309" s="164" cm="1">
        <f t="array" ref="B309">SUM(IF(ISNUMBER(C309:AP309),C309:AP309))</f>
        <v>0</v>
      </c>
      <c r="C309" s="119">
        <f>C301/100*$Q$266</f>
        <v>0</v>
      </c>
      <c r="D309" s="119">
        <f t="shared" ref="D309:AP309" si="114">D301/100*$Q$266</f>
        <v>0</v>
      </c>
      <c r="E309" s="119">
        <f t="shared" si="114"/>
        <v>0</v>
      </c>
      <c r="F309" s="119">
        <f t="shared" si="114"/>
        <v>0</v>
      </c>
      <c r="G309" s="119">
        <f t="shared" si="114"/>
        <v>0</v>
      </c>
      <c r="H309" s="119">
        <f t="shared" si="114"/>
        <v>0</v>
      </c>
      <c r="I309" s="119">
        <f t="shared" si="114"/>
        <v>0</v>
      </c>
      <c r="J309" s="119">
        <f t="shared" si="114"/>
        <v>0</v>
      </c>
      <c r="K309" s="119">
        <f t="shared" si="114"/>
        <v>0</v>
      </c>
      <c r="L309" s="119">
        <f t="shared" si="114"/>
        <v>0</v>
      </c>
      <c r="M309" s="119">
        <f t="shared" si="114"/>
        <v>0</v>
      </c>
      <c r="N309" s="119">
        <f t="shared" si="114"/>
        <v>0</v>
      </c>
      <c r="O309" s="119">
        <f t="shared" si="114"/>
        <v>0</v>
      </c>
      <c r="P309" s="119">
        <f t="shared" si="114"/>
        <v>0</v>
      </c>
      <c r="Q309" s="119">
        <f t="shared" si="114"/>
        <v>0</v>
      </c>
      <c r="R309" s="119">
        <f t="shared" si="114"/>
        <v>0</v>
      </c>
      <c r="S309" s="119">
        <f t="shared" si="114"/>
        <v>0</v>
      </c>
      <c r="T309" s="119">
        <f t="shared" si="114"/>
        <v>0</v>
      </c>
      <c r="U309" s="119">
        <f t="shared" si="114"/>
        <v>0</v>
      </c>
      <c r="V309" s="119">
        <f t="shared" si="114"/>
        <v>0</v>
      </c>
      <c r="W309" s="119">
        <f t="shared" si="114"/>
        <v>0</v>
      </c>
      <c r="X309" s="119">
        <f t="shared" si="114"/>
        <v>0</v>
      </c>
      <c r="Y309" s="119">
        <f t="shared" si="114"/>
        <v>0</v>
      </c>
      <c r="Z309" s="119">
        <f t="shared" si="114"/>
        <v>0</v>
      </c>
      <c r="AA309" s="119">
        <f t="shared" si="114"/>
        <v>0</v>
      </c>
      <c r="AB309" s="119" t="e">
        <f t="shared" si="114"/>
        <v>#N/A</v>
      </c>
      <c r="AC309" s="119" t="e">
        <f t="shared" si="114"/>
        <v>#N/A</v>
      </c>
      <c r="AD309" s="119" t="e">
        <f t="shared" si="114"/>
        <v>#N/A</v>
      </c>
      <c r="AE309" s="119" t="e">
        <f t="shared" si="114"/>
        <v>#N/A</v>
      </c>
      <c r="AF309" s="119" t="e">
        <f t="shared" si="114"/>
        <v>#N/A</v>
      </c>
      <c r="AG309" s="119" t="e">
        <f t="shared" si="114"/>
        <v>#N/A</v>
      </c>
      <c r="AH309" s="119" t="e">
        <f t="shared" si="114"/>
        <v>#N/A</v>
      </c>
      <c r="AI309" s="119" t="e">
        <f t="shared" si="114"/>
        <v>#N/A</v>
      </c>
      <c r="AJ309" s="119" t="e">
        <f t="shared" si="114"/>
        <v>#N/A</v>
      </c>
      <c r="AK309" s="119" t="e">
        <f t="shared" si="114"/>
        <v>#N/A</v>
      </c>
      <c r="AL309" s="119" t="e">
        <f t="shared" si="114"/>
        <v>#N/A</v>
      </c>
      <c r="AM309" s="119" t="e">
        <f t="shared" si="114"/>
        <v>#N/A</v>
      </c>
      <c r="AN309" s="119" t="e">
        <f t="shared" si="114"/>
        <v>#N/A</v>
      </c>
      <c r="AO309" s="119" t="e">
        <f t="shared" si="114"/>
        <v>#N/A</v>
      </c>
      <c r="AP309" s="119" t="e">
        <f t="shared" si="114"/>
        <v>#N/A</v>
      </c>
    </row>
    <row r="310" spans="1:42" x14ac:dyDescent="0.4">
      <c r="A310" s="22" t="str">
        <f t="shared" si="111"/>
        <v>15-yr SL</v>
      </c>
      <c r="B310" s="164" cm="1">
        <f t="array" ref="B310">SUM(IF(ISNUMBER(C310:AP310),C310:AP310))</f>
        <v>0</v>
      </c>
      <c r="C310" s="119">
        <f>C302/100*$Q$267</f>
        <v>0</v>
      </c>
      <c r="D310" s="119">
        <f t="shared" ref="D310:AP310" si="115">D302/100*$Q$267</f>
        <v>0</v>
      </c>
      <c r="E310" s="119">
        <f t="shared" si="115"/>
        <v>0</v>
      </c>
      <c r="F310" s="119">
        <f t="shared" si="115"/>
        <v>0</v>
      </c>
      <c r="G310" s="119">
        <f t="shared" si="115"/>
        <v>0</v>
      </c>
      <c r="H310" s="119">
        <f t="shared" si="115"/>
        <v>0</v>
      </c>
      <c r="I310" s="119">
        <f t="shared" si="115"/>
        <v>0</v>
      </c>
      <c r="J310" s="119">
        <f t="shared" si="115"/>
        <v>0</v>
      </c>
      <c r="K310" s="119">
        <f t="shared" si="115"/>
        <v>0</v>
      </c>
      <c r="L310" s="119">
        <f t="shared" si="115"/>
        <v>0</v>
      </c>
      <c r="M310" s="119">
        <f t="shared" si="115"/>
        <v>0</v>
      </c>
      <c r="N310" s="119">
        <f t="shared" si="115"/>
        <v>0</v>
      </c>
      <c r="O310" s="119">
        <f t="shared" si="115"/>
        <v>0</v>
      </c>
      <c r="P310" s="119">
        <f t="shared" si="115"/>
        <v>0</v>
      </c>
      <c r="Q310" s="119">
        <f t="shared" si="115"/>
        <v>0</v>
      </c>
      <c r="R310" s="119">
        <f t="shared" si="115"/>
        <v>0</v>
      </c>
      <c r="S310" s="119">
        <f t="shared" si="115"/>
        <v>0</v>
      </c>
      <c r="T310" s="119">
        <f t="shared" si="115"/>
        <v>0</v>
      </c>
      <c r="U310" s="119">
        <f t="shared" si="115"/>
        <v>0</v>
      </c>
      <c r="V310" s="119">
        <f t="shared" si="115"/>
        <v>0</v>
      </c>
      <c r="W310" s="119">
        <f t="shared" si="115"/>
        <v>0</v>
      </c>
      <c r="X310" s="119">
        <f t="shared" si="115"/>
        <v>0</v>
      </c>
      <c r="Y310" s="119">
        <f t="shared" si="115"/>
        <v>0</v>
      </c>
      <c r="Z310" s="119">
        <f t="shared" si="115"/>
        <v>0</v>
      </c>
      <c r="AA310" s="119">
        <f t="shared" si="115"/>
        <v>0</v>
      </c>
      <c r="AB310" s="119" t="e">
        <f t="shared" si="115"/>
        <v>#N/A</v>
      </c>
      <c r="AC310" s="119" t="e">
        <f t="shared" si="115"/>
        <v>#N/A</v>
      </c>
      <c r="AD310" s="119" t="e">
        <f t="shared" si="115"/>
        <v>#N/A</v>
      </c>
      <c r="AE310" s="119" t="e">
        <f t="shared" si="115"/>
        <v>#N/A</v>
      </c>
      <c r="AF310" s="119" t="e">
        <f t="shared" si="115"/>
        <v>#N/A</v>
      </c>
      <c r="AG310" s="119" t="e">
        <f t="shared" si="115"/>
        <v>#N/A</v>
      </c>
      <c r="AH310" s="119" t="e">
        <f t="shared" si="115"/>
        <v>#N/A</v>
      </c>
      <c r="AI310" s="119" t="e">
        <f t="shared" si="115"/>
        <v>#N/A</v>
      </c>
      <c r="AJ310" s="119" t="e">
        <f t="shared" si="115"/>
        <v>#N/A</v>
      </c>
      <c r="AK310" s="119" t="e">
        <f t="shared" si="115"/>
        <v>#N/A</v>
      </c>
      <c r="AL310" s="119" t="e">
        <f t="shared" si="115"/>
        <v>#N/A</v>
      </c>
      <c r="AM310" s="119" t="e">
        <f t="shared" si="115"/>
        <v>#N/A</v>
      </c>
      <c r="AN310" s="119" t="e">
        <f t="shared" si="115"/>
        <v>#N/A</v>
      </c>
      <c r="AO310" s="119" t="e">
        <f t="shared" si="115"/>
        <v>#N/A</v>
      </c>
      <c r="AP310" s="119" t="e">
        <f t="shared" si="115"/>
        <v>#N/A</v>
      </c>
    </row>
    <row r="311" spans="1:42" x14ac:dyDescent="0.4">
      <c r="A311" s="22" t="str">
        <f t="shared" si="111"/>
        <v>20-yr SL</v>
      </c>
      <c r="B311" s="164" cm="1">
        <f t="array" ref="B311">SUM(IF(ISNUMBER(C311:AP311),C311:AP311))</f>
        <v>0</v>
      </c>
      <c r="C311" s="119">
        <f>C303/100*$Q$268</f>
        <v>0</v>
      </c>
      <c r="D311" s="119">
        <f t="shared" ref="D311:AP311" si="116">D303/100*$Q$268</f>
        <v>0</v>
      </c>
      <c r="E311" s="119">
        <f t="shared" si="116"/>
        <v>0</v>
      </c>
      <c r="F311" s="119">
        <f t="shared" si="116"/>
        <v>0</v>
      </c>
      <c r="G311" s="119">
        <f t="shared" si="116"/>
        <v>0</v>
      </c>
      <c r="H311" s="119">
        <f t="shared" si="116"/>
        <v>0</v>
      </c>
      <c r="I311" s="119">
        <f t="shared" si="116"/>
        <v>0</v>
      </c>
      <c r="J311" s="119">
        <f t="shared" si="116"/>
        <v>0</v>
      </c>
      <c r="K311" s="119">
        <f t="shared" si="116"/>
        <v>0</v>
      </c>
      <c r="L311" s="119">
        <f t="shared" si="116"/>
        <v>0</v>
      </c>
      <c r="M311" s="119">
        <f t="shared" si="116"/>
        <v>0</v>
      </c>
      <c r="N311" s="119">
        <f t="shared" si="116"/>
        <v>0</v>
      </c>
      <c r="O311" s="119">
        <f t="shared" si="116"/>
        <v>0</v>
      </c>
      <c r="P311" s="119">
        <f t="shared" si="116"/>
        <v>0</v>
      </c>
      <c r="Q311" s="119">
        <f t="shared" si="116"/>
        <v>0</v>
      </c>
      <c r="R311" s="119">
        <f t="shared" si="116"/>
        <v>0</v>
      </c>
      <c r="S311" s="119">
        <f t="shared" si="116"/>
        <v>0</v>
      </c>
      <c r="T311" s="119">
        <f t="shared" si="116"/>
        <v>0</v>
      </c>
      <c r="U311" s="119">
        <f t="shared" si="116"/>
        <v>0</v>
      </c>
      <c r="V311" s="119">
        <f t="shared" si="116"/>
        <v>0</v>
      </c>
      <c r="W311" s="119">
        <f t="shared" si="116"/>
        <v>0</v>
      </c>
      <c r="X311" s="119">
        <f t="shared" si="116"/>
        <v>0</v>
      </c>
      <c r="Y311" s="119">
        <f t="shared" si="116"/>
        <v>0</v>
      </c>
      <c r="Z311" s="119">
        <f t="shared" si="116"/>
        <v>0</v>
      </c>
      <c r="AA311" s="119">
        <f t="shared" si="116"/>
        <v>0</v>
      </c>
      <c r="AB311" s="119" t="e">
        <f t="shared" si="116"/>
        <v>#N/A</v>
      </c>
      <c r="AC311" s="119" t="e">
        <f t="shared" si="116"/>
        <v>#N/A</v>
      </c>
      <c r="AD311" s="119" t="e">
        <f t="shared" si="116"/>
        <v>#N/A</v>
      </c>
      <c r="AE311" s="119" t="e">
        <f t="shared" si="116"/>
        <v>#N/A</v>
      </c>
      <c r="AF311" s="119" t="e">
        <f t="shared" si="116"/>
        <v>#N/A</v>
      </c>
      <c r="AG311" s="119" t="e">
        <f t="shared" si="116"/>
        <v>#N/A</v>
      </c>
      <c r="AH311" s="119" t="e">
        <f t="shared" si="116"/>
        <v>#N/A</v>
      </c>
      <c r="AI311" s="119" t="e">
        <f t="shared" si="116"/>
        <v>#N/A</v>
      </c>
      <c r="AJ311" s="119" t="e">
        <f t="shared" si="116"/>
        <v>#N/A</v>
      </c>
      <c r="AK311" s="119" t="e">
        <f t="shared" si="116"/>
        <v>#N/A</v>
      </c>
      <c r="AL311" s="119" t="e">
        <f t="shared" si="116"/>
        <v>#N/A</v>
      </c>
      <c r="AM311" s="119" t="e">
        <f t="shared" si="116"/>
        <v>#N/A</v>
      </c>
      <c r="AN311" s="119" t="e">
        <f t="shared" si="116"/>
        <v>#N/A</v>
      </c>
      <c r="AO311" s="119" t="e">
        <f t="shared" si="116"/>
        <v>#N/A</v>
      </c>
      <c r="AP311" s="119" t="e">
        <f t="shared" si="116"/>
        <v>#N/A</v>
      </c>
    </row>
    <row r="312" spans="1:42" x14ac:dyDescent="0.4">
      <c r="A312" s="22" t="str">
        <f t="shared" si="111"/>
        <v>39-yr SL</v>
      </c>
      <c r="B312" s="164" cm="1">
        <f t="array" ref="B312">SUM(IF(ISNUMBER(C312:AP312),C312:AP312))</f>
        <v>0</v>
      </c>
      <c r="C312" s="119">
        <f>C304/100*$Q$269</f>
        <v>0</v>
      </c>
      <c r="D312" s="119">
        <f t="shared" ref="D312:AP312" si="117">D304/100*$Q$269</f>
        <v>0</v>
      </c>
      <c r="E312" s="119">
        <f t="shared" si="117"/>
        <v>0</v>
      </c>
      <c r="F312" s="119">
        <f t="shared" si="117"/>
        <v>0</v>
      </c>
      <c r="G312" s="119">
        <f t="shared" si="117"/>
        <v>0</v>
      </c>
      <c r="H312" s="119">
        <f t="shared" si="117"/>
        <v>0</v>
      </c>
      <c r="I312" s="119">
        <f t="shared" si="117"/>
        <v>0</v>
      </c>
      <c r="J312" s="119">
        <f t="shared" si="117"/>
        <v>0</v>
      </c>
      <c r="K312" s="119">
        <f t="shared" si="117"/>
        <v>0</v>
      </c>
      <c r="L312" s="119">
        <f t="shared" si="117"/>
        <v>0</v>
      </c>
      <c r="M312" s="119">
        <f t="shared" si="117"/>
        <v>0</v>
      </c>
      <c r="N312" s="119">
        <f t="shared" si="117"/>
        <v>0</v>
      </c>
      <c r="O312" s="119">
        <f t="shared" si="117"/>
        <v>0</v>
      </c>
      <c r="P312" s="119">
        <f t="shared" si="117"/>
        <v>0</v>
      </c>
      <c r="Q312" s="119">
        <f t="shared" si="117"/>
        <v>0</v>
      </c>
      <c r="R312" s="119">
        <f t="shared" si="117"/>
        <v>0</v>
      </c>
      <c r="S312" s="119">
        <f t="shared" si="117"/>
        <v>0</v>
      </c>
      <c r="T312" s="119">
        <f t="shared" si="117"/>
        <v>0</v>
      </c>
      <c r="U312" s="119">
        <f t="shared" si="117"/>
        <v>0</v>
      </c>
      <c r="V312" s="119">
        <f t="shared" si="117"/>
        <v>0</v>
      </c>
      <c r="W312" s="119">
        <f t="shared" si="117"/>
        <v>0</v>
      </c>
      <c r="X312" s="119">
        <f t="shared" si="117"/>
        <v>0</v>
      </c>
      <c r="Y312" s="119">
        <f t="shared" si="117"/>
        <v>0</v>
      </c>
      <c r="Z312" s="119">
        <f t="shared" si="117"/>
        <v>0</v>
      </c>
      <c r="AA312" s="119">
        <f t="shared" si="117"/>
        <v>0</v>
      </c>
      <c r="AB312" s="119" t="e">
        <f t="shared" si="117"/>
        <v>#N/A</v>
      </c>
      <c r="AC312" s="119" t="e">
        <f t="shared" si="117"/>
        <v>#N/A</v>
      </c>
      <c r="AD312" s="119" t="e">
        <f t="shared" si="117"/>
        <v>#N/A</v>
      </c>
      <c r="AE312" s="119" t="e">
        <f t="shared" si="117"/>
        <v>#N/A</v>
      </c>
      <c r="AF312" s="119" t="e">
        <f t="shared" si="117"/>
        <v>#N/A</v>
      </c>
      <c r="AG312" s="119" t="e">
        <f t="shared" si="117"/>
        <v>#N/A</v>
      </c>
      <c r="AH312" s="119" t="e">
        <f t="shared" si="117"/>
        <v>#N/A</v>
      </c>
      <c r="AI312" s="119" t="e">
        <f t="shared" si="117"/>
        <v>#N/A</v>
      </c>
      <c r="AJ312" s="119" t="e">
        <f t="shared" si="117"/>
        <v>#N/A</v>
      </c>
      <c r="AK312" s="119" t="e">
        <f t="shared" si="117"/>
        <v>#N/A</v>
      </c>
      <c r="AL312" s="119" t="e">
        <f t="shared" si="117"/>
        <v>#N/A</v>
      </c>
      <c r="AM312" s="119" t="e">
        <f t="shared" si="117"/>
        <v>#N/A</v>
      </c>
      <c r="AN312" s="119" t="e">
        <f t="shared" si="117"/>
        <v>#N/A</v>
      </c>
      <c r="AO312" s="119" t="e">
        <f t="shared" si="117"/>
        <v>#N/A</v>
      </c>
      <c r="AP312" s="119" t="e">
        <f t="shared" si="117"/>
        <v>#N/A</v>
      </c>
    </row>
    <row r="313" spans="1:42" x14ac:dyDescent="0.4">
      <c r="A313" s="22" t="s">
        <v>286</v>
      </c>
      <c r="B313" s="164" cm="1">
        <f t="array" ref="B313">SUM(IF(ISNUMBER(C313:AP313),C313:AP313))</f>
        <v>23578218.892499994</v>
      </c>
      <c r="C313" s="119">
        <f t="shared" ref="C313:AP313" si="118">IF(C2&lt;=analysis_period,C305/100*$Q$270,0)</f>
        <v>2357821.88925</v>
      </c>
      <c r="D313" s="119">
        <f t="shared" si="118"/>
        <v>2357821.88925</v>
      </c>
      <c r="E313" s="119">
        <f t="shared" si="118"/>
        <v>2357821.88925</v>
      </c>
      <c r="F313" s="119">
        <f t="shared" si="118"/>
        <v>2357821.88925</v>
      </c>
      <c r="G313" s="119">
        <f t="shared" si="118"/>
        <v>2357821.88925</v>
      </c>
      <c r="H313" s="119">
        <f t="shared" si="118"/>
        <v>2357821.88925</v>
      </c>
      <c r="I313" s="119">
        <f t="shared" si="118"/>
        <v>2357821.88925</v>
      </c>
      <c r="J313" s="119">
        <f t="shared" si="118"/>
        <v>2357821.88925</v>
      </c>
      <c r="K313" s="119">
        <f t="shared" si="118"/>
        <v>2357821.88925</v>
      </c>
      <c r="L313" s="119">
        <f t="shared" si="118"/>
        <v>2357821.88925</v>
      </c>
      <c r="M313" s="119">
        <f t="shared" si="118"/>
        <v>0</v>
      </c>
      <c r="N313" s="119">
        <f t="shared" si="118"/>
        <v>0</v>
      </c>
      <c r="O313" s="119">
        <f t="shared" si="118"/>
        <v>0</v>
      </c>
      <c r="P313" s="119">
        <f t="shared" si="118"/>
        <v>0</v>
      </c>
      <c r="Q313" s="119">
        <f t="shared" si="118"/>
        <v>0</v>
      </c>
      <c r="R313" s="119">
        <f t="shared" si="118"/>
        <v>0</v>
      </c>
      <c r="S313" s="119">
        <f t="shared" si="118"/>
        <v>0</v>
      </c>
      <c r="T313" s="119">
        <f t="shared" si="118"/>
        <v>0</v>
      </c>
      <c r="U313" s="119">
        <f t="shared" si="118"/>
        <v>0</v>
      </c>
      <c r="V313" s="119">
        <f t="shared" si="118"/>
        <v>0</v>
      </c>
      <c r="W313" s="119">
        <f t="shared" si="118"/>
        <v>0</v>
      </c>
      <c r="X313" s="119">
        <f t="shared" si="118"/>
        <v>0</v>
      </c>
      <c r="Y313" s="119">
        <f t="shared" si="118"/>
        <v>0</v>
      </c>
      <c r="Z313" s="119">
        <f t="shared" si="118"/>
        <v>0</v>
      </c>
      <c r="AA313" s="119">
        <f t="shared" si="118"/>
        <v>0</v>
      </c>
      <c r="AB313" s="119">
        <f t="shared" si="118"/>
        <v>0</v>
      </c>
      <c r="AC313" s="119">
        <f t="shared" si="118"/>
        <v>0</v>
      </c>
      <c r="AD313" s="119">
        <f t="shared" si="118"/>
        <v>0</v>
      </c>
      <c r="AE313" s="119">
        <f t="shared" si="118"/>
        <v>0</v>
      </c>
      <c r="AF313" s="119">
        <f t="shared" si="118"/>
        <v>0</v>
      </c>
      <c r="AG313" s="119">
        <f t="shared" si="118"/>
        <v>0</v>
      </c>
      <c r="AH313" s="119">
        <f t="shared" si="118"/>
        <v>0</v>
      </c>
      <c r="AI313" s="119">
        <f t="shared" si="118"/>
        <v>0</v>
      </c>
      <c r="AJ313" s="119">
        <f t="shared" si="118"/>
        <v>0</v>
      </c>
      <c r="AK313" s="119">
        <f t="shared" si="118"/>
        <v>0</v>
      </c>
      <c r="AL313" s="119">
        <f t="shared" si="118"/>
        <v>0</v>
      </c>
      <c r="AM313" s="119">
        <f t="shared" si="118"/>
        <v>0</v>
      </c>
      <c r="AN313" s="119">
        <f t="shared" si="118"/>
        <v>0</v>
      </c>
      <c r="AO313" s="119">
        <f t="shared" si="118"/>
        <v>0</v>
      </c>
      <c r="AP313" s="119">
        <f t="shared" si="118"/>
        <v>0</v>
      </c>
    </row>
    <row r="314" spans="1:42" x14ac:dyDescent="0.4">
      <c r="A314" s="22" t="s">
        <v>61</v>
      </c>
      <c r="B314" s="164" cm="1">
        <f t="array" ref="B314">SUM(IF(ISNUMBER(C314:AP314),C314:AP314))</f>
        <v>0</v>
      </c>
      <c r="C314" s="120">
        <f>P271</f>
        <v>0</v>
      </c>
      <c r="D314" s="120">
        <v>0</v>
      </c>
      <c r="E314" s="120">
        <v>0</v>
      </c>
      <c r="F314" s="120">
        <v>0</v>
      </c>
      <c r="G314" s="120">
        <v>0</v>
      </c>
      <c r="H314" s="120">
        <v>0</v>
      </c>
      <c r="I314" s="120">
        <v>0</v>
      </c>
      <c r="J314" s="120">
        <v>0</v>
      </c>
      <c r="K314" s="120">
        <v>0</v>
      </c>
      <c r="L314" s="120">
        <v>0</v>
      </c>
      <c r="M314" s="120">
        <v>0</v>
      </c>
      <c r="N314" s="120">
        <v>0</v>
      </c>
      <c r="O314" s="120">
        <v>0</v>
      </c>
      <c r="P314" s="120">
        <v>0</v>
      </c>
      <c r="Q314" s="120">
        <v>0</v>
      </c>
      <c r="R314" s="120">
        <v>0</v>
      </c>
      <c r="S314" s="120">
        <v>0</v>
      </c>
      <c r="T314" s="120">
        <v>0</v>
      </c>
      <c r="U314" s="120">
        <v>0</v>
      </c>
      <c r="V314" s="120">
        <v>0</v>
      </c>
      <c r="W314" s="120">
        <v>0</v>
      </c>
      <c r="X314" s="120">
        <v>0</v>
      </c>
      <c r="Y314" s="120">
        <v>0</v>
      </c>
      <c r="Z314" s="120">
        <v>0</v>
      </c>
      <c r="AA314" s="120">
        <v>0</v>
      </c>
      <c r="AB314" s="120">
        <v>0</v>
      </c>
      <c r="AC314" s="120">
        <v>0</v>
      </c>
      <c r="AD314" s="120">
        <v>0</v>
      </c>
      <c r="AE314" s="120">
        <v>0</v>
      </c>
      <c r="AF314" s="120">
        <v>0</v>
      </c>
      <c r="AG314" s="120">
        <v>0</v>
      </c>
      <c r="AH314" s="120">
        <v>0</v>
      </c>
      <c r="AI314" s="120">
        <v>0</v>
      </c>
      <c r="AJ314" s="120">
        <v>0</v>
      </c>
      <c r="AK314" s="120">
        <v>0</v>
      </c>
      <c r="AL314" s="120">
        <v>0</v>
      </c>
      <c r="AM314" s="120">
        <v>0</v>
      </c>
      <c r="AN314" s="120">
        <v>0</v>
      </c>
      <c r="AO314" s="120">
        <v>0</v>
      </c>
      <c r="AP314" s="120">
        <v>0</v>
      </c>
    </row>
    <row r="315" spans="1:42" x14ac:dyDescent="0.4">
      <c r="A315" s="21"/>
      <c r="B315" s="168" cm="1">
        <f t="array" ref="B315">SUM(IF(ISNUMBER(C315:AP315),C315:AP315))</f>
        <v>23578218.892499994</v>
      </c>
      <c r="C315" s="119">
        <f>SUM(C307:C314)</f>
        <v>2357821.88925</v>
      </c>
      <c r="D315" s="119">
        <f>SUM(D307:D314)</f>
        <v>2357821.88925</v>
      </c>
      <c r="E315" s="119">
        <f t="shared" ref="E315:AP315" si="119">SUM(E307:E314)</f>
        <v>2357821.88925</v>
      </c>
      <c r="F315" s="119">
        <f t="shared" si="119"/>
        <v>2357821.88925</v>
      </c>
      <c r="G315" s="119">
        <f t="shared" si="119"/>
        <v>2357821.88925</v>
      </c>
      <c r="H315" s="119">
        <f t="shared" si="119"/>
        <v>2357821.88925</v>
      </c>
      <c r="I315" s="119">
        <f t="shared" si="119"/>
        <v>2357821.88925</v>
      </c>
      <c r="J315" s="119">
        <f t="shared" si="119"/>
        <v>2357821.88925</v>
      </c>
      <c r="K315" s="119">
        <f t="shared" si="119"/>
        <v>2357821.88925</v>
      </c>
      <c r="L315" s="119">
        <f t="shared" si="119"/>
        <v>2357821.88925</v>
      </c>
      <c r="M315" s="119">
        <f t="shared" si="119"/>
        <v>0</v>
      </c>
      <c r="N315" s="119">
        <f t="shared" si="119"/>
        <v>0</v>
      </c>
      <c r="O315" s="119">
        <f t="shared" si="119"/>
        <v>0</v>
      </c>
      <c r="P315" s="119">
        <f t="shared" si="119"/>
        <v>0</v>
      </c>
      <c r="Q315" s="119">
        <f t="shared" si="119"/>
        <v>0</v>
      </c>
      <c r="R315" s="119">
        <f t="shared" si="119"/>
        <v>0</v>
      </c>
      <c r="S315" s="119">
        <f t="shared" si="119"/>
        <v>0</v>
      </c>
      <c r="T315" s="119">
        <f t="shared" si="119"/>
        <v>0</v>
      </c>
      <c r="U315" s="119">
        <f t="shared" si="119"/>
        <v>0</v>
      </c>
      <c r="V315" s="119">
        <f t="shared" si="119"/>
        <v>0</v>
      </c>
      <c r="W315" s="119">
        <f t="shared" si="119"/>
        <v>0</v>
      </c>
      <c r="X315" s="119">
        <f t="shared" si="119"/>
        <v>0</v>
      </c>
      <c r="Y315" s="119">
        <f t="shared" si="119"/>
        <v>0</v>
      </c>
      <c r="Z315" s="119">
        <f t="shared" si="119"/>
        <v>0</v>
      </c>
      <c r="AA315" s="119">
        <f t="shared" si="119"/>
        <v>0</v>
      </c>
      <c r="AB315" s="119" t="e">
        <f t="shared" si="119"/>
        <v>#N/A</v>
      </c>
      <c r="AC315" s="119" t="e">
        <f t="shared" si="119"/>
        <v>#N/A</v>
      </c>
      <c r="AD315" s="119" t="e">
        <f t="shared" si="119"/>
        <v>#N/A</v>
      </c>
      <c r="AE315" s="119" t="e">
        <f t="shared" si="119"/>
        <v>#N/A</v>
      </c>
      <c r="AF315" s="119" t="e">
        <f t="shared" si="119"/>
        <v>#N/A</v>
      </c>
      <c r="AG315" s="119" t="e">
        <f t="shared" si="119"/>
        <v>#N/A</v>
      </c>
      <c r="AH315" s="119" t="e">
        <f t="shared" si="119"/>
        <v>#N/A</v>
      </c>
      <c r="AI315" s="119" t="e">
        <f t="shared" si="119"/>
        <v>#N/A</v>
      </c>
      <c r="AJ315" s="119" t="e">
        <f t="shared" si="119"/>
        <v>#N/A</v>
      </c>
      <c r="AK315" s="119" t="e">
        <f t="shared" si="119"/>
        <v>#N/A</v>
      </c>
      <c r="AL315" s="119" t="e">
        <f t="shared" si="119"/>
        <v>#N/A</v>
      </c>
      <c r="AM315" s="119" t="e">
        <f t="shared" si="119"/>
        <v>#N/A</v>
      </c>
      <c r="AN315" s="119" t="e">
        <f t="shared" si="119"/>
        <v>#N/A</v>
      </c>
      <c r="AO315" s="119" t="e">
        <f t="shared" si="119"/>
        <v>#N/A</v>
      </c>
      <c r="AP315" s="119" t="e">
        <f t="shared" si="119"/>
        <v>#N/A</v>
      </c>
    </row>
    <row r="316" spans="1:42" x14ac:dyDescent="0.4">
      <c r="A316" s="21"/>
    </row>
    <row r="317" spans="1:42" x14ac:dyDescent="0.4">
      <c r="A317" s="86" t="s">
        <v>410</v>
      </c>
    </row>
    <row r="318" spans="1:42" x14ac:dyDescent="0.4">
      <c r="A318" s="21" t="s">
        <v>411</v>
      </c>
      <c r="B318" s="24" t="str">
        <f>equip_reserve_depr_sta</f>
        <v>20-yr SL</v>
      </c>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row>
    <row r="319" spans="1:42" x14ac:dyDescent="0.4">
      <c r="A319" s="21" t="s">
        <v>54</v>
      </c>
      <c r="B319" s="170">
        <f t="shared" ref="B319:AP319" si="120">B2</f>
        <v>0</v>
      </c>
      <c r="C319" s="170">
        <f t="shared" si="120"/>
        <v>1</v>
      </c>
      <c r="D319" s="170">
        <f t="shared" si="120"/>
        <v>2</v>
      </c>
      <c r="E319" s="170">
        <f t="shared" si="120"/>
        <v>3</v>
      </c>
      <c r="F319" s="170">
        <f t="shared" si="120"/>
        <v>4</v>
      </c>
      <c r="G319" s="170">
        <f t="shared" si="120"/>
        <v>5</v>
      </c>
      <c r="H319" s="170">
        <f t="shared" si="120"/>
        <v>6</v>
      </c>
      <c r="I319" s="170">
        <f t="shared" si="120"/>
        <v>7</v>
      </c>
      <c r="J319" s="170">
        <f t="shared" si="120"/>
        <v>8</v>
      </c>
      <c r="K319" s="170">
        <f t="shared" si="120"/>
        <v>9</v>
      </c>
      <c r="L319" s="170">
        <f t="shared" si="120"/>
        <v>10</v>
      </c>
      <c r="M319" s="170">
        <f t="shared" si="120"/>
        <v>11</v>
      </c>
      <c r="N319" s="170">
        <f t="shared" si="120"/>
        <v>12</v>
      </c>
      <c r="O319" s="170">
        <f t="shared" si="120"/>
        <v>13</v>
      </c>
      <c r="P319" s="170">
        <f t="shared" si="120"/>
        <v>14</v>
      </c>
      <c r="Q319" s="170">
        <f t="shared" si="120"/>
        <v>15</v>
      </c>
      <c r="R319" s="170">
        <f t="shared" si="120"/>
        <v>16</v>
      </c>
      <c r="S319" s="170">
        <f t="shared" si="120"/>
        <v>17</v>
      </c>
      <c r="T319" s="170">
        <f t="shared" si="120"/>
        <v>18</v>
      </c>
      <c r="U319" s="170">
        <f t="shared" si="120"/>
        <v>19</v>
      </c>
      <c r="V319" s="170">
        <f t="shared" si="120"/>
        <v>20</v>
      </c>
      <c r="W319" s="170">
        <f t="shared" si="120"/>
        <v>21</v>
      </c>
      <c r="X319" s="170">
        <f t="shared" si="120"/>
        <v>22</v>
      </c>
      <c r="Y319" s="170">
        <f t="shared" si="120"/>
        <v>23</v>
      </c>
      <c r="Z319" s="170">
        <f t="shared" si="120"/>
        <v>24</v>
      </c>
      <c r="AA319" s="170">
        <f t="shared" si="120"/>
        <v>25</v>
      </c>
      <c r="AB319" s="170" t="str">
        <f t="shared" si="120"/>
        <v/>
      </c>
      <c r="AC319" s="170" t="str">
        <f t="shared" si="120"/>
        <v/>
      </c>
      <c r="AD319" s="170" t="str">
        <f t="shared" si="120"/>
        <v/>
      </c>
      <c r="AE319" s="170" t="str">
        <f t="shared" si="120"/>
        <v/>
      </c>
      <c r="AF319" s="170" t="str">
        <f t="shared" si="120"/>
        <v/>
      </c>
      <c r="AG319" s="170" t="str">
        <f t="shared" si="120"/>
        <v/>
      </c>
      <c r="AH319" s="170" t="str">
        <f t="shared" si="120"/>
        <v/>
      </c>
      <c r="AI319" s="170" t="str">
        <f t="shared" si="120"/>
        <v/>
      </c>
      <c r="AJ319" s="170" t="str">
        <f t="shared" si="120"/>
        <v/>
      </c>
      <c r="AK319" s="170" t="str">
        <f t="shared" si="120"/>
        <v/>
      </c>
      <c r="AL319" s="170" t="str">
        <f t="shared" si="120"/>
        <v/>
      </c>
      <c r="AM319" s="170" t="str">
        <f t="shared" si="120"/>
        <v/>
      </c>
      <c r="AN319" s="170" t="str">
        <f t="shared" si="120"/>
        <v/>
      </c>
      <c r="AO319" s="170" t="str">
        <f t="shared" si="120"/>
        <v/>
      </c>
      <c r="AP319" s="170" t="str">
        <f t="shared" si="120"/>
        <v/>
      </c>
    </row>
    <row r="320" spans="1:42" x14ac:dyDescent="0.4">
      <c r="A320" s="21" t="s">
        <v>412</v>
      </c>
      <c r="B320" s="169">
        <v>0</v>
      </c>
      <c r="C320" s="165">
        <f t="shared" ref="C320:AP320" si="121">IF($B$318=$A299,C299,0)+IF($B$318=$A300,C300,0)+IF($B$318=$A301,C301,0)+IF($B$318=$A302,C302,0)+IF($B$318=$A303,C303,0)+IF($B$318=$A304,C304,0)</f>
        <v>2.5</v>
      </c>
      <c r="D320" s="165">
        <f t="shared" si="121"/>
        <v>5</v>
      </c>
      <c r="E320" s="165">
        <f t="shared" si="121"/>
        <v>5</v>
      </c>
      <c r="F320" s="165">
        <f t="shared" si="121"/>
        <v>5</v>
      </c>
      <c r="G320" s="165">
        <f t="shared" si="121"/>
        <v>5</v>
      </c>
      <c r="H320" s="165">
        <f t="shared" si="121"/>
        <v>5</v>
      </c>
      <c r="I320" s="165">
        <f t="shared" si="121"/>
        <v>5</v>
      </c>
      <c r="J320" s="165">
        <f t="shared" si="121"/>
        <v>5</v>
      </c>
      <c r="K320" s="165">
        <f t="shared" si="121"/>
        <v>5</v>
      </c>
      <c r="L320" s="165">
        <f t="shared" si="121"/>
        <v>5</v>
      </c>
      <c r="M320" s="165">
        <f t="shared" si="121"/>
        <v>5</v>
      </c>
      <c r="N320" s="165">
        <f t="shared" si="121"/>
        <v>5</v>
      </c>
      <c r="O320" s="165">
        <f t="shared" si="121"/>
        <v>5</v>
      </c>
      <c r="P320" s="165">
        <f t="shared" si="121"/>
        <v>5</v>
      </c>
      <c r="Q320" s="165">
        <f t="shared" si="121"/>
        <v>5</v>
      </c>
      <c r="R320" s="165">
        <f t="shared" si="121"/>
        <v>5</v>
      </c>
      <c r="S320" s="165">
        <f t="shared" si="121"/>
        <v>5</v>
      </c>
      <c r="T320" s="165">
        <f t="shared" si="121"/>
        <v>5</v>
      </c>
      <c r="U320" s="165">
        <f t="shared" si="121"/>
        <v>5</v>
      </c>
      <c r="V320" s="165">
        <f t="shared" si="121"/>
        <v>5</v>
      </c>
      <c r="W320" s="165">
        <f t="shared" si="121"/>
        <v>2.5</v>
      </c>
      <c r="X320" s="165">
        <f t="shared" si="121"/>
        <v>0</v>
      </c>
      <c r="Y320" s="165">
        <f t="shared" si="121"/>
        <v>0</v>
      </c>
      <c r="Z320" s="165">
        <f t="shared" si="121"/>
        <v>0</v>
      </c>
      <c r="AA320" s="165">
        <f t="shared" si="121"/>
        <v>0</v>
      </c>
      <c r="AB320" s="165" t="e">
        <f t="shared" si="121"/>
        <v>#N/A</v>
      </c>
      <c r="AC320" s="165" t="e">
        <f t="shared" si="121"/>
        <v>#N/A</v>
      </c>
      <c r="AD320" s="165" t="e">
        <f t="shared" si="121"/>
        <v>#N/A</v>
      </c>
      <c r="AE320" s="165" t="e">
        <f t="shared" si="121"/>
        <v>#N/A</v>
      </c>
      <c r="AF320" s="165" t="e">
        <f t="shared" si="121"/>
        <v>#N/A</v>
      </c>
      <c r="AG320" s="165" t="e">
        <f t="shared" si="121"/>
        <v>#N/A</v>
      </c>
      <c r="AH320" s="165" t="e">
        <f t="shared" si="121"/>
        <v>#N/A</v>
      </c>
      <c r="AI320" s="165" t="e">
        <f t="shared" si="121"/>
        <v>#N/A</v>
      </c>
      <c r="AJ320" s="165" t="e">
        <f t="shared" si="121"/>
        <v>#N/A</v>
      </c>
      <c r="AK320" s="165" t="e">
        <f t="shared" si="121"/>
        <v>#N/A</v>
      </c>
      <c r="AL320" s="165" t="e">
        <f t="shared" si="121"/>
        <v>#N/A</v>
      </c>
      <c r="AM320" s="165" t="e">
        <f t="shared" si="121"/>
        <v>#N/A</v>
      </c>
      <c r="AN320" s="165" t="e">
        <f t="shared" si="121"/>
        <v>#N/A</v>
      </c>
      <c r="AO320" s="165" t="e">
        <f t="shared" si="121"/>
        <v>#N/A</v>
      </c>
      <c r="AP320" s="165" t="e">
        <f t="shared" si="121"/>
        <v>#N/A</v>
      </c>
    </row>
    <row r="321" spans="1:42" x14ac:dyDescent="0.4">
      <c r="A321" s="21"/>
      <c r="B321" s="25"/>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row>
    <row r="322" spans="1:42" x14ac:dyDescent="0.4">
      <c r="A322" s="21" t="s">
        <v>62</v>
      </c>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row>
    <row r="323" spans="1:42" x14ac:dyDescent="0.4">
      <c r="A323" s="87" t="s">
        <v>53</v>
      </c>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row>
    <row r="324" spans="1:42" x14ac:dyDescent="0.4">
      <c r="A324" s="4">
        <v>1</v>
      </c>
      <c r="B324" s="4">
        <v>0</v>
      </c>
      <c r="C324" s="156">
        <f>IF(C$2&lt;=analysis_period,IF(SUM($C661:C661)&gt;0,B324+1,0),0)</f>
        <v>0</v>
      </c>
      <c r="D324" s="156">
        <f>IF(D$2&lt;=analysis_period,IF(SUM($C661:D661)&gt;0,C324+1,0),0)</f>
        <v>0</v>
      </c>
      <c r="E324" s="156">
        <f>IF(E$2&lt;=analysis_period,IF(SUM($C661:E661)&gt;0,D324+1,0),0)</f>
        <v>0</v>
      </c>
      <c r="F324" s="156">
        <f>IF(F$2&lt;=analysis_period,IF(SUM($C661:F661)&gt;0,E324+1,0),0)</f>
        <v>0</v>
      </c>
      <c r="G324" s="156">
        <f>IF(G$2&lt;=analysis_period,IF(SUM($C661:G661)&gt;0,F324+1,0),0)</f>
        <v>0</v>
      </c>
      <c r="H324" s="156">
        <f>IF(H$2&lt;=analysis_period,IF(SUM($C661:H661)&gt;0,G324+1,0),0)</f>
        <v>0</v>
      </c>
      <c r="I324" s="156">
        <f>IF(I$2&lt;=analysis_period,IF(SUM($C661:I661)&gt;0,H324+1,0),0)</f>
        <v>0</v>
      </c>
      <c r="J324" s="156">
        <f>IF(J$2&lt;=analysis_period,IF(SUM($C661:J661)&gt;0,I324+1,0),0)</f>
        <v>0</v>
      </c>
      <c r="K324" s="156">
        <f>IF(K$2&lt;=analysis_period,IF(SUM($C661:K661)&gt;0,J324+1,0),0)</f>
        <v>0</v>
      </c>
      <c r="L324" s="156">
        <f>IF(L$2&lt;=analysis_period,IF(SUM($C661:L661)&gt;0,K324+1,0),0)</f>
        <v>0</v>
      </c>
      <c r="M324" s="156">
        <f>IF(M$2&lt;=analysis_period,IF(SUM($C661:M661)&gt;0,L324+1,0),0)</f>
        <v>0</v>
      </c>
      <c r="N324" s="156">
        <f>IF(N$2&lt;=analysis_period,IF(SUM($C661:N661)&gt;0,M324+1,0),0)</f>
        <v>0</v>
      </c>
      <c r="O324" s="156">
        <f>IF(O$2&lt;=analysis_period,IF(SUM($C661:O661)&gt;0,N324+1,0),0)</f>
        <v>0</v>
      </c>
      <c r="P324" s="156">
        <f>IF(P$2&lt;=analysis_period,IF(SUM($C661:P661)&gt;0,O324+1,0),0)</f>
        <v>0</v>
      </c>
      <c r="Q324" s="156">
        <f>IF(Q$2&lt;=analysis_period,IF(SUM($C661:Q661)&gt;0,P324+1,0),0)</f>
        <v>0</v>
      </c>
      <c r="R324" s="156">
        <f>IF(R$2&lt;=analysis_period,IF(SUM($C661:R661)&gt;0,Q324+1,0),0)</f>
        <v>0</v>
      </c>
      <c r="S324" s="156">
        <f>IF(S$2&lt;=analysis_period,IF(SUM($C661:S661)&gt;0,R324+1,0),0)</f>
        <v>0</v>
      </c>
      <c r="T324" s="156">
        <f>IF(T$2&lt;=analysis_period,IF(SUM($C661:T661)&gt;0,S324+1,0),0)</f>
        <v>0</v>
      </c>
      <c r="U324" s="156">
        <f>IF(U$2&lt;=analysis_period,IF(SUM($C661:U661)&gt;0,T324+1,0),0)</f>
        <v>0</v>
      </c>
      <c r="V324" s="156">
        <f>IF(V$2&lt;=analysis_period,IF(SUM($C661:V661)&gt;0,U324+1,0),0)</f>
        <v>0</v>
      </c>
      <c r="W324" s="156">
        <f>IF(W$2&lt;=analysis_period,IF(SUM($C661:W661)&gt;0,V324+1,0),0)</f>
        <v>0</v>
      </c>
      <c r="X324" s="156">
        <f>IF(X$2&lt;=analysis_period,IF(SUM($C661:X661)&gt;0,W324+1,0),0)</f>
        <v>0</v>
      </c>
      <c r="Y324" s="156">
        <f>IF(Y$2&lt;=analysis_period,IF(SUM($C661:Y661)&gt;0,X324+1,0),0)</f>
        <v>0</v>
      </c>
      <c r="Z324" s="156">
        <f>IF(Z$2&lt;=analysis_period,IF(SUM($C661:Z661)&gt;0,Y324+1,0),0)</f>
        <v>0</v>
      </c>
      <c r="AA324" s="156">
        <f>IF(AA$2&lt;=analysis_period,IF(SUM($C661:AA661)&gt;0,Z324+1,0),0)</f>
        <v>0</v>
      </c>
      <c r="AB324" s="156">
        <f>IF(AB$2&lt;=analysis_period,IF(SUM($C661:AB661)&gt;0,AA324+1,0),0)</f>
        <v>0</v>
      </c>
      <c r="AC324" s="156">
        <f>IF(AC$2&lt;=analysis_period,IF(SUM($C661:AC661)&gt;0,AB324+1,0),0)</f>
        <v>0</v>
      </c>
      <c r="AD324" s="156">
        <f>IF(AD$2&lt;=analysis_period,IF(SUM($C661:AD661)&gt;0,AC324+1,0),0)</f>
        <v>0</v>
      </c>
      <c r="AE324" s="156">
        <f>IF(AE$2&lt;=analysis_period,IF(SUM($C661:AE661)&gt;0,AD324+1,0),0)</f>
        <v>0</v>
      </c>
      <c r="AF324" s="156">
        <f>IF(AF$2&lt;=analysis_period,IF(SUM($C661:AF661)&gt;0,AE324+1,0),0)</f>
        <v>0</v>
      </c>
      <c r="AG324" s="156">
        <f>IF(AG$2&lt;=analysis_period,IF(SUM($C661:AG661)&gt;0,AF324+1,0),0)</f>
        <v>0</v>
      </c>
      <c r="AH324" s="156">
        <f>IF(AH$2&lt;=analysis_period,IF(SUM($C661:AH661)&gt;0,AG324+1,0),0)</f>
        <v>0</v>
      </c>
      <c r="AI324" s="156">
        <f>IF(AI$2&lt;=analysis_period,IF(SUM($C661:AI661)&gt;0,AH324+1,0),0)</f>
        <v>0</v>
      </c>
      <c r="AJ324" s="156">
        <f>IF(AJ$2&lt;=analysis_period,IF(SUM($C661:AJ661)&gt;0,AI324+1,0),0)</f>
        <v>0</v>
      </c>
      <c r="AK324" s="156">
        <f>IF(AK$2&lt;=analysis_period,IF(SUM($C661:AK661)&gt;0,AJ324+1,0),0)</f>
        <v>0</v>
      </c>
      <c r="AL324" s="156">
        <f>IF(AL$2&lt;=analysis_period,IF(SUM($C661:AL661)&gt;0,AK324+1,0),0)</f>
        <v>0</v>
      </c>
      <c r="AM324" s="156">
        <f>IF(AM$2&lt;=analysis_period,IF(SUM($C661:AM661)&gt;0,AL324+1,0),0)</f>
        <v>0</v>
      </c>
      <c r="AN324" s="156">
        <f>IF(AN$2&lt;=analysis_period,IF(SUM($C661:AN661)&gt;0,AM324+1,0),0)</f>
        <v>0</v>
      </c>
      <c r="AO324" s="156">
        <f>IF(AO$2&lt;=analysis_period,IF(SUM($C661:AO661)&gt;0,AN324+1,0),0)</f>
        <v>0</v>
      </c>
      <c r="AP324" s="156">
        <f>IF(AP$2&lt;=analysis_period,IF(SUM($C661:AP661)&gt;0,AO324+1,0),0)</f>
        <v>0</v>
      </c>
    </row>
    <row r="325" spans="1:42" x14ac:dyDescent="0.4">
      <c r="A325" s="4">
        <f>A324+1</f>
        <v>2</v>
      </c>
      <c r="B325" s="4">
        <v>0</v>
      </c>
      <c r="C325" s="156">
        <f>IF(C$2&lt;=analysis_period,IF(SUM($C662:C662)&gt;0,B325+1,0),0)</f>
        <v>0</v>
      </c>
      <c r="D325" s="156">
        <f>IF(D$2&lt;=analysis_period,IF(SUM($C662:D662)&gt;0,C325+1,0),0)</f>
        <v>0</v>
      </c>
      <c r="E325" s="156">
        <f>IF(E$2&lt;=analysis_period,IF(SUM($C662:E662)&gt;0,D325+1,0),0)</f>
        <v>0</v>
      </c>
      <c r="F325" s="156">
        <f>IF(F$2&lt;=analysis_period,IF(SUM($C662:F662)&gt;0,E325+1,0),0)</f>
        <v>0</v>
      </c>
      <c r="G325" s="156">
        <f>IF(G$2&lt;=analysis_period,IF(SUM($C662:G662)&gt;0,F325+1,0),0)</f>
        <v>0</v>
      </c>
      <c r="H325" s="156">
        <f>IF(H$2&lt;=analysis_period,IF(SUM($C662:H662)&gt;0,G325+1,0),0)</f>
        <v>0</v>
      </c>
      <c r="I325" s="156">
        <f>IF(I$2&lt;=analysis_period,IF(SUM($C662:I662)&gt;0,H325+1,0),0)</f>
        <v>0</v>
      </c>
      <c r="J325" s="156">
        <f>IF(J$2&lt;=analysis_period,IF(SUM($C662:J662)&gt;0,I325+1,0),0)</f>
        <v>0</v>
      </c>
      <c r="K325" s="156">
        <f>IF(K$2&lt;=analysis_period,IF(SUM($C662:K662)&gt;0,J325+1,0),0)</f>
        <v>0</v>
      </c>
      <c r="L325" s="156">
        <f>IF(L$2&lt;=analysis_period,IF(SUM($C662:L662)&gt;0,K325+1,0),0)</f>
        <v>0</v>
      </c>
      <c r="M325" s="156">
        <f>IF(M$2&lt;=analysis_period,IF(SUM($C662:M662)&gt;0,L325+1,0),0)</f>
        <v>0</v>
      </c>
      <c r="N325" s="156">
        <f>IF(N$2&lt;=analysis_period,IF(SUM($C662:N662)&gt;0,M325+1,0),0)</f>
        <v>0</v>
      </c>
      <c r="O325" s="156">
        <f>IF(O$2&lt;=analysis_period,IF(SUM($C662:O662)&gt;0,N325+1,0),0)</f>
        <v>0</v>
      </c>
      <c r="P325" s="156">
        <f>IF(P$2&lt;=analysis_period,IF(SUM($C662:P662)&gt;0,O325+1,0),0)</f>
        <v>0</v>
      </c>
      <c r="Q325" s="156">
        <f>IF(Q$2&lt;=analysis_period,IF(SUM($C662:Q662)&gt;0,P325+1,0),0)</f>
        <v>0</v>
      </c>
      <c r="R325" s="156">
        <f>IF(R$2&lt;=analysis_period,IF(SUM($C662:R662)&gt;0,Q325+1,0),0)</f>
        <v>0</v>
      </c>
      <c r="S325" s="156">
        <f>IF(S$2&lt;=analysis_period,IF(SUM($C662:S662)&gt;0,R325+1,0),0)</f>
        <v>0</v>
      </c>
      <c r="T325" s="156">
        <f>IF(T$2&lt;=analysis_period,IF(SUM($C662:T662)&gt;0,S325+1,0),0)</f>
        <v>0</v>
      </c>
      <c r="U325" s="156">
        <f>IF(U$2&lt;=analysis_period,IF(SUM($C662:U662)&gt;0,T325+1,0),0)</f>
        <v>0</v>
      </c>
      <c r="V325" s="156">
        <f>IF(V$2&lt;=analysis_period,IF(SUM($C662:V662)&gt;0,U325+1,0),0)</f>
        <v>0</v>
      </c>
      <c r="W325" s="156">
        <f>IF(W$2&lt;=analysis_period,IF(SUM($C662:W662)&gt;0,V325+1,0),0)</f>
        <v>0</v>
      </c>
      <c r="X325" s="156">
        <f>IF(X$2&lt;=analysis_period,IF(SUM($C662:X662)&gt;0,W325+1,0),0)</f>
        <v>0</v>
      </c>
      <c r="Y325" s="156">
        <f>IF(Y$2&lt;=analysis_period,IF(SUM($C662:Y662)&gt;0,X325+1,0),0)</f>
        <v>0</v>
      </c>
      <c r="Z325" s="156">
        <f>IF(Z$2&lt;=analysis_period,IF(SUM($C662:Z662)&gt;0,Y325+1,0),0)</f>
        <v>0</v>
      </c>
      <c r="AA325" s="156">
        <f>IF(AA$2&lt;=analysis_period,IF(SUM($C662:AA662)&gt;0,Z325+1,0),0)</f>
        <v>0</v>
      </c>
      <c r="AB325" s="156">
        <f>IF(AB$2&lt;=analysis_period,IF(SUM($C662:AB662)&gt;0,AA325+1,0),0)</f>
        <v>0</v>
      </c>
      <c r="AC325" s="156">
        <f>IF(AC$2&lt;=analysis_period,IF(SUM($C662:AC662)&gt;0,AB325+1,0),0)</f>
        <v>0</v>
      </c>
      <c r="AD325" s="156">
        <f>IF(AD$2&lt;=analysis_period,IF(SUM($C662:AD662)&gt;0,AC325+1,0),0)</f>
        <v>0</v>
      </c>
      <c r="AE325" s="156">
        <f>IF(AE$2&lt;=analysis_period,IF(SUM($C662:AE662)&gt;0,AD325+1,0),0)</f>
        <v>0</v>
      </c>
      <c r="AF325" s="156">
        <f>IF(AF$2&lt;=analysis_period,IF(SUM($C662:AF662)&gt;0,AE325+1,0),0)</f>
        <v>0</v>
      </c>
      <c r="AG325" s="156">
        <f>IF(AG$2&lt;=analysis_period,IF(SUM($C662:AG662)&gt;0,AF325+1,0),0)</f>
        <v>0</v>
      </c>
      <c r="AH325" s="156">
        <f>IF(AH$2&lt;=analysis_period,IF(SUM($C662:AH662)&gt;0,AG325+1,0),0)</f>
        <v>0</v>
      </c>
      <c r="AI325" s="156">
        <f>IF(AI$2&lt;=analysis_period,IF(SUM($C662:AI662)&gt;0,AH325+1,0),0)</f>
        <v>0</v>
      </c>
      <c r="AJ325" s="156">
        <f>IF(AJ$2&lt;=analysis_period,IF(SUM($C662:AJ662)&gt;0,AI325+1,0),0)</f>
        <v>0</v>
      </c>
      <c r="AK325" s="156">
        <f>IF(AK$2&lt;=analysis_period,IF(SUM($C662:AK662)&gt;0,AJ325+1,0),0)</f>
        <v>0</v>
      </c>
      <c r="AL325" s="156">
        <f>IF(AL$2&lt;=analysis_period,IF(SUM($C662:AL662)&gt;0,AK325+1,0),0)</f>
        <v>0</v>
      </c>
      <c r="AM325" s="156">
        <f>IF(AM$2&lt;=analysis_period,IF(SUM($C662:AM662)&gt;0,AL325+1,0),0)</f>
        <v>0</v>
      </c>
      <c r="AN325" s="156">
        <f>IF(AN$2&lt;=analysis_period,IF(SUM($C662:AN662)&gt;0,AM325+1,0),0)</f>
        <v>0</v>
      </c>
      <c r="AO325" s="156">
        <f>IF(AO$2&lt;=analysis_period,IF(SUM($C662:AO662)&gt;0,AN325+1,0),0)</f>
        <v>0</v>
      </c>
      <c r="AP325" s="156">
        <f>IF(AP$2&lt;=analysis_period,IF(SUM($C662:AP662)&gt;0,AO325+1,0),0)</f>
        <v>0</v>
      </c>
    </row>
    <row r="326" spans="1:42" x14ac:dyDescent="0.4">
      <c r="A326" s="4">
        <f t="shared" ref="A326:A333" si="122">A325+1</f>
        <v>3</v>
      </c>
      <c r="B326" s="4">
        <v>0</v>
      </c>
      <c r="C326" s="156">
        <f>IF(C$2&lt;=analysis_period,IF(SUM($C663:C663)&gt;0,B326+1,0),0)</f>
        <v>0</v>
      </c>
      <c r="D326" s="156">
        <f>IF(D$2&lt;=analysis_period,IF(SUM($C663:D663)&gt;0,C326+1,0),0)</f>
        <v>0</v>
      </c>
      <c r="E326" s="156">
        <f>IF(E$2&lt;=analysis_period,IF(SUM($C663:E663)&gt;0,D326+1,0),0)</f>
        <v>0</v>
      </c>
      <c r="F326" s="156">
        <f>IF(F$2&lt;=analysis_period,IF(SUM($C663:F663)&gt;0,E326+1,0),0)</f>
        <v>0</v>
      </c>
      <c r="G326" s="156">
        <f>IF(G$2&lt;=analysis_period,IF(SUM($C663:G663)&gt;0,F326+1,0),0)</f>
        <v>0</v>
      </c>
      <c r="H326" s="156">
        <f>IF(H$2&lt;=analysis_period,IF(SUM($C663:H663)&gt;0,G326+1,0),0)</f>
        <v>0</v>
      </c>
      <c r="I326" s="156">
        <f>IF(I$2&lt;=analysis_period,IF(SUM($C663:I663)&gt;0,H326+1,0),0)</f>
        <v>0</v>
      </c>
      <c r="J326" s="156">
        <f>IF(J$2&lt;=analysis_period,IF(SUM($C663:J663)&gt;0,I326+1,0),0)</f>
        <v>0</v>
      </c>
      <c r="K326" s="156">
        <f>IF(K$2&lt;=analysis_period,IF(SUM($C663:K663)&gt;0,J326+1,0),0)</f>
        <v>0</v>
      </c>
      <c r="L326" s="156">
        <f>IF(L$2&lt;=analysis_period,IF(SUM($C663:L663)&gt;0,K326+1,0),0)</f>
        <v>0</v>
      </c>
      <c r="M326" s="156">
        <f>IF(M$2&lt;=analysis_period,IF(SUM($C663:M663)&gt;0,L326+1,0),0)</f>
        <v>0</v>
      </c>
      <c r="N326" s="156">
        <f>IF(N$2&lt;=analysis_period,IF(SUM($C663:N663)&gt;0,M326+1,0),0)</f>
        <v>0</v>
      </c>
      <c r="O326" s="156">
        <f>IF(O$2&lt;=analysis_period,IF(SUM($C663:O663)&gt;0,N326+1,0),0)</f>
        <v>0</v>
      </c>
      <c r="P326" s="156">
        <f>IF(P$2&lt;=analysis_period,IF(SUM($C663:P663)&gt;0,O326+1,0),0)</f>
        <v>0</v>
      </c>
      <c r="Q326" s="156">
        <f>IF(Q$2&lt;=analysis_period,IF(SUM($C663:Q663)&gt;0,P326+1,0),0)</f>
        <v>0</v>
      </c>
      <c r="R326" s="156">
        <f>IF(R$2&lt;=analysis_period,IF(SUM($C663:R663)&gt;0,Q326+1,0),0)</f>
        <v>0</v>
      </c>
      <c r="S326" s="156">
        <f>IF(S$2&lt;=analysis_period,IF(SUM($C663:S663)&gt;0,R326+1,0),0)</f>
        <v>0</v>
      </c>
      <c r="T326" s="156">
        <f>IF(T$2&lt;=analysis_period,IF(SUM($C663:T663)&gt;0,S326+1,0),0)</f>
        <v>0</v>
      </c>
      <c r="U326" s="156">
        <f>IF(U$2&lt;=analysis_period,IF(SUM($C663:U663)&gt;0,T326+1,0),0)</f>
        <v>0</v>
      </c>
      <c r="V326" s="156">
        <f>IF(V$2&lt;=analysis_period,IF(SUM($C663:V663)&gt;0,U326+1,0),0)</f>
        <v>0</v>
      </c>
      <c r="W326" s="156">
        <f>IF(W$2&lt;=analysis_period,IF(SUM($C663:W663)&gt;0,V326+1,0),0)</f>
        <v>0</v>
      </c>
      <c r="X326" s="156">
        <f>IF(X$2&lt;=analysis_period,IF(SUM($C663:X663)&gt;0,W326+1,0),0)</f>
        <v>0</v>
      </c>
      <c r="Y326" s="156">
        <f>IF(Y$2&lt;=analysis_period,IF(SUM($C663:Y663)&gt;0,X326+1,0),0)</f>
        <v>0</v>
      </c>
      <c r="Z326" s="156">
        <f>IF(Z$2&lt;=analysis_period,IF(SUM($C663:Z663)&gt;0,Y326+1,0),0)</f>
        <v>0</v>
      </c>
      <c r="AA326" s="156">
        <f>IF(AA$2&lt;=analysis_period,IF(SUM($C663:AA663)&gt;0,Z326+1,0),0)</f>
        <v>0</v>
      </c>
      <c r="AB326" s="156">
        <f>IF(AB$2&lt;=analysis_period,IF(SUM($C663:AB663)&gt;0,AA326+1,0),0)</f>
        <v>0</v>
      </c>
      <c r="AC326" s="156">
        <f>IF(AC$2&lt;=analysis_period,IF(SUM($C663:AC663)&gt;0,AB326+1,0),0)</f>
        <v>0</v>
      </c>
      <c r="AD326" s="156">
        <f>IF(AD$2&lt;=analysis_period,IF(SUM($C663:AD663)&gt;0,AC326+1,0),0)</f>
        <v>0</v>
      </c>
      <c r="AE326" s="156">
        <f>IF(AE$2&lt;=analysis_period,IF(SUM($C663:AE663)&gt;0,AD326+1,0),0)</f>
        <v>0</v>
      </c>
      <c r="AF326" s="156">
        <f>IF(AF$2&lt;=analysis_period,IF(SUM($C663:AF663)&gt;0,AE326+1,0),0)</f>
        <v>0</v>
      </c>
      <c r="AG326" s="156">
        <f>IF(AG$2&lt;=analysis_period,IF(SUM($C663:AG663)&gt;0,AF326+1,0),0)</f>
        <v>0</v>
      </c>
      <c r="AH326" s="156">
        <f>IF(AH$2&lt;=analysis_period,IF(SUM($C663:AH663)&gt;0,AG326+1,0),0)</f>
        <v>0</v>
      </c>
      <c r="AI326" s="156">
        <f>IF(AI$2&lt;=analysis_period,IF(SUM($C663:AI663)&gt;0,AH326+1,0),0)</f>
        <v>0</v>
      </c>
      <c r="AJ326" s="156">
        <f>IF(AJ$2&lt;=analysis_period,IF(SUM($C663:AJ663)&gt;0,AI326+1,0),0)</f>
        <v>0</v>
      </c>
      <c r="AK326" s="156">
        <f>IF(AK$2&lt;=analysis_period,IF(SUM($C663:AK663)&gt;0,AJ326+1,0),0)</f>
        <v>0</v>
      </c>
      <c r="AL326" s="156">
        <f>IF(AL$2&lt;=analysis_period,IF(SUM($C663:AL663)&gt;0,AK326+1,0),0)</f>
        <v>0</v>
      </c>
      <c r="AM326" s="156">
        <f>IF(AM$2&lt;=analysis_period,IF(SUM($C663:AM663)&gt;0,AL326+1,0),0)</f>
        <v>0</v>
      </c>
      <c r="AN326" s="156">
        <f>IF(AN$2&lt;=analysis_period,IF(SUM($C663:AN663)&gt;0,AM326+1,0),0)</f>
        <v>0</v>
      </c>
      <c r="AO326" s="156">
        <f>IF(AO$2&lt;=analysis_period,IF(SUM($C663:AO663)&gt;0,AN326+1,0),0)</f>
        <v>0</v>
      </c>
      <c r="AP326" s="156">
        <f>IF(AP$2&lt;=analysis_period,IF(SUM($C663:AP663)&gt;0,AO326+1,0),0)</f>
        <v>0</v>
      </c>
    </row>
    <row r="327" spans="1:42" x14ac:dyDescent="0.4">
      <c r="A327" s="4">
        <f t="shared" si="122"/>
        <v>4</v>
      </c>
      <c r="B327" s="4">
        <v>0</v>
      </c>
      <c r="C327" s="156">
        <f>IF(C$2&lt;=analysis_period,IF(SUM($C664:C664)&gt;0,B327+1,0),0)</f>
        <v>0</v>
      </c>
      <c r="D327" s="156">
        <f>IF(D$2&lt;=analysis_period,IF(SUM($C664:D664)&gt;0,C327+1,0),0)</f>
        <v>0</v>
      </c>
      <c r="E327" s="156">
        <f>IF(E$2&lt;=analysis_period,IF(SUM($C664:E664)&gt;0,D327+1,0),0)</f>
        <v>0</v>
      </c>
      <c r="F327" s="156">
        <f>IF(F$2&lt;=analysis_period,IF(SUM($C664:F664)&gt;0,E327+1,0),0)</f>
        <v>0</v>
      </c>
      <c r="G327" s="156">
        <f>IF(G$2&lt;=analysis_period,IF(SUM($C664:G664)&gt;0,F327+1,0),0)</f>
        <v>0</v>
      </c>
      <c r="H327" s="156">
        <f>IF(H$2&lt;=analysis_period,IF(SUM($C664:H664)&gt;0,G327+1,0),0)</f>
        <v>0</v>
      </c>
      <c r="I327" s="156">
        <f>IF(I$2&lt;=analysis_period,IF(SUM($C664:I664)&gt;0,H327+1,0),0)</f>
        <v>0</v>
      </c>
      <c r="J327" s="156">
        <f>IF(J$2&lt;=analysis_period,IF(SUM($C664:J664)&gt;0,I327+1,0),0)</f>
        <v>0</v>
      </c>
      <c r="K327" s="156">
        <f>IF(K$2&lt;=analysis_period,IF(SUM($C664:K664)&gt;0,J327+1,0),0)</f>
        <v>0</v>
      </c>
      <c r="L327" s="156">
        <f>IF(L$2&lt;=analysis_period,IF(SUM($C664:L664)&gt;0,K327+1,0),0)</f>
        <v>0</v>
      </c>
      <c r="M327" s="156">
        <f>IF(M$2&lt;=analysis_period,IF(SUM($C664:M664)&gt;0,L327+1,0),0)</f>
        <v>0</v>
      </c>
      <c r="N327" s="156">
        <f>IF(N$2&lt;=analysis_period,IF(SUM($C664:N664)&gt;0,M327+1,0),0)</f>
        <v>0</v>
      </c>
      <c r="O327" s="156">
        <f>IF(O$2&lt;=analysis_period,IF(SUM($C664:O664)&gt;0,N327+1,0),0)</f>
        <v>0</v>
      </c>
      <c r="P327" s="156">
        <f>IF(P$2&lt;=analysis_period,IF(SUM($C664:P664)&gt;0,O327+1,0),0)</f>
        <v>0</v>
      </c>
      <c r="Q327" s="156">
        <f>IF(Q$2&lt;=analysis_period,IF(SUM($C664:Q664)&gt;0,P327+1,0),0)</f>
        <v>0</v>
      </c>
      <c r="R327" s="156">
        <f>IF(R$2&lt;=analysis_period,IF(SUM($C664:R664)&gt;0,Q327+1,0),0)</f>
        <v>0</v>
      </c>
      <c r="S327" s="156">
        <f>IF(S$2&lt;=analysis_period,IF(SUM($C664:S664)&gt;0,R327+1,0),0)</f>
        <v>0</v>
      </c>
      <c r="T327" s="156">
        <f>IF(T$2&lt;=analysis_period,IF(SUM($C664:T664)&gt;0,S327+1,0),0)</f>
        <v>0</v>
      </c>
      <c r="U327" s="156">
        <f>IF(U$2&lt;=analysis_period,IF(SUM($C664:U664)&gt;0,T327+1,0),0)</f>
        <v>0</v>
      </c>
      <c r="V327" s="156">
        <f>IF(V$2&lt;=analysis_period,IF(SUM($C664:V664)&gt;0,U327+1,0),0)</f>
        <v>0</v>
      </c>
      <c r="W327" s="156">
        <f>IF(W$2&lt;=analysis_period,IF(SUM($C664:W664)&gt;0,V327+1,0),0)</f>
        <v>0</v>
      </c>
      <c r="X327" s="156">
        <f>IF(X$2&lt;=analysis_period,IF(SUM($C664:X664)&gt;0,W327+1,0),0)</f>
        <v>0</v>
      </c>
      <c r="Y327" s="156">
        <f>IF(Y$2&lt;=analysis_period,IF(SUM($C664:Y664)&gt;0,X327+1,0),0)</f>
        <v>0</v>
      </c>
      <c r="Z327" s="156">
        <f>IF(Z$2&lt;=analysis_period,IF(SUM($C664:Z664)&gt;0,Y327+1,0),0)</f>
        <v>0</v>
      </c>
      <c r="AA327" s="156">
        <f>IF(AA$2&lt;=analysis_period,IF(SUM($C664:AA664)&gt;0,Z327+1,0),0)</f>
        <v>0</v>
      </c>
      <c r="AB327" s="156">
        <f>IF(AB$2&lt;=analysis_period,IF(SUM($C664:AB664)&gt;0,AA327+1,0),0)</f>
        <v>0</v>
      </c>
      <c r="AC327" s="156">
        <f>IF(AC$2&lt;=analysis_period,IF(SUM($C664:AC664)&gt;0,AB327+1,0),0)</f>
        <v>0</v>
      </c>
      <c r="AD327" s="156">
        <f>IF(AD$2&lt;=analysis_period,IF(SUM($C664:AD664)&gt;0,AC327+1,0),0)</f>
        <v>0</v>
      </c>
      <c r="AE327" s="156">
        <f>IF(AE$2&lt;=analysis_period,IF(SUM($C664:AE664)&gt;0,AD327+1,0),0)</f>
        <v>0</v>
      </c>
      <c r="AF327" s="156">
        <f>IF(AF$2&lt;=analysis_period,IF(SUM($C664:AF664)&gt;0,AE327+1,0),0)</f>
        <v>0</v>
      </c>
      <c r="AG327" s="156">
        <f>IF(AG$2&lt;=analysis_period,IF(SUM($C664:AG664)&gt;0,AF327+1,0),0)</f>
        <v>0</v>
      </c>
      <c r="AH327" s="156">
        <f>IF(AH$2&lt;=analysis_period,IF(SUM($C664:AH664)&gt;0,AG327+1,0),0)</f>
        <v>0</v>
      </c>
      <c r="AI327" s="156">
        <f>IF(AI$2&lt;=analysis_period,IF(SUM($C664:AI664)&gt;0,AH327+1,0),0)</f>
        <v>0</v>
      </c>
      <c r="AJ327" s="156">
        <f>IF(AJ$2&lt;=analysis_period,IF(SUM($C664:AJ664)&gt;0,AI327+1,0),0)</f>
        <v>0</v>
      </c>
      <c r="AK327" s="156">
        <f>IF(AK$2&lt;=analysis_period,IF(SUM($C664:AK664)&gt;0,AJ327+1,0),0)</f>
        <v>0</v>
      </c>
      <c r="AL327" s="156">
        <f>IF(AL$2&lt;=analysis_period,IF(SUM($C664:AL664)&gt;0,AK327+1,0),0)</f>
        <v>0</v>
      </c>
      <c r="AM327" s="156">
        <f>IF(AM$2&lt;=analysis_period,IF(SUM($C664:AM664)&gt;0,AL327+1,0),0)</f>
        <v>0</v>
      </c>
      <c r="AN327" s="156">
        <f>IF(AN$2&lt;=analysis_period,IF(SUM($C664:AN664)&gt;0,AM327+1,0),0)</f>
        <v>0</v>
      </c>
      <c r="AO327" s="156">
        <f>IF(AO$2&lt;=analysis_period,IF(SUM($C664:AO664)&gt;0,AN327+1,0),0)</f>
        <v>0</v>
      </c>
      <c r="AP327" s="156">
        <f>IF(AP$2&lt;=analysis_period,IF(SUM($C664:AP664)&gt;0,AO327+1,0),0)</f>
        <v>0</v>
      </c>
    </row>
    <row r="328" spans="1:42" x14ac:dyDescent="0.4">
      <c r="A328" s="4">
        <f t="shared" si="122"/>
        <v>5</v>
      </c>
      <c r="B328" s="4">
        <v>0</v>
      </c>
      <c r="C328" s="156">
        <f>IF(C$2&lt;=analysis_period,IF(SUM($C665:C665)&gt;0,B328+1,0),0)</f>
        <v>0</v>
      </c>
      <c r="D328" s="156">
        <f>IF(D$2&lt;=analysis_period,IF(SUM($C665:D665)&gt;0,C328+1,0),0)</f>
        <v>0</v>
      </c>
      <c r="E328" s="156">
        <f>IF(E$2&lt;=analysis_period,IF(SUM($C665:E665)&gt;0,D328+1,0),0)</f>
        <v>0</v>
      </c>
      <c r="F328" s="156">
        <f>IF(F$2&lt;=analysis_period,IF(SUM($C665:F665)&gt;0,E328+1,0),0)</f>
        <v>0</v>
      </c>
      <c r="G328" s="156">
        <f>IF(G$2&lt;=analysis_period,IF(SUM($C665:G665)&gt;0,F328+1,0),0)</f>
        <v>0</v>
      </c>
      <c r="H328" s="156">
        <f>IF(H$2&lt;=analysis_period,IF(SUM($C665:H665)&gt;0,G328+1,0),0)</f>
        <v>0</v>
      </c>
      <c r="I328" s="156">
        <f>IF(I$2&lt;=analysis_period,IF(SUM($C665:I665)&gt;0,H328+1,0),0)</f>
        <v>0</v>
      </c>
      <c r="J328" s="156">
        <f>IF(J$2&lt;=analysis_period,IF(SUM($C665:J665)&gt;0,I328+1,0),0)</f>
        <v>0</v>
      </c>
      <c r="K328" s="156">
        <f>IF(K$2&lt;=analysis_period,IF(SUM($C665:K665)&gt;0,J328+1,0),0)</f>
        <v>0</v>
      </c>
      <c r="L328" s="156">
        <f>IF(L$2&lt;=analysis_period,IF(SUM($C665:L665)&gt;0,K328+1,0),0)</f>
        <v>0</v>
      </c>
      <c r="M328" s="156">
        <f>IF(M$2&lt;=analysis_period,IF(SUM($C665:M665)&gt;0,L328+1,0),0)</f>
        <v>0</v>
      </c>
      <c r="N328" s="156">
        <f>IF(N$2&lt;=analysis_period,IF(SUM($C665:N665)&gt;0,M328+1,0),0)</f>
        <v>0</v>
      </c>
      <c r="O328" s="156">
        <f>IF(O$2&lt;=analysis_period,IF(SUM($C665:O665)&gt;0,N328+1,0),0)</f>
        <v>0</v>
      </c>
      <c r="P328" s="156">
        <f>IF(P$2&lt;=analysis_period,IF(SUM($C665:P665)&gt;0,O328+1,0),0)</f>
        <v>0</v>
      </c>
      <c r="Q328" s="156">
        <f>IF(Q$2&lt;=analysis_period,IF(SUM($C665:Q665)&gt;0,P328+1,0),0)</f>
        <v>0</v>
      </c>
      <c r="R328" s="156">
        <f>IF(R$2&lt;=analysis_period,IF(SUM($C665:R665)&gt;0,Q328+1,0),0)</f>
        <v>0</v>
      </c>
      <c r="S328" s="156">
        <f>IF(S$2&lt;=analysis_period,IF(SUM($C665:S665)&gt;0,R328+1,0),0)</f>
        <v>0</v>
      </c>
      <c r="T328" s="156">
        <f>IF(T$2&lt;=analysis_period,IF(SUM($C665:T665)&gt;0,S328+1,0),0)</f>
        <v>0</v>
      </c>
      <c r="U328" s="156">
        <f>IF(U$2&lt;=analysis_period,IF(SUM($C665:U665)&gt;0,T328+1,0),0)</f>
        <v>0</v>
      </c>
      <c r="V328" s="156">
        <f>IF(V$2&lt;=analysis_period,IF(SUM($C665:V665)&gt;0,U328+1,0),0)</f>
        <v>0</v>
      </c>
      <c r="W328" s="156">
        <f>IF(W$2&lt;=analysis_period,IF(SUM($C665:W665)&gt;0,V328+1,0),0)</f>
        <v>0</v>
      </c>
      <c r="X328" s="156">
        <f>IF(X$2&lt;=analysis_period,IF(SUM($C665:X665)&gt;0,W328+1,0),0)</f>
        <v>0</v>
      </c>
      <c r="Y328" s="156">
        <f>IF(Y$2&lt;=analysis_period,IF(SUM($C665:Y665)&gt;0,X328+1,0),0)</f>
        <v>0</v>
      </c>
      <c r="Z328" s="156">
        <f>IF(Z$2&lt;=analysis_period,IF(SUM($C665:Z665)&gt;0,Y328+1,0),0)</f>
        <v>0</v>
      </c>
      <c r="AA328" s="156">
        <f>IF(AA$2&lt;=analysis_period,IF(SUM($C665:AA665)&gt;0,Z328+1,0),0)</f>
        <v>0</v>
      </c>
      <c r="AB328" s="156">
        <f>IF(AB$2&lt;=analysis_period,IF(SUM($C665:AB665)&gt;0,AA328+1,0),0)</f>
        <v>0</v>
      </c>
      <c r="AC328" s="156">
        <f>IF(AC$2&lt;=analysis_period,IF(SUM($C665:AC665)&gt;0,AB328+1,0),0)</f>
        <v>0</v>
      </c>
      <c r="AD328" s="156">
        <f>IF(AD$2&lt;=analysis_period,IF(SUM($C665:AD665)&gt;0,AC328+1,0),0)</f>
        <v>0</v>
      </c>
      <c r="AE328" s="156">
        <f>IF(AE$2&lt;=analysis_period,IF(SUM($C665:AE665)&gt;0,AD328+1,0),0)</f>
        <v>0</v>
      </c>
      <c r="AF328" s="156">
        <f>IF(AF$2&lt;=analysis_period,IF(SUM($C665:AF665)&gt;0,AE328+1,0),0)</f>
        <v>0</v>
      </c>
      <c r="AG328" s="156">
        <f>IF(AG$2&lt;=analysis_period,IF(SUM($C665:AG665)&gt;0,AF328+1,0),0)</f>
        <v>0</v>
      </c>
      <c r="AH328" s="156">
        <f>IF(AH$2&lt;=analysis_period,IF(SUM($C665:AH665)&gt;0,AG328+1,0),0)</f>
        <v>0</v>
      </c>
      <c r="AI328" s="156">
        <f>IF(AI$2&lt;=analysis_period,IF(SUM($C665:AI665)&gt;0,AH328+1,0),0)</f>
        <v>0</v>
      </c>
      <c r="AJ328" s="156">
        <f>IF(AJ$2&lt;=analysis_period,IF(SUM($C665:AJ665)&gt;0,AI328+1,0),0)</f>
        <v>0</v>
      </c>
      <c r="AK328" s="156">
        <f>IF(AK$2&lt;=analysis_period,IF(SUM($C665:AK665)&gt;0,AJ328+1,0),0)</f>
        <v>0</v>
      </c>
      <c r="AL328" s="156">
        <f>IF(AL$2&lt;=analysis_period,IF(SUM($C665:AL665)&gt;0,AK328+1,0),0)</f>
        <v>0</v>
      </c>
      <c r="AM328" s="156">
        <f>IF(AM$2&lt;=analysis_period,IF(SUM($C665:AM665)&gt;0,AL328+1,0),0)</f>
        <v>0</v>
      </c>
      <c r="AN328" s="156">
        <f>IF(AN$2&lt;=analysis_period,IF(SUM($C665:AN665)&gt;0,AM328+1,0),0)</f>
        <v>0</v>
      </c>
      <c r="AO328" s="156">
        <f>IF(AO$2&lt;=analysis_period,IF(SUM($C665:AO665)&gt;0,AN328+1,0),0)</f>
        <v>0</v>
      </c>
      <c r="AP328" s="156">
        <f>IF(AP$2&lt;=analysis_period,IF(SUM($C665:AP665)&gt;0,AO328+1,0),0)</f>
        <v>0</v>
      </c>
    </row>
    <row r="329" spans="1:42" x14ac:dyDescent="0.4">
      <c r="A329" s="4">
        <f t="shared" si="122"/>
        <v>6</v>
      </c>
      <c r="B329" s="4">
        <v>0</v>
      </c>
      <c r="C329" s="156">
        <f>IF(C$2&lt;=analysis_period,IF(SUM($C666:C666)&gt;0,B329+1,0),0)</f>
        <v>0</v>
      </c>
      <c r="D329" s="156">
        <f>IF(D$2&lt;=analysis_period,IF(SUM($C666:D666)&gt;0,C329+1,0),0)</f>
        <v>0</v>
      </c>
      <c r="E329" s="156">
        <f>IF(E$2&lt;=analysis_period,IF(SUM($C666:E666)&gt;0,D329+1,0),0)</f>
        <v>0</v>
      </c>
      <c r="F329" s="156">
        <f>IF(F$2&lt;=analysis_period,IF(SUM($C666:F666)&gt;0,E329+1,0),0)</f>
        <v>0</v>
      </c>
      <c r="G329" s="156">
        <f>IF(G$2&lt;=analysis_period,IF(SUM($C666:G666)&gt;0,F329+1,0),0)</f>
        <v>0</v>
      </c>
      <c r="H329" s="156">
        <f>IF(H$2&lt;=analysis_period,IF(SUM($C666:H666)&gt;0,G329+1,0),0)</f>
        <v>0</v>
      </c>
      <c r="I329" s="156">
        <f>IF(I$2&lt;=analysis_period,IF(SUM($C666:I666)&gt;0,H329+1,0),0)</f>
        <v>0</v>
      </c>
      <c r="J329" s="156">
        <f>IF(J$2&lt;=analysis_period,IF(SUM($C666:J666)&gt;0,I329+1,0),0)</f>
        <v>0</v>
      </c>
      <c r="K329" s="156">
        <f>IF(K$2&lt;=analysis_period,IF(SUM($C666:K666)&gt;0,J329+1,0),0)</f>
        <v>0</v>
      </c>
      <c r="L329" s="156">
        <f>IF(L$2&lt;=analysis_period,IF(SUM($C666:L666)&gt;0,K329+1,0),0)</f>
        <v>0</v>
      </c>
      <c r="M329" s="156">
        <f>IF(M$2&lt;=analysis_period,IF(SUM($C666:M666)&gt;0,L329+1,0),0)</f>
        <v>0</v>
      </c>
      <c r="N329" s="156">
        <f>IF(N$2&lt;=analysis_period,IF(SUM($C666:N666)&gt;0,M329+1,0),0)</f>
        <v>0</v>
      </c>
      <c r="O329" s="156">
        <f>IF(O$2&lt;=analysis_period,IF(SUM($C666:O666)&gt;0,N329+1,0),0)</f>
        <v>0</v>
      </c>
      <c r="P329" s="156">
        <f>IF(P$2&lt;=analysis_period,IF(SUM($C666:P666)&gt;0,O329+1,0),0)</f>
        <v>0</v>
      </c>
      <c r="Q329" s="156">
        <f>IF(Q$2&lt;=analysis_period,IF(SUM($C666:Q666)&gt;0,P329+1,0),0)</f>
        <v>0</v>
      </c>
      <c r="R329" s="156">
        <f>IF(R$2&lt;=analysis_period,IF(SUM($C666:R666)&gt;0,Q329+1,0),0)</f>
        <v>0</v>
      </c>
      <c r="S329" s="156">
        <f>IF(S$2&lt;=analysis_period,IF(SUM($C666:S666)&gt;0,R329+1,0),0)</f>
        <v>0</v>
      </c>
      <c r="T329" s="156">
        <f>IF(T$2&lt;=analysis_period,IF(SUM($C666:T666)&gt;0,S329+1,0),0)</f>
        <v>0</v>
      </c>
      <c r="U329" s="156">
        <f>IF(U$2&lt;=analysis_period,IF(SUM($C666:U666)&gt;0,T329+1,0),0)</f>
        <v>0</v>
      </c>
      <c r="V329" s="156">
        <f>IF(V$2&lt;=analysis_period,IF(SUM($C666:V666)&gt;0,U329+1,0),0)</f>
        <v>0</v>
      </c>
      <c r="W329" s="156">
        <f>IF(W$2&lt;=analysis_period,IF(SUM($C666:W666)&gt;0,V329+1,0),0)</f>
        <v>0</v>
      </c>
      <c r="X329" s="156">
        <f>IF(X$2&lt;=analysis_period,IF(SUM($C666:X666)&gt;0,W329+1,0),0)</f>
        <v>0</v>
      </c>
      <c r="Y329" s="156">
        <f>IF(Y$2&lt;=analysis_period,IF(SUM($C666:Y666)&gt;0,X329+1,0),0)</f>
        <v>0</v>
      </c>
      <c r="Z329" s="156">
        <f>IF(Z$2&lt;=analysis_period,IF(SUM($C666:Z666)&gt;0,Y329+1,0),0)</f>
        <v>0</v>
      </c>
      <c r="AA329" s="156">
        <f>IF(AA$2&lt;=analysis_period,IF(SUM($C666:AA666)&gt;0,Z329+1,0),0)</f>
        <v>0</v>
      </c>
      <c r="AB329" s="156">
        <f>IF(AB$2&lt;=analysis_period,IF(SUM($C666:AB666)&gt;0,AA329+1,0),0)</f>
        <v>0</v>
      </c>
      <c r="AC329" s="156">
        <f>IF(AC$2&lt;=analysis_period,IF(SUM($C666:AC666)&gt;0,AB329+1,0),0)</f>
        <v>0</v>
      </c>
      <c r="AD329" s="156">
        <f>IF(AD$2&lt;=analysis_period,IF(SUM($C666:AD666)&gt;0,AC329+1,0),0)</f>
        <v>0</v>
      </c>
      <c r="AE329" s="156">
        <f>IF(AE$2&lt;=analysis_period,IF(SUM($C666:AE666)&gt;0,AD329+1,0),0)</f>
        <v>0</v>
      </c>
      <c r="AF329" s="156">
        <f>IF(AF$2&lt;=analysis_period,IF(SUM($C666:AF666)&gt;0,AE329+1,0),0)</f>
        <v>0</v>
      </c>
      <c r="AG329" s="156">
        <f>IF(AG$2&lt;=analysis_period,IF(SUM($C666:AG666)&gt;0,AF329+1,0),0)</f>
        <v>0</v>
      </c>
      <c r="AH329" s="156">
        <f>IF(AH$2&lt;=analysis_period,IF(SUM($C666:AH666)&gt;0,AG329+1,0),0)</f>
        <v>0</v>
      </c>
      <c r="AI329" s="156">
        <f>IF(AI$2&lt;=analysis_period,IF(SUM($C666:AI666)&gt;0,AH329+1,0),0)</f>
        <v>0</v>
      </c>
      <c r="AJ329" s="156">
        <f>IF(AJ$2&lt;=analysis_period,IF(SUM($C666:AJ666)&gt;0,AI329+1,0),0)</f>
        <v>0</v>
      </c>
      <c r="AK329" s="156">
        <f>IF(AK$2&lt;=analysis_period,IF(SUM($C666:AK666)&gt;0,AJ329+1,0),0)</f>
        <v>0</v>
      </c>
      <c r="AL329" s="156">
        <f>IF(AL$2&lt;=analysis_period,IF(SUM($C666:AL666)&gt;0,AK329+1,0),0)</f>
        <v>0</v>
      </c>
      <c r="AM329" s="156">
        <f>IF(AM$2&lt;=analysis_period,IF(SUM($C666:AM666)&gt;0,AL329+1,0),0)</f>
        <v>0</v>
      </c>
      <c r="AN329" s="156">
        <f>IF(AN$2&lt;=analysis_period,IF(SUM($C666:AN666)&gt;0,AM329+1,0),0)</f>
        <v>0</v>
      </c>
      <c r="AO329" s="156">
        <f>IF(AO$2&lt;=analysis_period,IF(SUM($C666:AO666)&gt;0,AN329+1,0),0)</f>
        <v>0</v>
      </c>
      <c r="AP329" s="156">
        <f>IF(AP$2&lt;=analysis_period,IF(SUM($C666:AP666)&gt;0,AO329+1,0),0)</f>
        <v>0</v>
      </c>
    </row>
    <row r="330" spans="1:42" x14ac:dyDescent="0.4">
      <c r="A330" s="4">
        <f t="shared" si="122"/>
        <v>7</v>
      </c>
      <c r="B330" s="4">
        <v>0</v>
      </c>
      <c r="C330" s="156">
        <f>IF(C$2&lt;=analysis_period,IF(SUM($C667:C667)&gt;0,B330+1,0),0)</f>
        <v>0</v>
      </c>
      <c r="D330" s="156">
        <f>IF(D$2&lt;=analysis_period,IF(SUM($C667:D667)&gt;0,C330+1,0),0)</f>
        <v>0</v>
      </c>
      <c r="E330" s="156">
        <f>IF(E$2&lt;=analysis_period,IF(SUM($C667:E667)&gt;0,D330+1,0),0)</f>
        <v>0</v>
      </c>
      <c r="F330" s="156">
        <f>IF(F$2&lt;=analysis_period,IF(SUM($C667:F667)&gt;0,E330+1,0),0)</f>
        <v>0</v>
      </c>
      <c r="G330" s="156">
        <f>IF(G$2&lt;=analysis_period,IF(SUM($C667:G667)&gt;0,F330+1,0),0)</f>
        <v>0</v>
      </c>
      <c r="H330" s="156">
        <f>IF(H$2&lt;=analysis_period,IF(SUM($C667:H667)&gt;0,G330+1,0),0)</f>
        <v>0</v>
      </c>
      <c r="I330" s="156">
        <f>IF(I$2&lt;=analysis_period,IF(SUM($C667:I667)&gt;0,H330+1,0),0)</f>
        <v>0</v>
      </c>
      <c r="J330" s="156">
        <f>IF(J$2&lt;=analysis_period,IF(SUM($C667:J667)&gt;0,I330+1,0),0)</f>
        <v>0</v>
      </c>
      <c r="K330" s="156">
        <f>IF(K$2&lt;=analysis_period,IF(SUM($C667:K667)&gt;0,J330+1,0),0)</f>
        <v>0</v>
      </c>
      <c r="L330" s="156">
        <f>IF(L$2&lt;=analysis_period,IF(SUM($C667:L667)&gt;0,K330+1,0),0)</f>
        <v>0</v>
      </c>
      <c r="M330" s="156">
        <f>IF(M$2&lt;=analysis_period,IF(SUM($C667:M667)&gt;0,L330+1,0),0)</f>
        <v>0</v>
      </c>
      <c r="N330" s="156">
        <f>IF(N$2&lt;=analysis_period,IF(SUM($C667:N667)&gt;0,M330+1,0),0)</f>
        <v>0</v>
      </c>
      <c r="O330" s="156">
        <f>IF(O$2&lt;=analysis_period,IF(SUM($C667:O667)&gt;0,N330+1,0),0)</f>
        <v>0</v>
      </c>
      <c r="P330" s="156">
        <f>IF(P$2&lt;=analysis_period,IF(SUM($C667:P667)&gt;0,O330+1,0),0)</f>
        <v>0</v>
      </c>
      <c r="Q330" s="156">
        <f>IF(Q$2&lt;=analysis_period,IF(SUM($C667:Q667)&gt;0,P330+1,0),0)</f>
        <v>0</v>
      </c>
      <c r="R330" s="156">
        <f>IF(R$2&lt;=analysis_period,IF(SUM($C667:R667)&gt;0,Q330+1,0),0)</f>
        <v>0</v>
      </c>
      <c r="S330" s="156">
        <f>IF(S$2&lt;=analysis_period,IF(SUM($C667:S667)&gt;0,R330+1,0),0)</f>
        <v>0</v>
      </c>
      <c r="T330" s="156">
        <f>IF(T$2&lt;=analysis_period,IF(SUM($C667:T667)&gt;0,S330+1,0),0)</f>
        <v>0</v>
      </c>
      <c r="U330" s="156">
        <f>IF(U$2&lt;=analysis_period,IF(SUM($C667:U667)&gt;0,T330+1,0),0)</f>
        <v>0</v>
      </c>
      <c r="V330" s="156">
        <f>IF(V$2&lt;=analysis_period,IF(SUM($C667:V667)&gt;0,U330+1,0),0)</f>
        <v>0</v>
      </c>
      <c r="W330" s="156">
        <f>IF(W$2&lt;=analysis_period,IF(SUM($C667:W667)&gt;0,V330+1,0),0)</f>
        <v>0</v>
      </c>
      <c r="X330" s="156">
        <f>IF(X$2&lt;=analysis_period,IF(SUM($C667:X667)&gt;0,W330+1,0),0)</f>
        <v>0</v>
      </c>
      <c r="Y330" s="156">
        <f>IF(Y$2&lt;=analysis_period,IF(SUM($C667:Y667)&gt;0,X330+1,0),0)</f>
        <v>0</v>
      </c>
      <c r="Z330" s="156">
        <f>IF(Z$2&lt;=analysis_period,IF(SUM($C667:Z667)&gt;0,Y330+1,0),0)</f>
        <v>0</v>
      </c>
      <c r="AA330" s="156">
        <f>IF(AA$2&lt;=analysis_period,IF(SUM($C667:AA667)&gt;0,Z330+1,0),0)</f>
        <v>0</v>
      </c>
      <c r="AB330" s="156">
        <f>IF(AB$2&lt;=analysis_period,IF(SUM($C667:AB667)&gt;0,AA330+1,0),0)</f>
        <v>0</v>
      </c>
      <c r="AC330" s="156">
        <f>IF(AC$2&lt;=analysis_period,IF(SUM($C667:AC667)&gt;0,AB330+1,0),0)</f>
        <v>0</v>
      </c>
      <c r="AD330" s="156">
        <f>IF(AD$2&lt;=analysis_period,IF(SUM($C667:AD667)&gt;0,AC330+1,0),0)</f>
        <v>0</v>
      </c>
      <c r="AE330" s="156">
        <f>IF(AE$2&lt;=analysis_period,IF(SUM($C667:AE667)&gt;0,AD330+1,0),0)</f>
        <v>0</v>
      </c>
      <c r="AF330" s="156">
        <f>IF(AF$2&lt;=analysis_period,IF(SUM($C667:AF667)&gt;0,AE330+1,0),0)</f>
        <v>0</v>
      </c>
      <c r="AG330" s="156">
        <f>IF(AG$2&lt;=analysis_period,IF(SUM($C667:AG667)&gt;0,AF330+1,0),0)</f>
        <v>0</v>
      </c>
      <c r="AH330" s="156">
        <f>IF(AH$2&lt;=analysis_period,IF(SUM($C667:AH667)&gt;0,AG330+1,0),0)</f>
        <v>0</v>
      </c>
      <c r="AI330" s="156">
        <f>IF(AI$2&lt;=analysis_period,IF(SUM($C667:AI667)&gt;0,AH330+1,0),0)</f>
        <v>0</v>
      </c>
      <c r="AJ330" s="156">
        <f>IF(AJ$2&lt;=analysis_period,IF(SUM($C667:AJ667)&gt;0,AI330+1,0),0)</f>
        <v>0</v>
      </c>
      <c r="AK330" s="156">
        <f>IF(AK$2&lt;=analysis_period,IF(SUM($C667:AK667)&gt;0,AJ330+1,0),0)</f>
        <v>0</v>
      </c>
      <c r="AL330" s="156">
        <f>IF(AL$2&lt;=analysis_period,IF(SUM($C667:AL667)&gt;0,AK330+1,0),0)</f>
        <v>0</v>
      </c>
      <c r="AM330" s="156">
        <f>IF(AM$2&lt;=analysis_period,IF(SUM($C667:AM667)&gt;0,AL330+1,0),0)</f>
        <v>0</v>
      </c>
      <c r="AN330" s="156">
        <f>IF(AN$2&lt;=analysis_period,IF(SUM($C667:AN667)&gt;0,AM330+1,0),0)</f>
        <v>0</v>
      </c>
      <c r="AO330" s="156">
        <f>IF(AO$2&lt;=analysis_period,IF(SUM($C667:AO667)&gt;0,AN330+1,0),0)</f>
        <v>0</v>
      </c>
      <c r="AP330" s="156">
        <f>IF(AP$2&lt;=analysis_period,IF(SUM($C667:AP667)&gt;0,AO330+1,0),0)</f>
        <v>0</v>
      </c>
    </row>
    <row r="331" spans="1:42" x14ac:dyDescent="0.4">
      <c r="A331" s="4">
        <f t="shared" si="122"/>
        <v>8</v>
      </c>
      <c r="B331" s="4">
        <v>0</v>
      </c>
      <c r="C331" s="156">
        <f>IF(C$2&lt;=analysis_period,IF(SUM($C668:C668)&gt;0,B331+1,0),0)</f>
        <v>0</v>
      </c>
      <c r="D331" s="156">
        <f>IF(D$2&lt;=analysis_period,IF(SUM($C668:D668)&gt;0,C331+1,0),0)</f>
        <v>0</v>
      </c>
      <c r="E331" s="156">
        <f>IF(E$2&lt;=analysis_period,IF(SUM($C668:E668)&gt;0,D331+1,0),0)</f>
        <v>0</v>
      </c>
      <c r="F331" s="156">
        <f>IF(F$2&lt;=analysis_period,IF(SUM($C668:F668)&gt;0,E331+1,0),0)</f>
        <v>0</v>
      </c>
      <c r="G331" s="156">
        <f>IF(G$2&lt;=analysis_period,IF(SUM($C668:G668)&gt;0,F331+1,0),0)</f>
        <v>0</v>
      </c>
      <c r="H331" s="156">
        <f>IF(H$2&lt;=analysis_period,IF(SUM($C668:H668)&gt;0,G331+1,0),0)</f>
        <v>0</v>
      </c>
      <c r="I331" s="156">
        <f>IF(I$2&lt;=analysis_period,IF(SUM($C668:I668)&gt;0,H331+1,0),0)</f>
        <v>0</v>
      </c>
      <c r="J331" s="156">
        <f>IF(J$2&lt;=analysis_period,IF(SUM($C668:J668)&gt;0,I331+1,0),0)</f>
        <v>0</v>
      </c>
      <c r="K331" s="156">
        <f>IF(K$2&lt;=analysis_period,IF(SUM($C668:K668)&gt;0,J331+1,0),0)</f>
        <v>0</v>
      </c>
      <c r="L331" s="156">
        <f>IF(L$2&lt;=analysis_period,IF(SUM($C668:L668)&gt;0,K331+1,0),0)</f>
        <v>0</v>
      </c>
      <c r="M331" s="156">
        <f>IF(M$2&lt;=analysis_period,IF(SUM($C668:M668)&gt;0,L331+1,0),0)</f>
        <v>0</v>
      </c>
      <c r="N331" s="156">
        <f>IF(N$2&lt;=analysis_period,IF(SUM($C668:N668)&gt;0,M331+1,0),0)</f>
        <v>0</v>
      </c>
      <c r="O331" s="156">
        <f>IF(O$2&lt;=analysis_period,IF(SUM($C668:O668)&gt;0,N331+1,0),0)</f>
        <v>0</v>
      </c>
      <c r="P331" s="156">
        <f>IF(P$2&lt;=analysis_period,IF(SUM($C668:P668)&gt;0,O331+1,0),0)</f>
        <v>0</v>
      </c>
      <c r="Q331" s="156">
        <f>IF(Q$2&lt;=analysis_period,IF(SUM($C668:Q668)&gt;0,P331+1,0),0)</f>
        <v>0</v>
      </c>
      <c r="R331" s="156">
        <f>IF(R$2&lt;=analysis_period,IF(SUM($C668:R668)&gt;0,Q331+1,0),0)</f>
        <v>0</v>
      </c>
      <c r="S331" s="156">
        <f>IF(S$2&lt;=analysis_period,IF(SUM($C668:S668)&gt;0,R331+1,0),0)</f>
        <v>0</v>
      </c>
      <c r="T331" s="156">
        <f>IF(T$2&lt;=analysis_period,IF(SUM($C668:T668)&gt;0,S331+1,0),0)</f>
        <v>0</v>
      </c>
      <c r="U331" s="156">
        <f>IF(U$2&lt;=analysis_period,IF(SUM($C668:U668)&gt;0,T331+1,0),0)</f>
        <v>0</v>
      </c>
      <c r="V331" s="156">
        <f>IF(V$2&lt;=analysis_period,IF(SUM($C668:V668)&gt;0,U331+1,0),0)</f>
        <v>0</v>
      </c>
      <c r="W331" s="156">
        <f>IF(W$2&lt;=analysis_period,IF(SUM($C668:W668)&gt;0,V331+1,0),0)</f>
        <v>0</v>
      </c>
      <c r="X331" s="156">
        <f>IF(X$2&lt;=analysis_period,IF(SUM($C668:X668)&gt;0,W331+1,0),0)</f>
        <v>0</v>
      </c>
      <c r="Y331" s="156">
        <f>IF(Y$2&lt;=analysis_period,IF(SUM($C668:Y668)&gt;0,X331+1,0),0)</f>
        <v>0</v>
      </c>
      <c r="Z331" s="156">
        <f>IF(Z$2&lt;=analysis_period,IF(SUM($C668:Z668)&gt;0,Y331+1,0),0)</f>
        <v>0</v>
      </c>
      <c r="AA331" s="156">
        <f>IF(AA$2&lt;=analysis_period,IF(SUM($C668:AA668)&gt;0,Z331+1,0),0)</f>
        <v>0</v>
      </c>
      <c r="AB331" s="156">
        <f>IF(AB$2&lt;=analysis_period,IF(SUM($C668:AB668)&gt;0,AA331+1,0),0)</f>
        <v>0</v>
      </c>
      <c r="AC331" s="156">
        <f>IF(AC$2&lt;=analysis_period,IF(SUM($C668:AC668)&gt;0,AB331+1,0),0)</f>
        <v>0</v>
      </c>
      <c r="AD331" s="156">
        <f>IF(AD$2&lt;=analysis_period,IF(SUM($C668:AD668)&gt;0,AC331+1,0),0)</f>
        <v>0</v>
      </c>
      <c r="AE331" s="156">
        <f>IF(AE$2&lt;=analysis_period,IF(SUM($C668:AE668)&gt;0,AD331+1,0),0)</f>
        <v>0</v>
      </c>
      <c r="AF331" s="156">
        <f>IF(AF$2&lt;=analysis_period,IF(SUM($C668:AF668)&gt;0,AE331+1,0),0)</f>
        <v>0</v>
      </c>
      <c r="AG331" s="156">
        <f>IF(AG$2&lt;=analysis_period,IF(SUM($C668:AG668)&gt;0,AF331+1,0),0)</f>
        <v>0</v>
      </c>
      <c r="AH331" s="156">
        <f>IF(AH$2&lt;=analysis_period,IF(SUM($C668:AH668)&gt;0,AG331+1,0),0)</f>
        <v>0</v>
      </c>
      <c r="AI331" s="156">
        <f>IF(AI$2&lt;=analysis_period,IF(SUM($C668:AI668)&gt;0,AH331+1,0),0)</f>
        <v>0</v>
      </c>
      <c r="AJ331" s="156">
        <f>IF(AJ$2&lt;=analysis_period,IF(SUM($C668:AJ668)&gt;0,AI331+1,0),0)</f>
        <v>0</v>
      </c>
      <c r="AK331" s="156">
        <f>IF(AK$2&lt;=analysis_period,IF(SUM($C668:AK668)&gt;0,AJ331+1,0),0)</f>
        <v>0</v>
      </c>
      <c r="AL331" s="156">
        <f>IF(AL$2&lt;=analysis_period,IF(SUM($C668:AL668)&gt;0,AK331+1,0),0)</f>
        <v>0</v>
      </c>
      <c r="AM331" s="156">
        <f>IF(AM$2&lt;=analysis_period,IF(SUM($C668:AM668)&gt;0,AL331+1,0),0)</f>
        <v>0</v>
      </c>
      <c r="AN331" s="156">
        <f>IF(AN$2&lt;=analysis_period,IF(SUM($C668:AN668)&gt;0,AM331+1,0),0)</f>
        <v>0</v>
      </c>
      <c r="AO331" s="156">
        <f>IF(AO$2&lt;=analysis_period,IF(SUM($C668:AO668)&gt;0,AN331+1,0),0)</f>
        <v>0</v>
      </c>
      <c r="AP331" s="156">
        <f>IF(AP$2&lt;=analysis_period,IF(SUM($C668:AP668)&gt;0,AO331+1,0),0)</f>
        <v>0</v>
      </c>
    </row>
    <row r="332" spans="1:42" x14ac:dyDescent="0.4">
      <c r="A332" s="4">
        <f>A331+1</f>
        <v>9</v>
      </c>
      <c r="B332" s="4">
        <v>0</v>
      </c>
      <c r="C332" s="156">
        <f>IF(C$2&lt;=analysis_period,IF(SUM($C669:C669)&gt;0,B332+1,0),0)</f>
        <v>0</v>
      </c>
      <c r="D332" s="156">
        <f>IF(D$2&lt;=analysis_period,IF(SUM($C669:D669)&gt;0,C332+1,0),0)</f>
        <v>0</v>
      </c>
      <c r="E332" s="156">
        <f>IF(E$2&lt;=analysis_period,IF(SUM($C669:E669)&gt;0,D332+1,0),0)</f>
        <v>0</v>
      </c>
      <c r="F332" s="156">
        <f>IF(F$2&lt;=analysis_period,IF(SUM($C669:F669)&gt;0,E332+1,0),0)</f>
        <v>0</v>
      </c>
      <c r="G332" s="156">
        <f>IF(G$2&lt;=analysis_period,IF(SUM($C669:G669)&gt;0,F332+1,0),0)</f>
        <v>0</v>
      </c>
      <c r="H332" s="156">
        <f>IF(H$2&lt;=analysis_period,IF(SUM($C669:H669)&gt;0,G332+1,0),0)</f>
        <v>0</v>
      </c>
      <c r="I332" s="156">
        <f>IF(I$2&lt;=analysis_period,IF(SUM($C669:I669)&gt;0,H332+1,0),0)</f>
        <v>0</v>
      </c>
      <c r="J332" s="156">
        <f>IF(J$2&lt;=analysis_period,IF(SUM($C669:J669)&gt;0,I332+1,0),0)</f>
        <v>0</v>
      </c>
      <c r="K332" s="156">
        <f>IF(K$2&lt;=analysis_period,IF(SUM($C669:K669)&gt;0,J332+1,0),0)</f>
        <v>0</v>
      </c>
      <c r="L332" s="156">
        <f>IF(L$2&lt;=analysis_period,IF(SUM($C669:L669)&gt;0,K332+1,0),0)</f>
        <v>0</v>
      </c>
      <c r="M332" s="156">
        <f>IF(M$2&lt;=analysis_period,IF(SUM($C669:M669)&gt;0,L332+1,0),0)</f>
        <v>0</v>
      </c>
      <c r="N332" s="156">
        <f>IF(N$2&lt;=analysis_period,IF(SUM($C669:N669)&gt;0,M332+1,0),0)</f>
        <v>0</v>
      </c>
      <c r="O332" s="156">
        <f>IF(O$2&lt;=analysis_period,IF(SUM($C669:O669)&gt;0,N332+1,0),0)</f>
        <v>0</v>
      </c>
      <c r="P332" s="156">
        <f>IF(P$2&lt;=analysis_period,IF(SUM($C669:P669)&gt;0,O332+1,0),0)</f>
        <v>0</v>
      </c>
      <c r="Q332" s="156">
        <f>IF(Q$2&lt;=analysis_period,IF(SUM($C669:Q669)&gt;0,P332+1,0),0)</f>
        <v>0</v>
      </c>
      <c r="R332" s="156">
        <f>IF(R$2&lt;=analysis_period,IF(SUM($C669:R669)&gt;0,Q332+1,0),0)</f>
        <v>0</v>
      </c>
      <c r="S332" s="156">
        <f>IF(S$2&lt;=analysis_period,IF(SUM($C669:S669)&gt;0,R332+1,0),0)</f>
        <v>0</v>
      </c>
      <c r="T332" s="156">
        <f>IF(T$2&lt;=analysis_period,IF(SUM($C669:T669)&gt;0,S332+1,0),0)</f>
        <v>0</v>
      </c>
      <c r="U332" s="156">
        <f>IF(U$2&lt;=analysis_period,IF(SUM($C669:U669)&gt;0,T332+1,0),0)</f>
        <v>0</v>
      </c>
      <c r="V332" s="156">
        <f>IF(V$2&lt;=analysis_period,IF(SUM($C669:V669)&gt;0,U332+1,0),0)</f>
        <v>0</v>
      </c>
      <c r="W332" s="156">
        <f>IF(W$2&lt;=analysis_period,IF(SUM($C669:W669)&gt;0,V332+1,0),0)</f>
        <v>0</v>
      </c>
      <c r="X332" s="156">
        <f>IF(X$2&lt;=analysis_period,IF(SUM($C669:X669)&gt;0,W332+1,0),0)</f>
        <v>0</v>
      </c>
      <c r="Y332" s="156">
        <f>IF(Y$2&lt;=analysis_period,IF(SUM($C669:Y669)&gt;0,X332+1,0),0)</f>
        <v>0</v>
      </c>
      <c r="Z332" s="156">
        <f>IF(Z$2&lt;=analysis_period,IF(SUM($C669:Z669)&gt;0,Y332+1,0),0)</f>
        <v>0</v>
      </c>
      <c r="AA332" s="156">
        <f>IF(AA$2&lt;=analysis_period,IF(SUM($C669:AA669)&gt;0,Z332+1,0),0)</f>
        <v>0</v>
      </c>
      <c r="AB332" s="156">
        <f>IF(AB$2&lt;=analysis_period,IF(SUM($C669:AB669)&gt;0,AA332+1,0),0)</f>
        <v>0</v>
      </c>
      <c r="AC332" s="156">
        <f>IF(AC$2&lt;=analysis_period,IF(SUM($C669:AC669)&gt;0,AB332+1,0),0)</f>
        <v>0</v>
      </c>
      <c r="AD332" s="156">
        <f>IF(AD$2&lt;=analysis_period,IF(SUM($C669:AD669)&gt;0,AC332+1,0),0)</f>
        <v>0</v>
      </c>
      <c r="AE332" s="156">
        <f>IF(AE$2&lt;=analysis_period,IF(SUM($C669:AE669)&gt;0,AD332+1,0),0)</f>
        <v>0</v>
      </c>
      <c r="AF332" s="156">
        <f>IF(AF$2&lt;=analysis_period,IF(SUM($C669:AF669)&gt;0,AE332+1,0),0)</f>
        <v>0</v>
      </c>
      <c r="AG332" s="156">
        <f>IF(AG$2&lt;=analysis_period,IF(SUM($C669:AG669)&gt;0,AF332+1,0),0)</f>
        <v>0</v>
      </c>
      <c r="AH332" s="156">
        <f>IF(AH$2&lt;=analysis_period,IF(SUM($C669:AH669)&gt;0,AG332+1,0),0)</f>
        <v>0</v>
      </c>
      <c r="AI332" s="156">
        <f>IF(AI$2&lt;=analysis_period,IF(SUM($C669:AI669)&gt;0,AH332+1,0),0)</f>
        <v>0</v>
      </c>
      <c r="AJ332" s="156">
        <f>IF(AJ$2&lt;=analysis_period,IF(SUM($C669:AJ669)&gt;0,AI332+1,0),0)</f>
        <v>0</v>
      </c>
      <c r="AK332" s="156">
        <f>IF(AK$2&lt;=analysis_period,IF(SUM($C669:AK669)&gt;0,AJ332+1,0),0)</f>
        <v>0</v>
      </c>
      <c r="AL332" s="156">
        <f>IF(AL$2&lt;=analysis_period,IF(SUM($C669:AL669)&gt;0,AK332+1,0),0)</f>
        <v>0</v>
      </c>
      <c r="AM332" s="156">
        <f>IF(AM$2&lt;=analysis_period,IF(SUM($C669:AM669)&gt;0,AL332+1,0),0)</f>
        <v>0</v>
      </c>
      <c r="AN332" s="156">
        <f>IF(AN$2&lt;=analysis_period,IF(SUM($C669:AN669)&gt;0,AM332+1,0),0)</f>
        <v>0</v>
      </c>
      <c r="AO332" s="156">
        <f>IF(AO$2&lt;=analysis_period,IF(SUM($C669:AO669)&gt;0,AN332+1,0),0)</f>
        <v>0</v>
      </c>
      <c r="AP332" s="156">
        <f>IF(AP$2&lt;=analysis_period,IF(SUM($C669:AP669)&gt;0,AO332+1,0),0)</f>
        <v>0</v>
      </c>
    </row>
    <row r="333" spans="1:42" x14ac:dyDescent="0.4">
      <c r="A333" s="4">
        <f t="shared" si="122"/>
        <v>10</v>
      </c>
      <c r="B333" s="4">
        <v>0</v>
      </c>
      <c r="C333" s="156">
        <f>IF(C$2&lt;=analysis_period,IF(SUM($C670:C670)&gt;0,B333+1,0),0)</f>
        <v>0</v>
      </c>
      <c r="D333" s="156">
        <f>IF(D$2&lt;=analysis_period,IF(SUM($C670:D670)&gt;0,C333+1,0),0)</f>
        <v>0</v>
      </c>
      <c r="E333" s="156">
        <f>IF(E$2&lt;=analysis_period,IF(SUM($C670:E670)&gt;0,D333+1,0),0)</f>
        <v>0</v>
      </c>
      <c r="F333" s="156">
        <f>IF(F$2&lt;=analysis_period,IF(SUM($C670:F670)&gt;0,E333+1,0),0)</f>
        <v>0</v>
      </c>
      <c r="G333" s="156">
        <f>IF(G$2&lt;=analysis_period,IF(SUM($C670:G670)&gt;0,F333+1,0),0)</f>
        <v>0</v>
      </c>
      <c r="H333" s="156">
        <f>IF(H$2&lt;=analysis_period,IF(SUM($C670:H670)&gt;0,G333+1,0),0)</f>
        <v>0</v>
      </c>
      <c r="I333" s="156">
        <f>IF(I$2&lt;=analysis_period,IF(SUM($C670:I670)&gt;0,H333+1,0),0)</f>
        <v>0</v>
      </c>
      <c r="J333" s="156">
        <f>IF(J$2&lt;=analysis_period,IF(SUM($C670:J670)&gt;0,I333+1,0),0)</f>
        <v>0</v>
      </c>
      <c r="K333" s="156">
        <f>IF(K$2&lt;=analysis_period,IF(SUM($C670:K670)&gt;0,J333+1,0),0)</f>
        <v>0</v>
      </c>
      <c r="L333" s="156">
        <f>IF(L$2&lt;=analysis_period,IF(SUM($C670:L670)&gt;0,K333+1,0),0)</f>
        <v>0</v>
      </c>
      <c r="M333" s="156">
        <f>IF(M$2&lt;=analysis_period,IF(SUM($C670:M670)&gt;0,L333+1,0),0)</f>
        <v>0</v>
      </c>
      <c r="N333" s="156">
        <f>IF(N$2&lt;=analysis_period,IF(SUM($C670:N670)&gt;0,M333+1,0),0)</f>
        <v>0</v>
      </c>
      <c r="O333" s="156">
        <f>IF(O$2&lt;=analysis_period,IF(SUM($C670:O670)&gt;0,N333+1,0),0)</f>
        <v>0</v>
      </c>
      <c r="P333" s="156">
        <f>IF(P$2&lt;=analysis_period,IF(SUM($C670:P670)&gt;0,O333+1,0),0)</f>
        <v>0</v>
      </c>
      <c r="Q333" s="156">
        <f>IF(Q$2&lt;=analysis_period,IF(SUM($C670:Q670)&gt;0,P333+1,0),0)</f>
        <v>0</v>
      </c>
      <c r="R333" s="156">
        <f>IF(R$2&lt;=analysis_period,IF(SUM($C670:R670)&gt;0,Q333+1,0),0)</f>
        <v>0</v>
      </c>
      <c r="S333" s="156">
        <f>IF(S$2&lt;=analysis_period,IF(SUM($C670:S670)&gt;0,R333+1,0),0)</f>
        <v>0</v>
      </c>
      <c r="T333" s="156">
        <f>IF(T$2&lt;=analysis_period,IF(SUM($C670:T670)&gt;0,S333+1,0),0)</f>
        <v>0</v>
      </c>
      <c r="U333" s="156">
        <f>IF(U$2&lt;=analysis_period,IF(SUM($C670:U670)&gt;0,T333+1,0),0)</f>
        <v>0</v>
      </c>
      <c r="V333" s="156">
        <f>IF(V$2&lt;=analysis_period,IF(SUM($C670:V670)&gt;0,U333+1,0),0)</f>
        <v>0</v>
      </c>
      <c r="W333" s="156">
        <f>IF(W$2&lt;=analysis_period,IF(SUM($C670:W670)&gt;0,V333+1,0),0)</f>
        <v>0</v>
      </c>
      <c r="X333" s="156">
        <f>IF(X$2&lt;=analysis_period,IF(SUM($C670:X670)&gt;0,W333+1,0),0)</f>
        <v>0</v>
      </c>
      <c r="Y333" s="156">
        <f>IF(Y$2&lt;=analysis_period,IF(SUM($C670:Y670)&gt;0,X333+1,0),0)</f>
        <v>0</v>
      </c>
      <c r="Z333" s="156">
        <f>IF(Z$2&lt;=analysis_period,IF(SUM($C670:Z670)&gt;0,Y333+1,0),0)</f>
        <v>0</v>
      </c>
      <c r="AA333" s="156">
        <f>IF(AA$2&lt;=analysis_period,IF(SUM($C670:AA670)&gt;0,Z333+1,0),0)</f>
        <v>0</v>
      </c>
      <c r="AB333" s="156">
        <f>IF(AB$2&lt;=analysis_period,IF(SUM($C670:AB670)&gt;0,AA333+1,0),0)</f>
        <v>0</v>
      </c>
      <c r="AC333" s="156">
        <f>IF(AC$2&lt;=analysis_period,IF(SUM($C670:AC670)&gt;0,AB333+1,0),0)</f>
        <v>0</v>
      </c>
      <c r="AD333" s="156">
        <f>IF(AD$2&lt;=analysis_period,IF(SUM($C670:AD670)&gt;0,AC333+1,0),0)</f>
        <v>0</v>
      </c>
      <c r="AE333" s="156">
        <f>IF(AE$2&lt;=analysis_period,IF(SUM($C670:AE670)&gt;0,AD333+1,0),0)</f>
        <v>0</v>
      </c>
      <c r="AF333" s="156">
        <f>IF(AF$2&lt;=analysis_period,IF(SUM($C670:AF670)&gt;0,AE333+1,0),0)</f>
        <v>0</v>
      </c>
      <c r="AG333" s="156">
        <f>IF(AG$2&lt;=analysis_period,IF(SUM($C670:AG670)&gt;0,AF333+1,0),0)</f>
        <v>0</v>
      </c>
      <c r="AH333" s="156">
        <f>IF(AH$2&lt;=analysis_period,IF(SUM($C670:AH670)&gt;0,AG333+1,0),0)</f>
        <v>0</v>
      </c>
      <c r="AI333" s="156">
        <f>IF(AI$2&lt;=analysis_period,IF(SUM($C670:AI670)&gt;0,AH333+1,0),0)</f>
        <v>0</v>
      </c>
      <c r="AJ333" s="156">
        <f>IF(AJ$2&lt;=analysis_period,IF(SUM($C670:AJ670)&gt;0,AI333+1,0),0)</f>
        <v>0</v>
      </c>
      <c r="AK333" s="156">
        <f>IF(AK$2&lt;=analysis_period,IF(SUM($C670:AK670)&gt;0,AJ333+1,0),0)</f>
        <v>0</v>
      </c>
      <c r="AL333" s="156">
        <f>IF(AL$2&lt;=analysis_period,IF(SUM($C670:AL670)&gt;0,AK333+1,0),0)</f>
        <v>0</v>
      </c>
      <c r="AM333" s="156">
        <f>IF(AM$2&lt;=analysis_period,IF(SUM($C670:AM670)&gt;0,AL333+1,0),0)</f>
        <v>0</v>
      </c>
      <c r="AN333" s="156">
        <f>IF(AN$2&lt;=analysis_period,IF(SUM($C670:AN670)&gt;0,AM333+1,0),0)</f>
        <v>0</v>
      </c>
      <c r="AO333" s="156">
        <f>IF(AO$2&lt;=analysis_period,IF(SUM($C670:AO670)&gt;0,AN333+1,0),0)</f>
        <v>0</v>
      </c>
      <c r="AP333" s="156">
        <f>IF(AP$2&lt;=analysis_period,IF(SUM($C670:AP670)&gt;0,AO333+1,0),0)</f>
        <v>0</v>
      </c>
    </row>
    <row r="334" spans="1:42" x14ac:dyDescent="0.4">
      <c r="A334" s="87" t="s">
        <v>3</v>
      </c>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row>
    <row r="335" spans="1:42" x14ac:dyDescent="0.4">
      <c r="A335" s="4">
        <v>1</v>
      </c>
      <c r="B335" s="171">
        <f>SUM(C335:AP335)</f>
        <v>0</v>
      </c>
      <c r="C335" s="156">
        <f t="shared" ref="C335:AP335" si="123">LOOKUP(C324,$B$319:$AP$319,$B$320:$AP$320)/100*$B661</f>
        <v>0</v>
      </c>
      <c r="D335" s="156">
        <f t="shared" si="123"/>
        <v>0</v>
      </c>
      <c r="E335" s="156">
        <f t="shared" si="123"/>
        <v>0</v>
      </c>
      <c r="F335" s="156">
        <f t="shared" si="123"/>
        <v>0</v>
      </c>
      <c r="G335" s="156">
        <f t="shared" si="123"/>
        <v>0</v>
      </c>
      <c r="H335" s="156">
        <f t="shared" si="123"/>
        <v>0</v>
      </c>
      <c r="I335" s="156">
        <f t="shared" si="123"/>
        <v>0</v>
      </c>
      <c r="J335" s="156">
        <f t="shared" si="123"/>
        <v>0</v>
      </c>
      <c r="K335" s="156">
        <f t="shared" si="123"/>
        <v>0</v>
      </c>
      <c r="L335" s="156">
        <f t="shared" si="123"/>
        <v>0</v>
      </c>
      <c r="M335" s="156">
        <f t="shared" si="123"/>
        <v>0</v>
      </c>
      <c r="N335" s="156">
        <f t="shared" si="123"/>
        <v>0</v>
      </c>
      <c r="O335" s="156">
        <f t="shared" si="123"/>
        <v>0</v>
      </c>
      <c r="P335" s="156">
        <f t="shared" si="123"/>
        <v>0</v>
      </c>
      <c r="Q335" s="156">
        <f t="shared" si="123"/>
        <v>0</v>
      </c>
      <c r="R335" s="156">
        <f t="shared" si="123"/>
        <v>0</v>
      </c>
      <c r="S335" s="156">
        <f t="shared" si="123"/>
        <v>0</v>
      </c>
      <c r="T335" s="156">
        <f t="shared" si="123"/>
        <v>0</v>
      </c>
      <c r="U335" s="156">
        <f t="shared" si="123"/>
        <v>0</v>
      </c>
      <c r="V335" s="156">
        <f t="shared" si="123"/>
        <v>0</v>
      </c>
      <c r="W335" s="156">
        <f t="shared" si="123"/>
        <v>0</v>
      </c>
      <c r="X335" s="156">
        <f t="shared" si="123"/>
        <v>0</v>
      </c>
      <c r="Y335" s="156">
        <f t="shared" si="123"/>
        <v>0</v>
      </c>
      <c r="Z335" s="156">
        <f t="shared" si="123"/>
        <v>0</v>
      </c>
      <c r="AA335" s="156">
        <f t="shared" si="123"/>
        <v>0</v>
      </c>
      <c r="AB335" s="156">
        <f t="shared" si="123"/>
        <v>0</v>
      </c>
      <c r="AC335" s="156">
        <f t="shared" si="123"/>
        <v>0</v>
      </c>
      <c r="AD335" s="156">
        <f t="shared" si="123"/>
        <v>0</v>
      </c>
      <c r="AE335" s="156">
        <f t="shared" si="123"/>
        <v>0</v>
      </c>
      <c r="AF335" s="156">
        <f t="shared" si="123"/>
        <v>0</v>
      </c>
      <c r="AG335" s="156">
        <f t="shared" si="123"/>
        <v>0</v>
      </c>
      <c r="AH335" s="156">
        <f t="shared" si="123"/>
        <v>0</v>
      </c>
      <c r="AI335" s="156">
        <f t="shared" si="123"/>
        <v>0</v>
      </c>
      <c r="AJ335" s="156">
        <f t="shared" si="123"/>
        <v>0</v>
      </c>
      <c r="AK335" s="156">
        <f t="shared" si="123"/>
        <v>0</v>
      </c>
      <c r="AL335" s="156">
        <f t="shared" si="123"/>
        <v>0</v>
      </c>
      <c r="AM335" s="156">
        <f t="shared" si="123"/>
        <v>0</v>
      </c>
      <c r="AN335" s="156">
        <f t="shared" si="123"/>
        <v>0</v>
      </c>
      <c r="AO335" s="156">
        <f t="shared" si="123"/>
        <v>0</v>
      </c>
      <c r="AP335" s="156">
        <f t="shared" si="123"/>
        <v>0</v>
      </c>
    </row>
    <row r="336" spans="1:42" x14ac:dyDescent="0.4">
      <c r="A336" s="4">
        <f>A335+1</f>
        <v>2</v>
      </c>
      <c r="B336" s="171">
        <f t="shared" ref="B336:B344" si="124">SUM(C336:AP336)</f>
        <v>0</v>
      </c>
      <c r="C336" s="156">
        <f t="shared" ref="C336:AP336" si="125">LOOKUP(C325,$B$319:$AP$319,$B$320:$AP$320)/100*$B662</f>
        <v>0</v>
      </c>
      <c r="D336" s="156">
        <f t="shared" si="125"/>
        <v>0</v>
      </c>
      <c r="E336" s="156">
        <f t="shared" si="125"/>
        <v>0</v>
      </c>
      <c r="F336" s="156">
        <f t="shared" si="125"/>
        <v>0</v>
      </c>
      <c r="G336" s="156">
        <f t="shared" si="125"/>
        <v>0</v>
      </c>
      <c r="H336" s="156">
        <f t="shared" si="125"/>
        <v>0</v>
      </c>
      <c r="I336" s="156">
        <f t="shared" si="125"/>
        <v>0</v>
      </c>
      <c r="J336" s="156">
        <f t="shared" si="125"/>
        <v>0</v>
      </c>
      <c r="K336" s="156">
        <f t="shared" si="125"/>
        <v>0</v>
      </c>
      <c r="L336" s="156">
        <f t="shared" si="125"/>
        <v>0</v>
      </c>
      <c r="M336" s="156">
        <f t="shared" si="125"/>
        <v>0</v>
      </c>
      <c r="N336" s="156">
        <f t="shared" si="125"/>
        <v>0</v>
      </c>
      <c r="O336" s="156">
        <f t="shared" si="125"/>
        <v>0</v>
      </c>
      <c r="P336" s="156">
        <f t="shared" si="125"/>
        <v>0</v>
      </c>
      <c r="Q336" s="156">
        <f t="shared" si="125"/>
        <v>0</v>
      </c>
      <c r="R336" s="156">
        <f t="shared" si="125"/>
        <v>0</v>
      </c>
      <c r="S336" s="156">
        <f t="shared" si="125"/>
        <v>0</v>
      </c>
      <c r="T336" s="156">
        <f t="shared" si="125"/>
        <v>0</v>
      </c>
      <c r="U336" s="156">
        <f t="shared" si="125"/>
        <v>0</v>
      </c>
      <c r="V336" s="156">
        <f t="shared" si="125"/>
        <v>0</v>
      </c>
      <c r="W336" s="156">
        <f t="shared" si="125"/>
        <v>0</v>
      </c>
      <c r="X336" s="156">
        <f t="shared" si="125"/>
        <v>0</v>
      </c>
      <c r="Y336" s="156">
        <f t="shared" si="125"/>
        <v>0</v>
      </c>
      <c r="Z336" s="156">
        <f t="shared" si="125"/>
        <v>0</v>
      </c>
      <c r="AA336" s="156">
        <f t="shared" si="125"/>
        <v>0</v>
      </c>
      <c r="AB336" s="156">
        <f t="shared" si="125"/>
        <v>0</v>
      </c>
      <c r="AC336" s="156">
        <f t="shared" si="125"/>
        <v>0</v>
      </c>
      <c r="AD336" s="156">
        <f t="shared" si="125"/>
        <v>0</v>
      </c>
      <c r="AE336" s="156">
        <f t="shared" si="125"/>
        <v>0</v>
      </c>
      <c r="AF336" s="156">
        <f t="shared" si="125"/>
        <v>0</v>
      </c>
      <c r="AG336" s="156">
        <f t="shared" si="125"/>
        <v>0</v>
      </c>
      <c r="AH336" s="156">
        <f t="shared" si="125"/>
        <v>0</v>
      </c>
      <c r="AI336" s="156">
        <f t="shared" si="125"/>
        <v>0</v>
      </c>
      <c r="AJ336" s="156">
        <f t="shared" si="125"/>
        <v>0</v>
      </c>
      <c r="AK336" s="156">
        <f t="shared" si="125"/>
        <v>0</v>
      </c>
      <c r="AL336" s="156">
        <f t="shared" si="125"/>
        <v>0</v>
      </c>
      <c r="AM336" s="156">
        <f t="shared" si="125"/>
        <v>0</v>
      </c>
      <c r="AN336" s="156">
        <f t="shared" si="125"/>
        <v>0</v>
      </c>
      <c r="AO336" s="156">
        <f t="shared" si="125"/>
        <v>0</v>
      </c>
      <c r="AP336" s="156">
        <f t="shared" si="125"/>
        <v>0</v>
      </c>
    </row>
    <row r="337" spans="1:42" x14ac:dyDescent="0.4">
      <c r="A337" s="4">
        <f t="shared" ref="A337:A344" si="126">A336+1</f>
        <v>3</v>
      </c>
      <c r="B337" s="171">
        <f t="shared" si="124"/>
        <v>0</v>
      </c>
      <c r="C337" s="156">
        <f t="shared" ref="C337:AP337" si="127">LOOKUP(C326,$B$319:$AP$319,$B$320:$AP$320)/100*$B663</f>
        <v>0</v>
      </c>
      <c r="D337" s="156">
        <f t="shared" si="127"/>
        <v>0</v>
      </c>
      <c r="E337" s="156">
        <f t="shared" si="127"/>
        <v>0</v>
      </c>
      <c r="F337" s="156">
        <f t="shared" si="127"/>
        <v>0</v>
      </c>
      <c r="G337" s="156">
        <f t="shared" si="127"/>
        <v>0</v>
      </c>
      <c r="H337" s="156">
        <f t="shared" si="127"/>
        <v>0</v>
      </c>
      <c r="I337" s="156">
        <f t="shared" si="127"/>
        <v>0</v>
      </c>
      <c r="J337" s="156">
        <f t="shared" si="127"/>
        <v>0</v>
      </c>
      <c r="K337" s="156">
        <f t="shared" si="127"/>
        <v>0</v>
      </c>
      <c r="L337" s="156">
        <f t="shared" si="127"/>
        <v>0</v>
      </c>
      <c r="M337" s="156">
        <f t="shared" si="127"/>
        <v>0</v>
      </c>
      <c r="N337" s="156">
        <f t="shared" si="127"/>
        <v>0</v>
      </c>
      <c r="O337" s="156">
        <f t="shared" si="127"/>
        <v>0</v>
      </c>
      <c r="P337" s="156">
        <f t="shared" si="127"/>
        <v>0</v>
      </c>
      <c r="Q337" s="156">
        <f t="shared" si="127"/>
        <v>0</v>
      </c>
      <c r="R337" s="156">
        <f t="shared" si="127"/>
        <v>0</v>
      </c>
      <c r="S337" s="156">
        <f t="shared" si="127"/>
        <v>0</v>
      </c>
      <c r="T337" s="156">
        <f t="shared" si="127"/>
        <v>0</v>
      </c>
      <c r="U337" s="156">
        <f t="shared" si="127"/>
        <v>0</v>
      </c>
      <c r="V337" s="156">
        <f t="shared" si="127"/>
        <v>0</v>
      </c>
      <c r="W337" s="156">
        <f t="shared" si="127"/>
        <v>0</v>
      </c>
      <c r="X337" s="156">
        <f t="shared" si="127"/>
        <v>0</v>
      </c>
      <c r="Y337" s="156">
        <f t="shared" si="127"/>
        <v>0</v>
      </c>
      <c r="Z337" s="156">
        <f t="shared" si="127"/>
        <v>0</v>
      </c>
      <c r="AA337" s="156">
        <f t="shared" si="127"/>
        <v>0</v>
      </c>
      <c r="AB337" s="156">
        <f t="shared" si="127"/>
        <v>0</v>
      </c>
      <c r="AC337" s="156">
        <f t="shared" si="127"/>
        <v>0</v>
      </c>
      <c r="AD337" s="156">
        <f t="shared" si="127"/>
        <v>0</v>
      </c>
      <c r="AE337" s="156">
        <f t="shared" si="127"/>
        <v>0</v>
      </c>
      <c r="AF337" s="156">
        <f t="shared" si="127"/>
        <v>0</v>
      </c>
      <c r="AG337" s="156">
        <f t="shared" si="127"/>
        <v>0</v>
      </c>
      <c r="AH337" s="156">
        <f t="shared" si="127"/>
        <v>0</v>
      </c>
      <c r="AI337" s="156">
        <f t="shared" si="127"/>
        <v>0</v>
      </c>
      <c r="AJ337" s="156">
        <f t="shared" si="127"/>
        <v>0</v>
      </c>
      <c r="AK337" s="156">
        <f t="shared" si="127"/>
        <v>0</v>
      </c>
      <c r="AL337" s="156">
        <f t="shared" si="127"/>
        <v>0</v>
      </c>
      <c r="AM337" s="156">
        <f t="shared" si="127"/>
        <v>0</v>
      </c>
      <c r="AN337" s="156">
        <f t="shared" si="127"/>
        <v>0</v>
      </c>
      <c r="AO337" s="156">
        <f t="shared" si="127"/>
        <v>0</v>
      </c>
      <c r="AP337" s="156">
        <f t="shared" si="127"/>
        <v>0</v>
      </c>
    </row>
    <row r="338" spans="1:42" x14ac:dyDescent="0.4">
      <c r="A338" s="4">
        <f t="shared" si="126"/>
        <v>4</v>
      </c>
      <c r="B338" s="171">
        <f t="shared" si="124"/>
        <v>0</v>
      </c>
      <c r="C338" s="156">
        <f t="shared" ref="C338:AP338" si="128">LOOKUP(C327,$B$319:$AP$319,$B$320:$AP$320)/100*$B664</f>
        <v>0</v>
      </c>
      <c r="D338" s="156">
        <f t="shared" si="128"/>
        <v>0</v>
      </c>
      <c r="E338" s="156">
        <f t="shared" si="128"/>
        <v>0</v>
      </c>
      <c r="F338" s="156">
        <f t="shared" si="128"/>
        <v>0</v>
      </c>
      <c r="G338" s="156">
        <f t="shared" si="128"/>
        <v>0</v>
      </c>
      <c r="H338" s="156">
        <f t="shared" si="128"/>
        <v>0</v>
      </c>
      <c r="I338" s="156">
        <f t="shared" si="128"/>
        <v>0</v>
      </c>
      <c r="J338" s="156">
        <f t="shared" si="128"/>
        <v>0</v>
      </c>
      <c r="K338" s="156">
        <f t="shared" si="128"/>
        <v>0</v>
      </c>
      <c r="L338" s="156">
        <f t="shared" si="128"/>
        <v>0</v>
      </c>
      <c r="M338" s="156">
        <f t="shared" si="128"/>
        <v>0</v>
      </c>
      <c r="N338" s="156">
        <f t="shared" si="128"/>
        <v>0</v>
      </c>
      <c r="O338" s="156">
        <f t="shared" si="128"/>
        <v>0</v>
      </c>
      <c r="P338" s="156">
        <f t="shared" si="128"/>
        <v>0</v>
      </c>
      <c r="Q338" s="156">
        <f t="shared" si="128"/>
        <v>0</v>
      </c>
      <c r="R338" s="156">
        <f t="shared" si="128"/>
        <v>0</v>
      </c>
      <c r="S338" s="156">
        <f t="shared" si="128"/>
        <v>0</v>
      </c>
      <c r="T338" s="156">
        <f t="shared" si="128"/>
        <v>0</v>
      </c>
      <c r="U338" s="156">
        <f t="shared" si="128"/>
        <v>0</v>
      </c>
      <c r="V338" s="156">
        <f t="shared" si="128"/>
        <v>0</v>
      </c>
      <c r="W338" s="156">
        <f t="shared" si="128"/>
        <v>0</v>
      </c>
      <c r="X338" s="156">
        <f t="shared" si="128"/>
        <v>0</v>
      </c>
      <c r="Y338" s="156">
        <f t="shared" si="128"/>
        <v>0</v>
      </c>
      <c r="Z338" s="156">
        <f t="shared" si="128"/>
        <v>0</v>
      </c>
      <c r="AA338" s="156">
        <f t="shared" si="128"/>
        <v>0</v>
      </c>
      <c r="AB338" s="156">
        <f t="shared" si="128"/>
        <v>0</v>
      </c>
      <c r="AC338" s="156">
        <f t="shared" si="128"/>
        <v>0</v>
      </c>
      <c r="AD338" s="156">
        <f t="shared" si="128"/>
        <v>0</v>
      </c>
      <c r="AE338" s="156">
        <f t="shared" si="128"/>
        <v>0</v>
      </c>
      <c r="AF338" s="156">
        <f t="shared" si="128"/>
        <v>0</v>
      </c>
      <c r="AG338" s="156">
        <f t="shared" si="128"/>
        <v>0</v>
      </c>
      <c r="AH338" s="156">
        <f t="shared" si="128"/>
        <v>0</v>
      </c>
      <c r="AI338" s="156">
        <f t="shared" si="128"/>
        <v>0</v>
      </c>
      <c r="AJ338" s="156">
        <f t="shared" si="128"/>
        <v>0</v>
      </c>
      <c r="AK338" s="156">
        <f t="shared" si="128"/>
        <v>0</v>
      </c>
      <c r="AL338" s="156">
        <f t="shared" si="128"/>
        <v>0</v>
      </c>
      <c r="AM338" s="156">
        <f t="shared" si="128"/>
        <v>0</v>
      </c>
      <c r="AN338" s="156">
        <f t="shared" si="128"/>
        <v>0</v>
      </c>
      <c r="AO338" s="156">
        <f t="shared" si="128"/>
        <v>0</v>
      </c>
      <c r="AP338" s="156">
        <f t="shared" si="128"/>
        <v>0</v>
      </c>
    </row>
    <row r="339" spans="1:42" x14ac:dyDescent="0.4">
      <c r="A339" s="4">
        <f t="shared" si="126"/>
        <v>5</v>
      </c>
      <c r="B339" s="171">
        <f t="shared" si="124"/>
        <v>0</v>
      </c>
      <c r="C339" s="156">
        <f t="shared" ref="C339:AP339" si="129">LOOKUP(C328,$B$319:$AP$319,$B$320:$AP$320)/100*$B665</f>
        <v>0</v>
      </c>
      <c r="D339" s="156">
        <f t="shared" si="129"/>
        <v>0</v>
      </c>
      <c r="E339" s="156">
        <f t="shared" si="129"/>
        <v>0</v>
      </c>
      <c r="F339" s="156">
        <f t="shared" si="129"/>
        <v>0</v>
      </c>
      <c r="G339" s="156">
        <f t="shared" si="129"/>
        <v>0</v>
      </c>
      <c r="H339" s="156">
        <f t="shared" si="129"/>
        <v>0</v>
      </c>
      <c r="I339" s="156">
        <f t="shared" si="129"/>
        <v>0</v>
      </c>
      <c r="J339" s="156">
        <f t="shared" si="129"/>
        <v>0</v>
      </c>
      <c r="K339" s="156">
        <f t="shared" si="129"/>
        <v>0</v>
      </c>
      <c r="L339" s="156">
        <f t="shared" si="129"/>
        <v>0</v>
      </c>
      <c r="M339" s="156">
        <f t="shared" si="129"/>
        <v>0</v>
      </c>
      <c r="N339" s="156">
        <f t="shared" si="129"/>
        <v>0</v>
      </c>
      <c r="O339" s="156">
        <f t="shared" si="129"/>
        <v>0</v>
      </c>
      <c r="P339" s="156">
        <f t="shared" si="129"/>
        <v>0</v>
      </c>
      <c r="Q339" s="156">
        <f t="shared" si="129"/>
        <v>0</v>
      </c>
      <c r="R339" s="156">
        <f t="shared" si="129"/>
        <v>0</v>
      </c>
      <c r="S339" s="156">
        <f t="shared" si="129"/>
        <v>0</v>
      </c>
      <c r="T339" s="156">
        <f t="shared" si="129"/>
        <v>0</v>
      </c>
      <c r="U339" s="156">
        <f t="shared" si="129"/>
        <v>0</v>
      </c>
      <c r="V339" s="156">
        <f t="shared" si="129"/>
        <v>0</v>
      </c>
      <c r="W339" s="156">
        <f t="shared" si="129"/>
        <v>0</v>
      </c>
      <c r="X339" s="156">
        <f t="shared" si="129"/>
        <v>0</v>
      </c>
      <c r="Y339" s="156">
        <f t="shared" si="129"/>
        <v>0</v>
      </c>
      <c r="Z339" s="156">
        <f t="shared" si="129"/>
        <v>0</v>
      </c>
      <c r="AA339" s="156">
        <f t="shared" si="129"/>
        <v>0</v>
      </c>
      <c r="AB339" s="156">
        <f t="shared" si="129"/>
        <v>0</v>
      </c>
      <c r="AC339" s="156">
        <f t="shared" si="129"/>
        <v>0</v>
      </c>
      <c r="AD339" s="156">
        <f t="shared" si="129"/>
        <v>0</v>
      </c>
      <c r="AE339" s="156">
        <f t="shared" si="129"/>
        <v>0</v>
      </c>
      <c r="AF339" s="156">
        <f t="shared" si="129"/>
        <v>0</v>
      </c>
      <c r="AG339" s="156">
        <f t="shared" si="129"/>
        <v>0</v>
      </c>
      <c r="AH339" s="156">
        <f t="shared" si="129"/>
        <v>0</v>
      </c>
      <c r="AI339" s="156">
        <f t="shared" si="129"/>
        <v>0</v>
      </c>
      <c r="AJ339" s="156">
        <f t="shared" si="129"/>
        <v>0</v>
      </c>
      <c r="AK339" s="156">
        <f t="shared" si="129"/>
        <v>0</v>
      </c>
      <c r="AL339" s="156">
        <f t="shared" si="129"/>
        <v>0</v>
      </c>
      <c r="AM339" s="156">
        <f t="shared" si="129"/>
        <v>0</v>
      </c>
      <c r="AN339" s="156">
        <f t="shared" si="129"/>
        <v>0</v>
      </c>
      <c r="AO339" s="156">
        <f t="shared" si="129"/>
        <v>0</v>
      </c>
      <c r="AP339" s="156">
        <f t="shared" si="129"/>
        <v>0</v>
      </c>
    </row>
    <row r="340" spans="1:42" x14ac:dyDescent="0.4">
      <c r="A340" s="4">
        <f t="shared" si="126"/>
        <v>6</v>
      </c>
      <c r="B340" s="171">
        <f t="shared" si="124"/>
        <v>0</v>
      </c>
      <c r="C340" s="156">
        <f t="shared" ref="C340:AP340" si="130">LOOKUP(C329,$B$319:$AP$319,$B$320:$AP$320)/100*$B666</f>
        <v>0</v>
      </c>
      <c r="D340" s="156">
        <f t="shared" si="130"/>
        <v>0</v>
      </c>
      <c r="E340" s="156">
        <f t="shared" si="130"/>
        <v>0</v>
      </c>
      <c r="F340" s="156">
        <f t="shared" si="130"/>
        <v>0</v>
      </c>
      <c r="G340" s="156">
        <f t="shared" si="130"/>
        <v>0</v>
      </c>
      <c r="H340" s="156">
        <f t="shared" si="130"/>
        <v>0</v>
      </c>
      <c r="I340" s="156">
        <f t="shared" si="130"/>
        <v>0</v>
      </c>
      <c r="J340" s="156">
        <f t="shared" si="130"/>
        <v>0</v>
      </c>
      <c r="K340" s="156">
        <f t="shared" si="130"/>
        <v>0</v>
      </c>
      <c r="L340" s="156">
        <f t="shared" si="130"/>
        <v>0</v>
      </c>
      <c r="M340" s="156">
        <f t="shared" si="130"/>
        <v>0</v>
      </c>
      <c r="N340" s="156">
        <f t="shared" si="130"/>
        <v>0</v>
      </c>
      <c r="O340" s="156">
        <f t="shared" si="130"/>
        <v>0</v>
      </c>
      <c r="P340" s="156">
        <f t="shared" si="130"/>
        <v>0</v>
      </c>
      <c r="Q340" s="156">
        <f t="shared" si="130"/>
        <v>0</v>
      </c>
      <c r="R340" s="156">
        <f t="shared" si="130"/>
        <v>0</v>
      </c>
      <c r="S340" s="156">
        <f t="shared" si="130"/>
        <v>0</v>
      </c>
      <c r="T340" s="156">
        <f t="shared" si="130"/>
        <v>0</v>
      </c>
      <c r="U340" s="156">
        <f t="shared" si="130"/>
        <v>0</v>
      </c>
      <c r="V340" s="156">
        <f t="shared" si="130"/>
        <v>0</v>
      </c>
      <c r="W340" s="156">
        <f t="shared" si="130"/>
        <v>0</v>
      </c>
      <c r="X340" s="156">
        <f t="shared" si="130"/>
        <v>0</v>
      </c>
      <c r="Y340" s="156">
        <f t="shared" si="130"/>
        <v>0</v>
      </c>
      <c r="Z340" s="156">
        <f t="shared" si="130"/>
        <v>0</v>
      </c>
      <c r="AA340" s="156">
        <f t="shared" si="130"/>
        <v>0</v>
      </c>
      <c r="AB340" s="156">
        <f t="shared" si="130"/>
        <v>0</v>
      </c>
      <c r="AC340" s="156">
        <f t="shared" si="130"/>
        <v>0</v>
      </c>
      <c r="AD340" s="156">
        <f t="shared" si="130"/>
        <v>0</v>
      </c>
      <c r="AE340" s="156">
        <f t="shared" si="130"/>
        <v>0</v>
      </c>
      <c r="AF340" s="156">
        <f t="shared" si="130"/>
        <v>0</v>
      </c>
      <c r="AG340" s="156">
        <f t="shared" si="130"/>
        <v>0</v>
      </c>
      <c r="AH340" s="156">
        <f t="shared" si="130"/>
        <v>0</v>
      </c>
      <c r="AI340" s="156">
        <f t="shared" si="130"/>
        <v>0</v>
      </c>
      <c r="AJ340" s="156">
        <f t="shared" si="130"/>
        <v>0</v>
      </c>
      <c r="AK340" s="156">
        <f t="shared" si="130"/>
        <v>0</v>
      </c>
      <c r="AL340" s="156">
        <f t="shared" si="130"/>
        <v>0</v>
      </c>
      <c r="AM340" s="156">
        <f t="shared" si="130"/>
        <v>0</v>
      </c>
      <c r="AN340" s="156">
        <f t="shared" si="130"/>
        <v>0</v>
      </c>
      <c r="AO340" s="156">
        <f t="shared" si="130"/>
        <v>0</v>
      </c>
      <c r="AP340" s="156">
        <f t="shared" si="130"/>
        <v>0</v>
      </c>
    </row>
    <row r="341" spans="1:42" x14ac:dyDescent="0.4">
      <c r="A341" s="4">
        <f t="shared" si="126"/>
        <v>7</v>
      </c>
      <c r="B341" s="171">
        <f t="shared" si="124"/>
        <v>0</v>
      </c>
      <c r="C341" s="156">
        <f t="shared" ref="C341:AP341" si="131">LOOKUP(C330,$B$319:$AP$319,$B$320:$AP$320)/100*$B667</f>
        <v>0</v>
      </c>
      <c r="D341" s="156">
        <f t="shared" si="131"/>
        <v>0</v>
      </c>
      <c r="E341" s="156">
        <f t="shared" si="131"/>
        <v>0</v>
      </c>
      <c r="F341" s="156">
        <f t="shared" si="131"/>
        <v>0</v>
      </c>
      <c r="G341" s="156">
        <f t="shared" si="131"/>
        <v>0</v>
      </c>
      <c r="H341" s="156">
        <f t="shared" si="131"/>
        <v>0</v>
      </c>
      <c r="I341" s="156">
        <f t="shared" si="131"/>
        <v>0</v>
      </c>
      <c r="J341" s="156">
        <f t="shared" si="131"/>
        <v>0</v>
      </c>
      <c r="K341" s="156">
        <f t="shared" si="131"/>
        <v>0</v>
      </c>
      <c r="L341" s="156">
        <f t="shared" si="131"/>
        <v>0</v>
      </c>
      <c r="M341" s="156">
        <f t="shared" si="131"/>
        <v>0</v>
      </c>
      <c r="N341" s="156">
        <f t="shared" si="131"/>
        <v>0</v>
      </c>
      <c r="O341" s="156">
        <f t="shared" si="131"/>
        <v>0</v>
      </c>
      <c r="P341" s="156">
        <f t="shared" si="131"/>
        <v>0</v>
      </c>
      <c r="Q341" s="156">
        <f t="shared" si="131"/>
        <v>0</v>
      </c>
      <c r="R341" s="156">
        <f t="shared" si="131"/>
        <v>0</v>
      </c>
      <c r="S341" s="156">
        <f t="shared" si="131"/>
        <v>0</v>
      </c>
      <c r="T341" s="156">
        <f t="shared" si="131"/>
        <v>0</v>
      </c>
      <c r="U341" s="156">
        <f t="shared" si="131"/>
        <v>0</v>
      </c>
      <c r="V341" s="156">
        <f t="shared" si="131"/>
        <v>0</v>
      </c>
      <c r="W341" s="156">
        <f t="shared" si="131"/>
        <v>0</v>
      </c>
      <c r="X341" s="156">
        <f t="shared" si="131"/>
        <v>0</v>
      </c>
      <c r="Y341" s="156">
        <f t="shared" si="131"/>
        <v>0</v>
      </c>
      <c r="Z341" s="156">
        <f t="shared" si="131"/>
        <v>0</v>
      </c>
      <c r="AA341" s="156">
        <f t="shared" si="131"/>
        <v>0</v>
      </c>
      <c r="AB341" s="156">
        <f t="shared" si="131"/>
        <v>0</v>
      </c>
      <c r="AC341" s="156">
        <f t="shared" si="131"/>
        <v>0</v>
      </c>
      <c r="AD341" s="156">
        <f t="shared" si="131"/>
        <v>0</v>
      </c>
      <c r="AE341" s="156">
        <f t="shared" si="131"/>
        <v>0</v>
      </c>
      <c r="AF341" s="156">
        <f t="shared" si="131"/>
        <v>0</v>
      </c>
      <c r="AG341" s="156">
        <f t="shared" si="131"/>
        <v>0</v>
      </c>
      <c r="AH341" s="156">
        <f t="shared" si="131"/>
        <v>0</v>
      </c>
      <c r="AI341" s="156">
        <f t="shared" si="131"/>
        <v>0</v>
      </c>
      <c r="AJ341" s="156">
        <f t="shared" si="131"/>
        <v>0</v>
      </c>
      <c r="AK341" s="156">
        <f t="shared" si="131"/>
        <v>0</v>
      </c>
      <c r="AL341" s="156">
        <f t="shared" si="131"/>
        <v>0</v>
      </c>
      <c r="AM341" s="156">
        <f t="shared" si="131"/>
        <v>0</v>
      </c>
      <c r="AN341" s="156">
        <f t="shared" si="131"/>
        <v>0</v>
      </c>
      <c r="AO341" s="156">
        <f t="shared" si="131"/>
        <v>0</v>
      </c>
      <c r="AP341" s="156">
        <f t="shared" si="131"/>
        <v>0</v>
      </c>
    </row>
    <row r="342" spans="1:42" x14ac:dyDescent="0.4">
      <c r="A342" s="4">
        <f t="shared" si="126"/>
        <v>8</v>
      </c>
      <c r="B342" s="171">
        <f t="shared" si="124"/>
        <v>0</v>
      </c>
      <c r="C342" s="156">
        <f t="shared" ref="C342:AP342" si="132">LOOKUP(C331,$B$319:$AP$319,$B$320:$AP$320)/100*$B668</f>
        <v>0</v>
      </c>
      <c r="D342" s="156">
        <f t="shared" si="132"/>
        <v>0</v>
      </c>
      <c r="E342" s="156">
        <f t="shared" si="132"/>
        <v>0</v>
      </c>
      <c r="F342" s="156">
        <f t="shared" si="132"/>
        <v>0</v>
      </c>
      <c r="G342" s="156">
        <f t="shared" si="132"/>
        <v>0</v>
      </c>
      <c r="H342" s="156">
        <f t="shared" si="132"/>
        <v>0</v>
      </c>
      <c r="I342" s="156">
        <f t="shared" si="132"/>
        <v>0</v>
      </c>
      <c r="J342" s="156">
        <f t="shared" si="132"/>
        <v>0</v>
      </c>
      <c r="K342" s="156">
        <f t="shared" si="132"/>
        <v>0</v>
      </c>
      <c r="L342" s="156">
        <f t="shared" si="132"/>
        <v>0</v>
      </c>
      <c r="M342" s="156">
        <f t="shared" si="132"/>
        <v>0</v>
      </c>
      <c r="N342" s="156">
        <f t="shared" si="132"/>
        <v>0</v>
      </c>
      <c r="O342" s="156">
        <f t="shared" si="132"/>
        <v>0</v>
      </c>
      <c r="P342" s="156">
        <f t="shared" si="132"/>
        <v>0</v>
      </c>
      <c r="Q342" s="156">
        <f t="shared" si="132"/>
        <v>0</v>
      </c>
      <c r="R342" s="156">
        <f t="shared" si="132"/>
        <v>0</v>
      </c>
      <c r="S342" s="156">
        <f t="shared" si="132"/>
        <v>0</v>
      </c>
      <c r="T342" s="156">
        <f t="shared" si="132"/>
        <v>0</v>
      </c>
      <c r="U342" s="156">
        <f t="shared" si="132"/>
        <v>0</v>
      </c>
      <c r="V342" s="156">
        <f t="shared" si="132"/>
        <v>0</v>
      </c>
      <c r="W342" s="156">
        <f t="shared" si="132"/>
        <v>0</v>
      </c>
      <c r="X342" s="156">
        <f t="shared" si="132"/>
        <v>0</v>
      </c>
      <c r="Y342" s="156">
        <f t="shared" si="132"/>
        <v>0</v>
      </c>
      <c r="Z342" s="156">
        <f t="shared" si="132"/>
        <v>0</v>
      </c>
      <c r="AA342" s="156">
        <f t="shared" si="132"/>
        <v>0</v>
      </c>
      <c r="AB342" s="156">
        <f t="shared" si="132"/>
        <v>0</v>
      </c>
      <c r="AC342" s="156">
        <f t="shared" si="132"/>
        <v>0</v>
      </c>
      <c r="AD342" s="156">
        <f t="shared" si="132"/>
        <v>0</v>
      </c>
      <c r="AE342" s="156">
        <f t="shared" si="132"/>
        <v>0</v>
      </c>
      <c r="AF342" s="156">
        <f t="shared" si="132"/>
        <v>0</v>
      </c>
      <c r="AG342" s="156">
        <f t="shared" si="132"/>
        <v>0</v>
      </c>
      <c r="AH342" s="156">
        <f t="shared" si="132"/>
        <v>0</v>
      </c>
      <c r="AI342" s="156">
        <f t="shared" si="132"/>
        <v>0</v>
      </c>
      <c r="AJ342" s="156">
        <f t="shared" si="132"/>
        <v>0</v>
      </c>
      <c r="AK342" s="156">
        <f t="shared" si="132"/>
        <v>0</v>
      </c>
      <c r="AL342" s="156">
        <f t="shared" si="132"/>
        <v>0</v>
      </c>
      <c r="AM342" s="156">
        <f t="shared" si="132"/>
        <v>0</v>
      </c>
      <c r="AN342" s="156">
        <f t="shared" si="132"/>
        <v>0</v>
      </c>
      <c r="AO342" s="156">
        <f t="shared" si="132"/>
        <v>0</v>
      </c>
      <c r="AP342" s="156">
        <f t="shared" si="132"/>
        <v>0</v>
      </c>
    </row>
    <row r="343" spans="1:42" x14ac:dyDescent="0.4">
      <c r="A343" s="4">
        <f>A342+1</f>
        <v>9</v>
      </c>
      <c r="B343" s="171">
        <f t="shared" si="124"/>
        <v>0</v>
      </c>
      <c r="C343" s="156">
        <f t="shared" ref="C343:AP343" si="133">LOOKUP(C332,$B$319:$AP$319,$B$320:$AP$320)/100*$B669</f>
        <v>0</v>
      </c>
      <c r="D343" s="156">
        <f t="shared" si="133"/>
        <v>0</v>
      </c>
      <c r="E343" s="156">
        <f t="shared" si="133"/>
        <v>0</v>
      </c>
      <c r="F343" s="156">
        <f t="shared" si="133"/>
        <v>0</v>
      </c>
      <c r="G343" s="156">
        <f t="shared" si="133"/>
        <v>0</v>
      </c>
      <c r="H343" s="156">
        <f t="shared" si="133"/>
        <v>0</v>
      </c>
      <c r="I343" s="156">
        <f t="shared" si="133"/>
        <v>0</v>
      </c>
      <c r="J343" s="156">
        <f t="shared" si="133"/>
        <v>0</v>
      </c>
      <c r="K343" s="156">
        <f t="shared" si="133"/>
        <v>0</v>
      </c>
      <c r="L343" s="156">
        <f t="shared" si="133"/>
        <v>0</v>
      </c>
      <c r="M343" s="156">
        <f t="shared" si="133"/>
        <v>0</v>
      </c>
      <c r="N343" s="156">
        <f t="shared" si="133"/>
        <v>0</v>
      </c>
      <c r="O343" s="156">
        <f t="shared" si="133"/>
        <v>0</v>
      </c>
      <c r="P343" s="156">
        <f t="shared" si="133"/>
        <v>0</v>
      </c>
      <c r="Q343" s="156">
        <f t="shared" si="133"/>
        <v>0</v>
      </c>
      <c r="R343" s="156">
        <f t="shared" si="133"/>
        <v>0</v>
      </c>
      <c r="S343" s="156">
        <f t="shared" si="133"/>
        <v>0</v>
      </c>
      <c r="T343" s="156">
        <f t="shared" si="133"/>
        <v>0</v>
      </c>
      <c r="U343" s="156">
        <f t="shared" si="133"/>
        <v>0</v>
      </c>
      <c r="V343" s="156">
        <f t="shared" si="133"/>
        <v>0</v>
      </c>
      <c r="W343" s="156">
        <f t="shared" si="133"/>
        <v>0</v>
      </c>
      <c r="X343" s="156">
        <f t="shared" si="133"/>
        <v>0</v>
      </c>
      <c r="Y343" s="156">
        <f t="shared" si="133"/>
        <v>0</v>
      </c>
      <c r="Z343" s="156">
        <f t="shared" si="133"/>
        <v>0</v>
      </c>
      <c r="AA343" s="156">
        <f t="shared" si="133"/>
        <v>0</v>
      </c>
      <c r="AB343" s="156">
        <f t="shared" si="133"/>
        <v>0</v>
      </c>
      <c r="AC343" s="156">
        <f t="shared" si="133"/>
        <v>0</v>
      </c>
      <c r="AD343" s="156">
        <f t="shared" si="133"/>
        <v>0</v>
      </c>
      <c r="AE343" s="156">
        <f t="shared" si="133"/>
        <v>0</v>
      </c>
      <c r="AF343" s="156">
        <f t="shared" si="133"/>
        <v>0</v>
      </c>
      <c r="AG343" s="156">
        <f t="shared" si="133"/>
        <v>0</v>
      </c>
      <c r="AH343" s="156">
        <f t="shared" si="133"/>
        <v>0</v>
      </c>
      <c r="AI343" s="156">
        <f t="shared" si="133"/>
        <v>0</v>
      </c>
      <c r="AJ343" s="156">
        <f t="shared" si="133"/>
        <v>0</v>
      </c>
      <c r="AK343" s="156">
        <f t="shared" si="133"/>
        <v>0</v>
      </c>
      <c r="AL343" s="156">
        <f t="shared" si="133"/>
        <v>0</v>
      </c>
      <c r="AM343" s="156">
        <f t="shared" si="133"/>
        <v>0</v>
      </c>
      <c r="AN343" s="156">
        <f t="shared" si="133"/>
        <v>0</v>
      </c>
      <c r="AO343" s="156">
        <f t="shared" si="133"/>
        <v>0</v>
      </c>
      <c r="AP343" s="156">
        <f t="shared" si="133"/>
        <v>0</v>
      </c>
    </row>
    <row r="344" spans="1:42" x14ac:dyDescent="0.4">
      <c r="A344" s="4">
        <f t="shared" si="126"/>
        <v>10</v>
      </c>
      <c r="B344" s="171">
        <f t="shared" si="124"/>
        <v>0</v>
      </c>
      <c r="C344" s="156">
        <f t="shared" ref="C344:AP344" si="134">LOOKUP(C333,$B$319:$AP$319,$B$320:$AP$320)/100*$B670</f>
        <v>0</v>
      </c>
      <c r="D344" s="156">
        <f t="shared" si="134"/>
        <v>0</v>
      </c>
      <c r="E344" s="156">
        <f t="shared" si="134"/>
        <v>0</v>
      </c>
      <c r="F344" s="156">
        <f t="shared" si="134"/>
        <v>0</v>
      </c>
      <c r="G344" s="156">
        <f t="shared" si="134"/>
        <v>0</v>
      </c>
      <c r="H344" s="156">
        <f t="shared" si="134"/>
        <v>0</v>
      </c>
      <c r="I344" s="156">
        <f t="shared" si="134"/>
        <v>0</v>
      </c>
      <c r="J344" s="156">
        <f t="shared" si="134"/>
        <v>0</v>
      </c>
      <c r="K344" s="156">
        <f t="shared" si="134"/>
        <v>0</v>
      </c>
      <c r="L344" s="156">
        <f t="shared" si="134"/>
        <v>0</v>
      </c>
      <c r="M344" s="156">
        <f t="shared" si="134"/>
        <v>0</v>
      </c>
      <c r="N344" s="156">
        <f t="shared" si="134"/>
        <v>0</v>
      </c>
      <c r="O344" s="156">
        <f t="shared" si="134"/>
        <v>0</v>
      </c>
      <c r="P344" s="156">
        <f t="shared" si="134"/>
        <v>0</v>
      </c>
      <c r="Q344" s="156">
        <f t="shared" si="134"/>
        <v>0</v>
      </c>
      <c r="R344" s="156">
        <f t="shared" si="134"/>
        <v>0</v>
      </c>
      <c r="S344" s="156">
        <f t="shared" si="134"/>
        <v>0</v>
      </c>
      <c r="T344" s="156">
        <f t="shared" si="134"/>
        <v>0</v>
      </c>
      <c r="U344" s="156">
        <f t="shared" si="134"/>
        <v>0</v>
      </c>
      <c r="V344" s="156">
        <f t="shared" si="134"/>
        <v>0</v>
      </c>
      <c r="W344" s="156">
        <f t="shared" si="134"/>
        <v>0</v>
      </c>
      <c r="X344" s="156">
        <f t="shared" si="134"/>
        <v>0</v>
      </c>
      <c r="Y344" s="156">
        <f t="shared" si="134"/>
        <v>0</v>
      </c>
      <c r="Z344" s="156">
        <f t="shared" si="134"/>
        <v>0</v>
      </c>
      <c r="AA344" s="156">
        <f t="shared" si="134"/>
        <v>0</v>
      </c>
      <c r="AB344" s="156">
        <f t="shared" si="134"/>
        <v>0</v>
      </c>
      <c r="AC344" s="156">
        <f t="shared" si="134"/>
        <v>0</v>
      </c>
      <c r="AD344" s="156">
        <f t="shared" si="134"/>
        <v>0</v>
      </c>
      <c r="AE344" s="156">
        <f t="shared" si="134"/>
        <v>0</v>
      </c>
      <c r="AF344" s="156">
        <f t="shared" si="134"/>
        <v>0</v>
      </c>
      <c r="AG344" s="156">
        <f t="shared" si="134"/>
        <v>0</v>
      </c>
      <c r="AH344" s="156">
        <f t="shared" si="134"/>
        <v>0</v>
      </c>
      <c r="AI344" s="156">
        <f t="shared" si="134"/>
        <v>0</v>
      </c>
      <c r="AJ344" s="156">
        <f t="shared" si="134"/>
        <v>0</v>
      </c>
      <c r="AK344" s="156">
        <f t="shared" si="134"/>
        <v>0</v>
      </c>
      <c r="AL344" s="156">
        <f t="shared" si="134"/>
        <v>0</v>
      </c>
      <c r="AM344" s="156">
        <f t="shared" si="134"/>
        <v>0</v>
      </c>
      <c r="AN344" s="156">
        <f t="shared" si="134"/>
        <v>0</v>
      </c>
      <c r="AO344" s="156">
        <f t="shared" si="134"/>
        <v>0</v>
      </c>
      <c r="AP344" s="156">
        <f t="shared" si="134"/>
        <v>0</v>
      </c>
    </row>
    <row r="345" spans="1:42" ht="12" customHeight="1" x14ac:dyDescent="0.4">
      <c r="A345" s="24" t="s">
        <v>13</v>
      </c>
      <c r="B345" s="156"/>
      <c r="C345" s="320">
        <f>SUM(C335:C344)</f>
        <v>0</v>
      </c>
      <c r="D345" s="320">
        <f t="shared" ref="D345:AP345" si="135">SUM(D335:D344)</f>
        <v>0</v>
      </c>
      <c r="E345" s="320">
        <f t="shared" si="135"/>
        <v>0</v>
      </c>
      <c r="F345" s="320">
        <f t="shared" si="135"/>
        <v>0</v>
      </c>
      <c r="G345" s="320">
        <f t="shared" si="135"/>
        <v>0</v>
      </c>
      <c r="H345" s="320">
        <f t="shared" si="135"/>
        <v>0</v>
      </c>
      <c r="I345" s="320">
        <f t="shared" si="135"/>
        <v>0</v>
      </c>
      <c r="J345" s="320">
        <f t="shared" si="135"/>
        <v>0</v>
      </c>
      <c r="K345" s="320">
        <f t="shared" si="135"/>
        <v>0</v>
      </c>
      <c r="L345" s="320">
        <f t="shared" si="135"/>
        <v>0</v>
      </c>
      <c r="M345" s="320">
        <f t="shared" si="135"/>
        <v>0</v>
      </c>
      <c r="N345" s="320">
        <f t="shared" si="135"/>
        <v>0</v>
      </c>
      <c r="O345" s="320">
        <f t="shared" si="135"/>
        <v>0</v>
      </c>
      <c r="P345" s="320">
        <f t="shared" si="135"/>
        <v>0</v>
      </c>
      <c r="Q345" s="320">
        <f t="shared" si="135"/>
        <v>0</v>
      </c>
      <c r="R345" s="320">
        <f t="shared" si="135"/>
        <v>0</v>
      </c>
      <c r="S345" s="320">
        <f t="shared" si="135"/>
        <v>0</v>
      </c>
      <c r="T345" s="320">
        <f t="shared" si="135"/>
        <v>0</v>
      </c>
      <c r="U345" s="320">
        <f t="shared" si="135"/>
        <v>0</v>
      </c>
      <c r="V345" s="320">
        <f t="shared" si="135"/>
        <v>0</v>
      </c>
      <c r="W345" s="320">
        <f t="shared" si="135"/>
        <v>0</v>
      </c>
      <c r="X345" s="320">
        <f t="shared" si="135"/>
        <v>0</v>
      </c>
      <c r="Y345" s="320">
        <f t="shared" si="135"/>
        <v>0</v>
      </c>
      <c r="Z345" s="320">
        <f t="shared" si="135"/>
        <v>0</v>
      </c>
      <c r="AA345" s="320">
        <f t="shared" si="135"/>
        <v>0</v>
      </c>
      <c r="AB345" s="320">
        <f t="shared" si="135"/>
        <v>0</v>
      </c>
      <c r="AC345" s="320">
        <f t="shared" si="135"/>
        <v>0</v>
      </c>
      <c r="AD345" s="320">
        <f t="shared" si="135"/>
        <v>0</v>
      </c>
      <c r="AE345" s="320">
        <f t="shared" si="135"/>
        <v>0</v>
      </c>
      <c r="AF345" s="320">
        <f t="shared" si="135"/>
        <v>0</v>
      </c>
      <c r="AG345" s="320">
        <f t="shared" si="135"/>
        <v>0</v>
      </c>
      <c r="AH345" s="320">
        <f t="shared" si="135"/>
        <v>0</v>
      </c>
      <c r="AI345" s="320">
        <f t="shared" si="135"/>
        <v>0</v>
      </c>
      <c r="AJ345" s="320">
        <f t="shared" si="135"/>
        <v>0</v>
      </c>
      <c r="AK345" s="320">
        <f t="shared" si="135"/>
        <v>0</v>
      </c>
      <c r="AL345" s="320">
        <f t="shared" si="135"/>
        <v>0</v>
      </c>
      <c r="AM345" s="320">
        <f t="shared" si="135"/>
        <v>0</v>
      </c>
      <c r="AN345" s="320">
        <f t="shared" si="135"/>
        <v>0</v>
      </c>
      <c r="AO345" s="320">
        <f t="shared" si="135"/>
        <v>0</v>
      </c>
      <c r="AP345" s="320">
        <f t="shared" si="135"/>
        <v>0</v>
      </c>
    </row>
    <row r="346" spans="1:42" x14ac:dyDescent="0.4">
      <c r="A346" s="21"/>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row>
    <row r="347" spans="1:42" x14ac:dyDescent="0.4">
      <c r="A347" s="21" t="s">
        <v>63</v>
      </c>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row>
    <row r="348" spans="1:42" x14ac:dyDescent="0.4">
      <c r="A348" s="87" t="s">
        <v>53</v>
      </c>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row>
    <row r="349" spans="1:42" x14ac:dyDescent="0.4">
      <c r="A349" s="4">
        <v>1</v>
      </c>
      <c r="B349" s="4">
        <v>0</v>
      </c>
      <c r="C349" s="156">
        <f>IF(C$2&lt;=analysis_period,IF(SUM($C693:C693)&gt;0,B349+1,0),0)</f>
        <v>0</v>
      </c>
      <c r="D349" s="156">
        <f>IF(D$2&lt;=analysis_period,IF(SUM($C693:D693)&gt;0,C349+1,0),0)</f>
        <v>0</v>
      </c>
      <c r="E349" s="156">
        <f>IF(E$2&lt;=analysis_period,IF(SUM($C693:E693)&gt;0,D349+1,0),0)</f>
        <v>0</v>
      </c>
      <c r="F349" s="156">
        <f>IF(F$2&lt;=analysis_period,IF(SUM($C693:F693)&gt;0,E349+1,0),0)</f>
        <v>0</v>
      </c>
      <c r="G349" s="156">
        <f>IF(G$2&lt;=analysis_period,IF(SUM($C693:G693)&gt;0,F349+1,0),0)</f>
        <v>0</v>
      </c>
      <c r="H349" s="156">
        <f>IF(H$2&lt;=analysis_period,IF(SUM($C693:H693)&gt;0,G349+1,0),0)</f>
        <v>0</v>
      </c>
      <c r="I349" s="156">
        <f>IF(I$2&lt;=analysis_period,IF(SUM($C693:I693)&gt;0,H349+1,0),0)</f>
        <v>0</v>
      </c>
      <c r="J349" s="156">
        <f>IF(J$2&lt;=analysis_period,IF(SUM($C693:J693)&gt;0,I349+1,0),0)</f>
        <v>0</v>
      </c>
      <c r="K349" s="156">
        <f>IF(K$2&lt;=analysis_period,IF(SUM($C693:K693)&gt;0,J349+1,0),0)</f>
        <v>0</v>
      </c>
      <c r="L349" s="156">
        <f>IF(L$2&lt;=analysis_period,IF(SUM($C693:L693)&gt;0,K349+1,0),0)</f>
        <v>0</v>
      </c>
      <c r="M349" s="156">
        <f>IF(M$2&lt;=analysis_period,IF(SUM($C693:M693)&gt;0,L349+1,0),0)</f>
        <v>0</v>
      </c>
      <c r="N349" s="156">
        <f>IF(N$2&lt;=analysis_period,IF(SUM($C693:N693)&gt;0,M349+1,0),0)</f>
        <v>0</v>
      </c>
      <c r="O349" s="156">
        <f>IF(O$2&lt;=analysis_period,IF(SUM($C693:O693)&gt;0,N349+1,0),0)</f>
        <v>0</v>
      </c>
      <c r="P349" s="156">
        <f>IF(P$2&lt;=analysis_period,IF(SUM($C693:P693)&gt;0,O349+1,0),0)</f>
        <v>0</v>
      </c>
      <c r="Q349" s="156">
        <f>IF(Q$2&lt;=analysis_period,IF(SUM($C693:Q693)&gt;0,P349+1,0),0)</f>
        <v>0</v>
      </c>
      <c r="R349" s="156">
        <f>IF(R$2&lt;=analysis_period,IF(SUM($C693:R693)&gt;0,Q349+1,0),0)</f>
        <v>0</v>
      </c>
      <c r="S349" s="156">
        <f>IF(S$2&lt;=analysis_period,IF(SUM($C693:S693)&gt;0,R349+1,0),0)</f>
        <v>0</v>
      </c>
      <c r="T349" s="156">
        <f>IF(T$2&lt;=analysis_period,IF(SUM($C693:T693)&gt;0,S349+1,0),0)</f>
        <v>0</v>
      </c>
      <c r="U349" s="156">
        <f>IF(U$2&lt;=analysis_period,IF(SUM($C693:U693)&gt;0,T349+1,0),0)</f>
        <v>0</v>
      </c>
      <c r="V349" s="156">
        <f>IF(V$2&lt;=analysis_period,IF(SUM($C693:V693)&gt;0,U349+1,0),0)</f>
        <v>0</v>
      </c>
      <c r="W349" s="156">
        <f>IF(W$2&lt;=analysis_period,IF(SUM($C693:W693)&gt;0,V349+1,0),0)</f>
        <v>0</v>
      </c>
      <c r="X349" s="156">
        <f>IF(X$2&lt;=analysis_period,IF(SUM($C693:X693)&gt;0,W349+1,0),0)</f>
        <v>0</v>
      </c>
      <c r="Y349" s="156">
        <f>IF(Y$2&lt;=analysis_period,IF(SUM($C693:Y693)&gt;0,X349+1,0),0)</f>
        <v>0</v>
      </c>
      <c r="Z349" s="156">
        <f>IF(Z$2&lt;=analysis_period,IF(SUM($C693:Z693)&gt;0,Y349+1,0),0)</f>
        <v>0</v>
      </c>
      <c r="AA349" s="156">
        <f>IF(AA$2&lt;=analysis_period,IF(SUM($C693:AA693)&gt;0,Z349+1,0),0)</f>
        <v>0</v>
      </c>
      <c r="AB349" s="156">
        <f>IF(AB$2&lt;=analysis_period,IF(SUM($C693:AB693)&gt;0,AA349+1,0),0)</f>
        <v>0</v>
      </c>
      <c r="AC349" s="156">
        <f>IF(AC$2&lt;=analysis_period,IF(SUM($C693:AC693)&gt;0,AB349+1,0),0)</f>
        <v>0</v>
      </c>
      <c r="AD349" s="156">
        <f>IF(AD$2&lt;=analysis_period,IF(SUM($C693:AD693)&gt;0,AC349+1,0),0)</f>
        <v>0</v>
      </c>
      <c r="AE349" s="156">
        <f>IF(AE$2&lt;=analysis_period,IF(SUM($C693:AE693)&gt;0,AD349+1,0),0)</f>
        <v>0</v>
      </c>
      <c r="AF349" s="156">
        <f>IF(AF$2&lt;=analysis_period,IF(SUM($C693:AF693)&gt;0,AE349+1,0),0)</f>
        <v>0</v>
      </c>
      <c r="AG349" s="156">
        <f>IF(AG$2&lt;=analysis_period,IF(SUM($C693:AG693)&gt;0,AF349+1,0),0)</f>
        <v>0</v>
      </c>
      <c r="AH349" s="156">
        <f>IF(AH$2&lt;=analysis_period,IF(SUM($C693:AH693)&gt;0,AG349+1,0),0)</f>
        <v>0</v>
      </c>
      <c r="AI349" s="156">
        <f>IF(AI$2&lt;=analysis_period,IF(SUM($C693:AI693)&gt;0,AH349+1,0),0)</f>
        <v>0</v>
      </c>
      <c r="AJ349" s="156">
        <f>IF(AJ$2&lt;=analysis_period,IF(SUM($C693:AJ693)&gt;0,AI349+1,0),0)</f>
        <v>0</v>
      </c>
      <c r="AK349" s="156">
        <f>IF(AK$2&lt;=analysis_period,IF(SUM($C693:AK693)&gt;0,AJ349+1,0),0)</f>
        <v>0</v>
      </c>
      <c r="AL349" s="156">
        <f>IF(AL$2&lt;=analysis_period,IF(SUM($C693:AL693)&gt;0,AK349+1,0),0)</f>
        <v>0</v>
      </c>
      <c r="AM349" s="156">
        <f>IF(AM$2&lt;=analysis_period,IF(SUM($C693:AM693)&gt;0,AL349+1,0),0)</f>
        <v>0</v>
      </c>
      <c r="AN349" s="156">
        <f>IF(AN$2&lt;=analysis_period,IF(SUM($C693:AN693)&gt;0,AM349+1,0),0)</f>
        <v>0</v>
      </c>
      <c r="AO349" s="156">
        <f>IF(AO$2&lt;=analysis_period,IF(SUM($C693:AO693)&gt;0,AN349+1,0),0)</f>
        <v>0</v>
      </c>
      <c r="AP349" s="156">
        <f>IF(AP$2&lt;=analysis_period,IF(SUM($C693:AP693)&gt;0,AO349+1,0),0)</f>
        <v>0</v>
      </c>
    </row>
    <row r="350" spans="1:42" x14ac:dyDescent="0.4">
      <c r="A350" s="4">
        <f>A349+1</f>
        <v>2</v>
      </c>
      <c r="B350" s="4">
        <v>0</v>
      </c>
      <c r="C350" s="156">
        <f>IF(C$2&lt;=analysis_period,IF(SUM($C694:C694)&gt;0,B350+1,0),0)</f>
        <v>0</v>
      </c>
      <c r="D350" s="156">
        <f>IF(D$2&lt;=analysis_period,IF(SUM($C694:D694)&gt;0,C350+1,0),0)</f>
        <v>0</v>
      </c>
      <c r="E350" s="156">
        <f>IF(E$2&lt;=analysis_period,IF(SUM($C694:E694)&gt;0,D350+1,0),0)</f>
        <v>0</v>
      </c>
      <c r="F350" s="156">
        <f>IF(F$2&lt;=analysis_period,IF(SUM($C694:F694)&gt;0,E350+1,0),0)</f>
        <v>0</v>
      </c>
      <c r="G350" s="156">
        <f>IF(G$2&lt;=analysis_period,IF(SUM($C694:G694)&gt;0,F350+1,0),0)</f>
        <v>0</v>
      </c>
      <c r="H350" s="156">
        <f>IF(H$2&lt;=analysis_period,IF(SUM($C694:H694)&gt;0,G350+1,0),0)</f>
        <v>0</v>
      </c>
      <c r="I350" s="156">
        <f>IF(I$2&lt;=analysis_period,IF(SUM($C694:I694)&gt;0,H350+1,0),0)</f>
        <v>0</v>
      </c>
      <c r="J350" s="156">
        <f>IF(J$2&lt;=analysis_period,IF(SUM($C694:J694)&gt;0,I350+1,0),0)</f>
        <v>0</v>
      </c>
      <c r="K350" s="156">
        <f>IF(K$2&lt;=analysis_period,IF(SUM($C694:K694)&gt;0,J350+1,0),0)</f>
        <v>0</v>
      </c>
      <c r="L350" s="156">
        <f>IF(L$2&lt;=analysis_period,IF(SUM($C694:L694)&gt;0,K350+1,0),0)</f>
        <v>0</v>
      </c>
      <c r="M350" s="156">
        <f>IF(M$2&lt;=analysis_period,IF(SUM($C694:M694)&gt;0,L350+1,0),0)</f>
        <v>0</v>
      </c>
      <c r="N350" s="156">
        <f>IF(N$2&lt;=analysis_period,IF(SUM($C694:N694)&gt;0,M350+1,0),0)</f>
        <v>0</v>
      </c>
      <c r="O350" s="156">
        <f>IF(O$2&lt;=analysis_period,IF(SUM($C694:O694)&gt;0,N350+1,0),0)</f>
        <v>0</v>
      </c>
      <c r="P350" s="156">
        <f>IF(P$2&lt;=analysis_period,IF(SUM($C694:P694)&gt;0,O350+1,0),0)</f>
        <v>0</v>
      </c>
      <c r="Q350" s="156">
        <f>IF(Q$2&lt;=analysis_period,IF(SUM($C694:Q694)&gt;0,P350+1,0),0)</f>
        <v>0</v>
      </c>
      <c r="R350" s="156">
        <f>IF(R$2&lt;=analysis_period,IF(SUM($C694:R694)&gt;0,Q350+1,0),0)</f>
        <v>0</v>
      </c>
      <c r="S350" s="156">
        <f>IF(S$2&lt;=analysis_period,IF(SUM($C694:S694)&gt;0,R350+1,0),0)</f>
        <v>0</v>
      </c>
      <c r="T350" s="156">
        <f>IF(T$2&lt;=analysis_period,IF(SUM($C694:T694)&gt;0,S350+1,0),0)</f>
        <v>0</v>
      </c>
      <c r="U350" s="156">
        <f>IF(U$2&lt;=analysis_period,IF(SUM($C694:U694)&gt;0,T350+1,0),0)</f>
        <v>0</v>
      </c>
      <c r="V350" s="156">
        <f>IF(V$2&lt;=analysis_period,IF(SUM($C694:V694)&gt;0,U350+1,0),0)</f>
        <v>0</v>
      </c>
      <c r="W350" s="156">
        <f>IF(W$2&lt;=analysis_period,IF(SUM($C694:W694)&gt;0,V350+1,0),0)</f>
        <v>0</v>
      </c>
      <c r="X350" s="156">
        <f>IF(X$2&lt;=analysis_period,IF(SUM($C694:X694)&gt;0,W350+1,0),0)</f>
        <v>0</v>
      </c>
      <c r="Y350" s="156">
        <f>IF(Y$2&lt;=analysis_period,IF(SUM($C694:Y694)&gt;0,X350+1,0),0)</f>
        <v>0</v>
      </c>
      <c r="Z350" s="156">
        <f>IF(Z$2&lt;=analysis_period,IF(SUM($C694:Z694)&gt;0,Y350+1,0),0)</f>
        <v>0</v>
      </c>
      <c r="AA350" s="156">
        <f>IF(AA$2&lt;=analysis_period,IF(SUM($C694:AA694)&gt;0,Z350+1,0),0)</f>
        <v>0</v>
      </c>
      <c r="AB350" s="156">
        <f>IF(AB$2&lt;=analysis_period,IF(SUM($C694:AB694)&gt;0,AA350+1,0),0)</f>
        <v>0</v>
      </c>
      <c r="AC350" s="156">
        <f>IF(AC$2&lt;=analysis_period,IF(SUM($C694:AC694)&gt;0,AB350+1,0),0)</f>
        <v>0</v>
      </c>
      <c r="AD350" s="156">
        <f>IF(AD$2&lt;=analysis_period,IF(SUM($C694:AD694)&gt;0,AC350+1,0),0)</f>
        <v>0</v>
      </c>
      <c r="AE350" s="156">
        <f>IF(AE$2&lt;=analysis_period,IF(SUM($C694:AE694)&gt;0,AD350+1,0),0)</f>
        <v>0</v>
      </c>
      <c r="AF350" s="156">
        <f>IF(AF$2&lt;=analysis_period,IF(SUM($C694:AF694)&gt;0,AE350+1,0),0)</f>
        <v>0</v>
      </c>
      <c r="AG350" s="156">
        <f>IF(AG$2&lt;=analysis_period,IF(SUM($C694:AG694)&gt;0,AF350+1,0),0)</f>
        <v>0</v>
      </c>
      <c r="AH350" s="156">
        <f>IF(AH$2&lt;=analysis_period,IF(SUM($C694:AH694)&gt;0,AG350+1,0),0)</f>
        <v>0</v>
      </c>
      <c r="AI350" s="156">
        <f>IF(AI$2&lt;=analysis_period,IF(SUM($C694:AI694)&gt;0,AH350+1,0),0)</f>
        <v>0</v>
      </c>
      <c r="AJ350" s="156">
        <f>IF(AJ$2&lt;=analysis_period,IF(SUM($C694:AJ694)&gt;0,AI350+1,0),0)</f>
        <v>0</v>
      </c>
      <c r="AK350" s="156">
        <f>IF(AK$2&lt;=analysis_period,IF(SUM($C694:AK694)&gt;0,AJ350+1,0),0)</f>
        <v>0</v>
      </c>
      <c r="AL350" s="156">
        <f>IF(AL$2&lt;=analysis_period,IF(SUM($C694:AL694)&gt;0,AK350+1,0),0)</f>
        <v>0</v>
      </c>
      <c r="AM350" s="156">
        <f>IF(AM$2&lt;=analysis_period,IF(SUM($C694:AM694)&gt;0,AL350+1,0),0)</f>
        <v>0</v>
      </c>
      <c r="AN350" s="156">
        <f>IF(AN$2&lt;=analysis_period,IF(SUM($C694:AN694)&gt;0,AM350+1,0),0)</f>
        <v>0</v>
      </c>
      <c r="AO350" s="156">
        <f>IF(AO$2&lt;=analysis_period,IF(SUM($C694:AO694)&gt;0,AN350+1,0),0)</f>
        <v>0</v>
      </c>
      <c r="AP350" s="156">
        <f>IF(AP$2&lt;=analysis_period,IF(SUM($C694:AP694)&gt;0,AO350+1,0),0)</f>
        <v>0</v>
      </c>
    </row>
    <row r="351" spans="1:42" x14ac:dyDescent="0.4">
      <c r="A351" s="4">
        <f t="shared" ref="A351:A358" si="136">A350+1</f>
        <v>3</v>
      </c>
      <c r="B351" s="4">
        <v>0</v>
      </c>
      <c r="C351" s="156">
        <f>IF(C$2&lt;=analysis_period,IF(SUM($C695:C695)&gt;0,B351+1,0),0)</f>
        <v>0</v>
      </c>
      <c r="D351" s="156">
        <f>IF(D$2&lt;=analysis_period,IF(SUM($C695:D695)&gt;0,C351+1,0),0)</f>
        <v>0</v>
      </c>
      <c r="E351" s="156">
        <f>IF(E$2&lt;=analysis_period,IF(SUM($C695:E695)&gt;0,D351+1,0),0)</f>
        <v>0</v>
      </c>
      <c r="F351" s="156">
        <f>IF(F$2&lt;=analysis_period,IF(SUM($C695:F695)&gt;0,E351+1,0),0)</f>
        <v>0</v>
      </c>
      <c r="G351" s="156">
        <f>IF(G$2&lt;=analysis_period,IF(SUM($C695:G695)&gt;0,F351+1,0),0)</f>
        <v>0</v>
      </c>
      <c r="H351" s="156">
        <f>IF(H$2&lt;=analysis_period,IF(SUM($C695:H695)&gt;0,G351+1,0),0)</f>
        <v>0</v>
      </c>
      <c r="I351" s="156">
        <f>IF(I$2&lt;=analysis_period,IF(SUM($C695:I695)&gt;0,H351+1,0),0)</f>
        <v>0</v>
      </c>
      <c r="J351" s="156">
        <f>IF(J$2&lt;=analysis_period,IF(SUM($C695:J695)&gt;0,I351+1,0),0)</f>
        <v>0</v>
      </c>
      <c r="K351" s="156">
        <f>IF(K$2&lt;=analysis_period,IF(SUM($C695:K695)&gt;0,J351+1,0),0)</f>
        <v>0</v>
      </c>
      <c r="L351" s="156">
        <f>IF(L$2&lt;=analysis_period,IF(SUM($C695:L695)&gt;0,K351+1,0),0)</f>
        <v>0</v>
      </c>
      <c r="M351" s="156">
        <f>IF(M$2&lt;=analysis_period,IF(SUM($C695:M695)&gt;0,L351+1,0),0)</f>
        <v>0</v>
      </c>
      <c r="N351" s="156">
        <f>IF(N$2&lt;=analysis_period,IF(SUM($C695:N695)&gt;0,M351+1,0),0)</f>
        <v>0</v>
      </c>
      <c r="O351" s="156">
        <f>IF(O$2&lt;=analysis_period,IF(SUM($C695:O695)&gt;0,N351+1,0),0)</f>
        <v>0</v>
      </c>
      <c r="P351" s="156">
        <f>IF(P$2&lt;=analysis_period,IF(SUM($C695:P695)&gt;0,O351+1,0),0)</f>
        <v>0</v>
      </c>
      <c r="Q351" s="156">
        <f>IF(Q$2&lt;=analysis_period,IF(SUM($C695:Q695)&gt;0,P351+1,0),0)</f>
        <v>0</v>
      </c>
      <c r="R351" s="156">
        <f>IF(R$2&lt;=analysis_period,IF(SUM($C695:R695)&gt;0,Q351+1,0),0)</f>
        <v>0</v>
      </c>
      <c r="S351" s="156">
        <f>IF(S$2&lt;=analysis_period,IF(SUM($C695:S695)&gt;0,R351+1,0),0)</f>
        <v>0</v>
      </c>
      <c r="T351" s="156">
        <f>IF(T$2&lt;=analysis_period,IF(SUM($C695:T695)&gt;0,S351+1,0),0)</f>
        <v>0</v>
      </c>
      <c r="U351" s="156">
        <f>IF(U$2&lt;=analysis_period,IF(SUM($C695:U695)&gt;0,T351+1,0),0)</f>
        <v>0</v>
      </c>
      <c r="V351" s="156">
        <f>IF(V$2&lt;=analysis_period,IF(SUM($C695:V695)&gt;0,U351+1,0),0)</f>
        <v>0</v>
      </c>
      <c r="W351" s="156">
        <f>IF(W$2&lt;=analysis_period,IF(SUM($C695:W695)&gt;0,V351+1,0),0)</f>
        <v>0</v>
      </c>
      <c r="X351" s="156">
        <f>IF(X$2&lt;=analysis_period,IF(SUM($C695:X695)&gt;0,W351+1,0),0)</f>
        <v>0</v>
      </c>
      <c r="Y351" s="156">
        <f>IF(Y$2&lt;=analysis_period,IF(SUM($C695:Y695)&gt;0,X351+1,0),0)</f>
        <v>0</v>
      </c>
      <c r="Z351" s="156">
        <f>IF(Z$2&lt;=analysis_period,IF(SUM($C695:Z695)&gt;0,Y351+1,0),0)</f>
        <v>0</v>
      </c>
      <c r="AA351" s="156">
        <f>IF(AA$2&lt;=analysis_period,IF(SUM($C695:AA695)&gt;0,Z351+1,0),0)</f>
        <v>0</v>
      </c>
      <c r="AB351" s="156">
        <f>IF(AB$2&lt;=analysis_period,IF(SUM($C695:AB695)&gt;0,AA351+1,0),0)</f>
        <v>0</v>
      </c>
      <c r="AC351" s="156">
        <f>IF(AC$2&lt;=analysis_period,IF(SUM($C695:AC695)&gt;0,AB351+1,0),0)</f>
        <v>0</v>
      </c>
      <c r="AD351" s="156">
        <f>IF(AD$2&lt;=analysis_period,IF(SUM($C695:AD695)&gt;0,AC351+1,0),0)</f>
        <v>0</v>
      </c>
      <c r="AE351" s="156">
        <f>IF(AE$2&lt;=analysis_period,IF(SUM($C695:AE695)&gt;0,AD351+1,0),0)</f>
        <v>0</v>
      </c>
      <c r="AF351" s="156">
        <f>IF(AF$2&lt;=analysis_period,IF(SUM($C695:AF695)&gt;0,AE351+1,0),0)</f>
        <v>0</v>
      </c>
      <c r="AG351" s="156">
        <f>IF(AG$2&lt;=analysis_period,IF(SUM($C695:AG695)&gt;0,AF351+1,0),0)</f>
        <v>0</v>
      </c>
      <c r="AH351" s="156">
        <f>IF(AH$2&lt;=analysis_period,IF(SUM($C695:AH695)&gt;0,AG351+1,0),0)</f>
        <v>0</v>
      </c>
      <c r="AI351" s="156">
        <f>IF(AI$2&lt;=analysis_period,IF(SUM($C695:AI695)&gt;0,AH351+1,0),0)</f>
        <v>0</v>
      </c>
      <c r="AJ351" s="156">
        <f>IF(AJ$2&lt;=analysis_period,IF(SUM($C695:AJ695)&gt;0,AI351+1,0),0)</f>
        <v>0</v>
      </c>
      <c r="AK351" s="156">
        <f>IF(AK$2&lt;=analysis_period,IF(SUM($C695:AK695)&gt;0,AJ351+1,0),0)</f>
        <v>0</v>
      </c>
      <c r="AL351" s="156">
        <f>IF(AL$2&lt;=analysis_period,IF(SUM($C695:AL695)&gt;0,AK351+1,0),0)</f>
        <v>0</v>
      </c>
      <c r="AM351" s="156">
        <f>IF(AM$2&lt;=analysis_period,IF(SUM($C695:AM695)&gt;0,AL351+1,0),0)</f>
        <v>0</v>
      </c>
      <c r="AN351" s="156">
        <f>IF(AN$2&lt;=analysis_period,IF(SUM($C695:AN695)&gt;0,AM351+1,0),0)</f>
        <v>0</v>
      </c>
      <c r="AO351" s="156">
        <f>IF(AO$2&lt;=analysis_period,IF(SUM($C695:AO695)&gt;0,AN351+1,0),0)</f>
        <v>0</v>
      </c>
      <c r="AP351" s="156">
        <f>IF(AP$2&lt;=analysis_period,IF(SUM($C695:AP695)&gt;0,AO351+1,0),0)</f>
        <v>0</v>
      </c>
    </row>
    <row r="352" spans="1:42" x14ac:dyDescent="0.4">
      <c r="A352" s="4">
        <f t="shared" si="136"/>
        <v>4</v>
      </c>
      <c r="B352" s="4">
        <v>0</v>
      </c>
      <c r="C352" s="156">
        <f>IF(C$2&lt;=analysis_period,IF(SUM($C696:C696)&gt;0,B352+1,0),0)</f>
        <v>0</v>
      </c>
      <c r="D352" s="156">
        <f>IF(D$2&lt;=analysis_period,IF(SUM($C696:D696)&gt;0,C352+1,0),0)</f>
        <v>0</v>
      </c>
      <c r="E352" s="156">
        <f>IF(E$2&lt;=analysis_period,IF(SUM($C696:E696)&gt;0,D352+1,0),0)</f>
        <v>0</v>
      </c>
      <c r="F352" s="156">
        <f>IF(F$2&lt;=analysis_period,IF(SUM($C696:F696)&gt;0,E352+1,0),0)</f>
        <v>0</v>
      </c>
      <c r="G352" s="156">
        <f>IF(G$2&lt;=analysis_period,IF(SUM($C696:G696)&gt;0,F352+1,0),0)</f>
        <v>0</v>
      </c>
      <c r="H352" s="156">
        <f>IF(H$2&lt;=analysis_period,IF(SUM($C696:H696)&gt;0,G352+1,0),0)</f>
        <v>0</v>
      </c>
      <c r="I352" s="156">
        <f>IF(I$2&lt;=analysis_period,IF(SUM($C696:I696)&gt;0,H352+1,0),0)</f>
        <v>0</v>
      </c>
      <c r="J352" s="156">
        <f>IF(J$2&lt;=analysis_period,IF(SUM($C696:J696)&gt;0,I352+1,0),0)</f>
        <v>0</v>
      </c>
      <c r="K352" s="156">
        <f>IF(K$2&lt;=analysis_period,IF(SUM($C696:K696)&gt;0,J352+1,0),0)</f>
        <v>0</v>
      </c>
      <c r="L352" s="156">
        <f>IF(L$2&lt;=analysis_period,IF(SUM($C696:L696)&gt;0,K352+1,0),0)</f>
        <v>0</v>
      </c>
      <c r="M352" s="156">
        <f>IF(M$2&lt;=analysis_period,IF(SUM($C696:M696)&gt;0,L352+1,0),0)</f>
        <v>0</v>
      </c>
      <c r="N352" s="156">
        <f>IF(N$2&lt;=analysis_period,IF(SUM($C696:N696)&gt;0,M352+1,0),0)</f>
        <v>0</v>
      </c>
      <c r="O352" s="156">
        <f>IF(O$2&lt;=analysis_period,IF(SUM($C696:O696)&gt;0,N352+1,0),0)</f>
        <v>0</v>
      </c>
      <c r="P352" s="156">
        <f>IF(P$2&lt;=analysis_period,IF(SUM($C696:P696)&gt;0,O352+1,0),0)</f>
        <v>0</v>
      </c>
      <c r="Q352" s="156">
        <f>IF(Q$2&lt;=analysis_period,IF(SUM($C696:Q696)&gt;0,P352+1,0),0)</f>
        <v>0</v>
      </c>
      <c r="R352" s="156">
        <f>IF(R$2&lt;=analysis_period,IF(SUM($C696:R696)&gt;0,Q352+1,0),0)</f>
        <v>0</v>
      </c>
      <c r="S352" s="156">
        <f>IF(S$2&lt;=analysis_period,IF(SUM($C696:S696)&gt;0,R352+1,0),0)</f>
        <v>0</v>
      </c>
      <c r="T352" s="156">
        <f>IF(T$2&lt;=analysis_period,IF(SUM($C696:T696)&gt;0,S352+1,0),0)</f>
        <v>0</v>
      </c>
      <c r="U352" s="156">
        <f>IF(U$2&lt;=analysis_period,IF(SUM($C696:U696)&gt;0,T352+1,0),0)</f>
        <v>0</v>
      </c>
      <c r="V352" s="156">
        <f>IF(V$2&lt;=analysis_period,IF(SUM($C696:V696)&gt;0,U352+1,0),0)</f>
        <v>0</v>
      </c>
      <c r="W352" s="156">
        <f>IF(W$2&lt;=analysis_period,IF(SUM($C696:W696)&gt;0,V352+1,0),0)</f>
        <v>0</v>
      </c>
      <c r="X352" s="156">
        <f>IF(X$2&lt;=analysis_period,IF(SUM($C696:X696)&gt;0,W352+1,0),0)</f>
        <v>0</v>
      </c>
      <c r="Y352" s="156">
        <f>IF(Y$2&lt;=analysis_period,IF(SUM($C696:Y696)&gt;0,X352+1,0),0)</f>
        <v>0</v>
      </c>
      <c r="Z352" s="156">
        <f>IF(Z$2&lt;=analysis_period,IF(SUM($C696:Z696)&gt;0,Y352+1,0),0)</f>
        <v>0</v>
      </c>
      <c r="AA352" s="156">
        <f>IF(AA$2&lt;=analysis_period,IF(SUM($C696:AA696)&gt;0,Z352+1,0),0)</f>
        <v>0</v>
      </c>
      <c r="AB352" s="156">
        <f>IF(AB$2&lt;=analysis_period,IF(SUM($C696:AB696)&gt;0,AA352+1,0),0)</f>
        <v>0</v>
      </c>
      <c r="AC352" s="156">
        <f>IF(AC$2&lt;=analysis_period,IF(SUM($C696:AC696)&gt;0,AB352+1,0),0)</f>
        <v>0</v>
      </c>
      <c r="AD352" s="156">
        <f>IF(AD$2&lt;=analysis_period,IF(SUM($C696:AD696)&gt;0,AC352+1,0),0)</f>
        <v>0</v>
      </c>
      <c r="AE352" s="156">
        <f>IF(AE$2&lt;=analysis_period,IF(SUM($C696:AE696)&gt;0,AD352+1,0),0)</f>
        <v>0</v>
      </c>
      <c r="AF352" s="156">
        <f>IF(AF$2&lt;=analysis_period,IF(SUM($C696:AF696)&gt;0,AE352+1,0),0)</f>
        <v>0</v>
      </c>
      <c r="AG352" s="156">
        <f>IF(AG$2&lt;=analysis_period,IF(SUM($C696:AG696)&gt;0,AF352+1,0),0)</f>
        <v>0</v>
      </c>
      <c r="AH352" s="156">
        <f>IF(AH$2&lt;=analysis_period,IF(SUM($C696:AH696)&gt;0,AG352+1,0),0)</f>
        <v>0</v>
      </c>
      <c r="AI352" s="156">
        <f>IF(AI$2&lt;=analysis_period,IF(SUM($C696:AI696)&gt;0,AH352+1,0),0)</f>
        <v>0</v>
      </c>
      <c r="AJ352" s="156">
        <f>IF(AJ$2&lt;=analysis_period,IF(SUM($C696:AJ696)&gt;0,AI352+1,0),0)</f>
        <v>0</v>
      </c>
      <c r="AK352" s="156">
        <f>IF(AK$2&lt;=analysis_period,IF(SUM($C696:AK696)&gt;0,AJ352+1,0),0)</f>
        <v>0</v>
      </c>
      <c r="AL352" s="156">
        <f>IF(AL$2&lt;=analysis_period,IF(SUM($C696:AL696)&gt;0,AK352+1,0),0)</f>
        <v>0</v>
      </c>
      <c r="AM352" s="156">
        <f>IF(AM$2&lt;=analysis_period,IF(SUM($C696:AM696)&gt;0,AL352+1,0),0)</f>
        <v>0</v>
      </c>
      <c r="AN352" s="156">
        <f>IF(AN$2&lt;=analysis_period,IF(SUM($C696:AN696)&gt;0,AM352+1,0),0)</f>
        <v>0</v>
      </c>
      <c r="AO352" s="156">
        <f>IF(AO$2&lt;=analysis_period,IF(SUM($C696:AO696)&gt;0,AN352+1,0),0)</f>
        <v>0</v>
      </c>
      <c r="AP352" s="156">
        <f>IF(AP$2&lt;=analysis_period,IF(SUM($C696:AP696)&gt;0,AO352+1,0),0)</f>
        <v>0</v>
      </c>
    </row>
    <row r="353" spans="1:42" x14ac:dyDescent="0.4">
      <c r="A353" s="4">
        <f t="shared" si="136"/>
        <v>5</v>
      </c>
      <c r="B353" s="4">
        <v>0</v>
      </c>
      <c r="C353" s="156">
        <f>IF(C$2&lt;=analysis_period,IF(SUM($C697:C697)&gt;0,B353+1,0),0)</f>
        <v>0</v>
      </c>
      <c r="D353" s="156">
        <f>IF(D$2&lt;=analysis_period,IF(SUM($C697:D697)&gt;0,C353+1,0),0)</f>
        <v>0</v>
      </c>
      <c r="E353" s="156">
        <f>IF(E$2&lt;=analysis_period,IF(SUM($C697:E697)&gt;0,D353+1,0),0)</f>
        <v>0</v>
      </c>
      <c r="F353" s="156">
        <f>IF(F$2&lt;=analysis_period,IF(SUM($C697:F697)&gt;0,E353+1,0),0)</f>
        <v>0</v>
      </c>
      <c r="G353" s="156">
        <f>IF(G$2&lt;=analysis_period,IF(SUM($C697:G697)&gt;0,F353+1,0),0)</f>
        <v>0</v>
      </c>
      <c r="H353" s="156">
        <f>IF(H$2&lt;=analysis_period,IF(SUM($C697:H697)&gt;0,G353+1,0),0)</f>
        <v>0</v>
      </c>
      <c r="I353" s="156">
        <f>IF(I$2&lt;=analysis_period,IF(SUM($C697:I697)&gt;0,H353+1,0),0)</f>
        <v>0</v>
      </c>
      <c r="J353" s="156">
        <f>IF(J$2&lt;=analysis_period,IF(SUM($C697:J697)&gt;0,I353+1,0),0)</f>
        <v>0</v>
      </c>
      <c r="K353" s="156">
        <f>IF(K$2&lt;=analysis_period,IF(SUM($C697:K697)&gt;0,J353+1,0),0)</f>
        <v>0</v>
      </c>
      <c r="L353" s="156">
        <f>IF(L$2&lt;=analysis_period,IF(SUM($C697:L697)&gt;0,K353+1,0),0)</f>
        <v>0</v>
      </c>
      <c r="M353" s="156">
        <f>IF(M$2&lt;=analysis_period,IF(SUM($C697:M697)&gt;0,L353+1,0),0)</f>
        <v>0</v>
      </c>
      <c r="N353" s="156">
        <f>IF(N$2&lt;=analysis_period,IF(SUM($C697:N697)&gt;0,M353+1,0),0)</f>
        <v>0</v>
      </c>
      <c r="O353" s="156">
        <f>IF(O$2&lt;=analysis_period,IF(SUM($C697:O697)&gt;0,N353+1,0),0)</f>
        <v>0</v>
      </c>
      <c r="P353" s="156">
        <f>IF(P$2&lt;=analysis_period,IF(SUM($C697:P697)&gt;0,O353+1,0),0)</f>
        <v>0</v>
      </c>
      <c r="Q353" s="156">
        <f>IF(Q$2&lt;=analysis_period,IF(SUM($C697:Q697)&gt;0,P353+1,0),0)</f>
        <v>0</v>
      </c>
      <c r="R353" s="156">
        <f>IF(R$2&lt;=analysis_period,IF(SUM($C697:R697)&gt;0,Q353+1,0),0)</f>
        <v>0</v>
      </c>
      <c r="S353" s="156">
        <f>IF(S$2&lt;=analysis_period,IF(SUM($C697:S697)&gt;0,R353+1,0),0)</f>
        <v>0</v>
      </c>
      <c r="T353" s="156">
        <f>IF(T$2&lt;=analysis_period,IF(SUM($C697:T697)&gt;0,S353+1,0),0)</f>
        <v>0</v>
      </c>
      <c r="U353" s="156">
        <f>IF(U$2&lt;=analysis_period,IF(SUM($C697:U697)&gt;0,T353+1,0),0)</f>
        <v>0</v>
      </c>
      <c r="V353" s="156">
        <f>IF(V$2&lt;=analysis_period,IF(SUM($C697:V697)&gt;0,U353+1,0),0)</f>
        <v>0</v>
      </c>
      <c r="W353" s="156">
        <f>IF(W$2&lt;=analysis_period,IF(SUM($C697:W697)&gt;0,V353+1,0),0)</f>
        <v>0</v>
      </c>
      <c r="X353" s="156">
        <f>IF(X$2&lt;=analysis_period,IF(SUM($C697:X697)&gt;0,W353+1,0),0)</f>
        <v>0</v>
      </c>
      <c r="Y353" s="156">
        <f>IF(Y$2&lt;=analysis_period,IF(SUM($C697:Y697)&gt;0,X353+1,0),0)</f>
        <v>0</v>
      </c>
      <c r="Z353" s="156">
        <f>IF(Z$2&lt;=analysis_period,IF(SUM($C697:Z697)&gt;0,Y353+1,0),0)</f>
        <v>0</v>
      </c>
      <c r="AA353" s="156">
        <f>IF(AA$2&lt;=analysis_period,IF(SUM($C697:AA697)&gt;0,Z353+1,0),0)</f>
        <v>0</v>
      </c>
      <c r="AB353" s="156">
        <f>IF(AB$2&lt;=analysis_period,IF(SUM($C697:AB697)&gt;0,AA353+1,0),0)</f>
        <v>0</v>
      </c>
      <c r="AC353" s="156">
        <f>IF(AC$2&lt;=analysis_period,IF(SUM($C697:AC697)&gt;0,AB353+1,0),0)</f>
        <v>0</v>
      </c>
      <c r="AD353" s="156">
        <f>IF(AD$2&lt;=analysis_period,IF(SUM($C697:AD697)&gt;0,AC353+1,0),0)</f>
        <v>0</v>
      </c>
      <c r="AE353" s="156">
        <f>IF(AE$2&lt;=analysis_period,IF(SUM($C697:AE697)&gt;0,AD353+1,0),0)</f>
        <v>0</v>
      </c>
      <c r="AF353" s="156">
        <f>IF(AF$2&lt;=analysis_period,IF(SUM($C697:AF697)&gt;0,AE353+1,0),0)</f>
        <v>0</v>
      </c>
      <c r="AG353" s="156">
        <f>IF(AG$2&lt;=analysis_period,IF(SUM($C697:AG697)&gt;0,AF353+1,0),0)</f>
        <v>0</v>
      </c>
      <c r="AH353" s="156">
        <f>IF(AH$2&lt;=analysis_period,IF(SUM($C697:AH697)&gt;0,AG353+1,0),0)</f>
        <v>0</v>
      </c>
      <c r="AI353" s="156">
        <f>IF(AI$2&lt;=analysis_period,IF(SUM($C697:AI697)&gt;0,AH353+1,0),0)</f>
        <v>0</v>
      </c>
      <c r="AJ353" s="156">
        <f>IF(AJ$2&lt;=analysis_period,IF(SUM($C697:AJ697)&gt;0,AI353+1,0),0)</f>
        <v>0</v>
      </c>
      <c r="AK353" s="156">
        <f>IF(AK$2&lt;=analysis_period,IF(SUM($C697:AK697)&gt;0,AJ353+1,0),0)</f>
        <v>0</v>
      </c>
      <c r="AL353" s="156">
        <f>IF(AL$2&lt;=analysis_period,IF(SUM($C697:AL697)&gt;0,AK353+1,0),0)</f>
        <v>0</v>
      </c>
      <c r="AM353" s="156">
        <f>IF(AM$2&lt;=analysis_period,IF(SUM($C697:AM697)&gt;0,AL353+1,0),0)</f>
        <v>0</v>
      </c>
      <c r="AN353" s="156">
        <f>IF(AN$2&lt;=analysis_period,IF(SUM($C697:AN697)&gt;0,AM353+1,0),0)</f>
        <v>0</v>
      </c>
      <c r="AO353" s="156">
        <f>IF(AO$2&lt;=analysis_period,IF(SUM($C697:AO697)&gt;0,AN353+1,0),0)</f>
        <v>0</v>
      </c>
      <c r="AP353" s="156">
        <f>IF(AP$2&lt;=analysis_period,IF(SUM($C697:AP697)&gt;0,AO353+1,0),0)</f>
        <v>0</v>
      </c>
    </row>
    <row r="354" spans="1:42" x14ac:dyDescent="0.4">
      <c r="A354" s="4">
        <f t="shared" si="136"/>
        <v>6</v>
      </c>
      <c r="B354" s="4">
        <v>0</v>
      </c>
      <c r="C354" s="156">
        <f>IF(C$2&lt;=analysis_period,IF(SUM($C698:C698)&gt;0,B354+1,0),0)</f>
        <v>0</v>
      </c>
      <c r="D354" s="156">
        <f>IF(D$2&lt;=analysis_period,IF(SUM($C698:D698)&gt;0,C354+1,0),0)</f>
        <v>0</v>
      </c>
      <c r="E354" s="156">
        <f>IF(E$2&lt;=analysis_period,IF(SUM($C698:E698)&gt;0,D354+1,0),0)</f>
        <v>0</v>
      </c>
      <c r="F354" s="156">
        <f>IF(F$2&lt;=analysis_period,IF(SUM($C698:F698)&gt;0,E354+1,0),0)</f>
        <v>0</v>
      </c>
      <c r="G354" s="156">
        <f>IF(G$2&lt;=analysis_period,IF(SUM($C698:G698)&gt;0,F354+1,0),0)</f>
        <v>0</v>
      </c>
      <c r="H354" s="156">
        <f>IF(H$2&lt;=analysis_period,IF(SUM($C698:H698)&gt;0,G354+1,0),0)</f>
        <v>0</v>
      </c>
      <c r="I354" s="156">
        <f>IF(I$2&lt;=analysis_period,IF(SUM($C698:I698)&gt;0,H354+1,0),0)</f>
        <v>0</v>
      </c>
      <c r="J354" s="156">
        <f>IF(J$2&lt;=analysis_period,IF(SUM($C698:J698)&gt;0,I354+1,0),0)</f>
        <v>0</v>
      </c>
      <c r="K354" s="156">
        <f>IF(K$2&lt;=analysis_period,IF(SUM($C698:K698)&gt;0,J354+1,0),0)</f>
        <v>0</v>
      </c>
      <c r="L354" s="156">
        <f>IF(L$2&lt;=analysis_period,IF(SUM($C698:L698)&gt;0,K354+1,0),0)</f>
        <v>0</v>
      </c>
      <c r="M354" s="156">
        <f>IF(M$2&lt;=analysis_period,IF(SUM($C698:M698)&gt;0,L354+1,0),0)</f>
        <v>0</v>
      </c>
      <c r="N354" s="156">
        <f>IF(N$2&lt;=analysis_period,IF(SUM($C698:N698)&gt;0,M354+1,0),0)</f>
        <v>0</v>
      </c>
      <c r="O354" s="156">
        <f>IF(O$2&lt;=analysis_period,IF(SUM($C698:O698)&gt;0,N354+1,0),0)</f>
        <v>0</v>
      </c>
      <c r="P354" s="156">
        <f>IF(P$2&lt;=analysis_period,IF(SUM($C698:P698)&gt;0,O354+1,0),0)</f>
        <v>0</v>
      </c>
      <c r="Q354" s="156">
        <f>IF(Q$2&lt;=analysis_period,IF(SUM($C698:Q698)&gt;0,P354+1,0),0)</f>
        <v>0</v>
      </c>
      <c r="R354" s="156">
        <f>IF(R$2&lt;=analysis_period,IF(SUM($C698:R698)&gt;0,Q354+1,0),0)</f>
        <v>0</v>
      </c>
      <c r="S354" s="156">
        <f>IF(S$2&lt;=analysis_period,IF(SUM($C698:S698)&gt;0,R354+1,0),0)</f>
        <v>0</v>
      </c>
      <c r="T354" s="156">
        <f>IF(T$2&lt;=analysis_period,IF(SUM($C698:T698)&gt;0,S354+1,0),0)</f>
        <v>0</v>
      </c>
      <c r="U354" s="156">
        <f>IF(U$2&lt;=analysis_period,IF(SUM($C698:U698)&gt;0,T354+1,0),0)</f>
        <v>0</v>
      </c>
      <c r="V354" s="156">
        <f>IF(V$2&lt;=analysis_period,IF(SUM($C698:V698)&gt;0,U354+1,0),0)</f>
        <v>0</v>
      </c>
      <c r="W354" s="156">
        <f>IF(W$2&lt;=analysis_period,IF(SUM($C698:W698)&gt;0,V354+1,0),0)</f>
        <v>0</v>
      </c>
      <c r="X354" s="156">
        <f>IF(X$2&lt;=analysis_period,IF(SUM($C698:X698)&gt;0,W354+1,0),0)</f>
        <v>0</v>
      </c>
      <c r="Y354" s="156">
        <f>IF(Y$2&lt;=analysis_period,IF(SUM($C698:Y698)&gt;0,X354+1,0),0)</f>
        <v>0</v>
      </c>
      <c r="Z354" s="156">
        <f>IF(Z$2&lt;=analysis_period,IF(SUM($C698:Z698)&gt;0,Y354+1,0),0)</f>
        <v>0</v>
      </c>
      <c r="AA354" s="156">
        <f>IF(AA$2&lt;=analysis_period,IF(SUM($C698:AA698)&gt;0,Z354+1,0),0)</f>
        <v>0</v>
      </c>
      <c r="AB354" s="156">
        <f>IF(AB$2&lt;=analysis_period,IF(SUM($C698:AB698)&gt;0,AA354+1,0),0)</f>
        <v>0</v>
      </c>
      <c r="AC354" s="156">
        <f>IF(AC$2&lt;=analysis_period,IF(SUM($C698:AC698)&gt;0,AB354+1,0),0)</f>
        <v>0</v>
      </c>
      <c r="AD354" s="156">
        <f>IF(AD$2&lt;=analysis_period,IF(SUM($C698:AD698)&gt;0,AC354+1,0),0)</f>
        <v>0</v>
      </c>
      <c r="AE354" s="156">
        <f>IF(AE$2&lt;=analysis_period,IF(SUM($C698:AE698)&gt;0,AD354+1,0),0)</f>
        <v>0</v>
      </c>
      <c r="AF354" s="156">
        <f>IF(AF$2&lt;=analysis_period,IF(SUM($C698:AF698)&gt;0,AE354+1,0),0)</f>
        <v>0</v>
      </c>
      <c r="AG354" s="156">
        <f>IF(AG$2&lt;=analysis_period,IF(SUM($C698:AG698)&gt;0,AF354+1,0),0)</f>
        <v>0</v>
      </c>
      <c r="AH354" s="156">
        <f>IF(AH$2&lt;=analysis_period,IF(SUM($C698:AH698)&gt;0,AG354+1,0),0)</f>
        <v>0</v>
      </c>
      <c r="AI354" s="156">
        <f>IF(AI$2&lt;=analysis_period,IF(SUM($C698:AI698)&gt;0,AH354+1,0),0)</f>
        <v>0</v>
      </c>
      <c r="AJ354" s="156">
        <f>IF(AJ$2&lt;=analysis_period,IF(SUM($C698:AJ698)&gt;0,AI354+1,0),0)</f>
        <v>0</v>
      </c>
      <c r="AK354" s="156">
        <f>IF(AK$2&lt;=analysis_period,IF(SUM($C698:AK698)&gt;0,AJ354+1,0),0)</f>
        <v>0</v>
      </c>
      <c r="AL354" s="156">
        <f>IF(AL$2&lt;=analysis_period,IF(SUM($C698:AL698)&gt;0,AK354+1,0),0)</f>
        <v>0</v>
      </c>
      <c r="AM354" s="156">
        <f>IF(AM$2&lt;=analysis_period,IF(SUM($C698:AM698)&gt;0,AL354+1,0),0)</f>
        <v>0</v>
      </c>
      <c r="AN354" s="156">
        <f>IF(AN$2&lt;=analysis_period,IF(SUM($C698:AN698)&gt;0,AM354+1,0),0)</f>
        <v>0</v>
      </c>
      <c r="AO354" s="156">
        <f>IF(AO$2&lt;=analysis_period,IF(SUM($C698:AO698)&gt;0,AN354+1,0),0)</f>
        <v>0</v>
      </c>
      <c r="AP354" s="156">
        <f>IF(AP$2&lt;=analysis_period,IF(SUM($C698:AP698)&gt;0,AO354+1,0),0)</f>
        <v>0</v>
      </c>
    </row>
    <row r="355" spans="1:42" x14ac:dyDescent="0.4">
      <c r="A355" s="4">
        <f t="shared" si="136"/>
        <v>7</v>
      </c>
      <c r="B355" s="4">
        <v>0</v>
      </c>
      <c r="C355" s="156">
        <f>IF(C$2&lt;=analysis_period,IF(SUM($C699:C699)&gt;0,B355+1,0),0)</f>
        <v>0</v>
      </c>
      <c r="D355" s="156">
        <f>IF(D$2&lt;=analysis_period,IF(SUM($C699:D699)&gt;0,C355+1,0),0)</f>
        <v>0</v>
      </c>
      <c r="E355" s="156">
        <f>IF(E$2&lt;=analysis_period,IF(SUM($C699:E699)&gt;0,D355+1,0),0)</f>
        <v>0</v>
      </c>
      <c r="F355" s="156">
        <f>IF(F$2&lt;=analysis_period,IF(SUM($C699:F699)&gt;0,E355+1,0),0)</f>
        <v>0</v>
      </c>
      <c r="G355" s="156">
        <f>IF(G$2&lt;=analysis_period,IF(SUM($C699:G699)&gt;0,F355+1,0),0)</f>
        <v>0</v>
      </c>
      <c r="H355" s="156">
        <f>IF(H$2&lt;=analysis_period,IF(SUM($C699:H699)&gt;0,G355+1,0),0)</f>
        <v>0</v>
      </c>
      <c r="I355" s="156">
        <f>IF(I$2&lt;=analysis_period,IF(SUM($C699:I699)&gt;0,H355+1,0),0)</f>
        <v>0</v>
      </c>
      <c r="J355" s="156">
        <f>IF(J$2&lt;=analysis_period,IF(SUM($C699:J699)&gt;0,I355+1,0),0)</f>
        <v>0</v>
      </c>
      <c r="K355" s="156">
        <f>IF(K$2&lt;=analysis_period,IF(SUM($C699:K699)&gt;0,J355+1,0),0)</f>
        <v>0</v>
      </c>
      <c r="L355" s="156">
        <f>IF(L$2&lt;=analysis_period,IF(SUM($C699:L699)&gt;0,K355+1,0),0)</f>
        <v>0</v>
      </c>
      <c r="M355" s="156">
        <f>IF(M$2&lt;=analysis_period,IF(SUM($C699:M699)&gt;0,L355+1,0),0)</f>
        <v>0</v>
      </c>
      <c r="N355" s="156">
        <f>IF(N$2&lt;=analysis_period,IF(SUM($C699:N699)&gt;0,M355+1,0),0)</f>
        <v>0</v>
      </c>
      <c r="O355" s="156">
        <f>IF(O$2&lt;=analysis_period,IF(SUM($C699:O699)&gt;0,N355+1,0),0)</f>
        <v>0</v>
      </c>
      <c r="P355" s="156">
        <f>IF(P$2&lt;=analysis_period,IF(SUM($C699:P699)&gt;0,O355+1,0),0)</f>
        <v>0</v>
      </c>
      <c r="Q355" s="156">
        <f>IF(Q$2&lt;=analysis_period,IF(SUM($C699:Q699)&gt;0,P355+1,0),0)</f>
        <v>0</v>
      </c>
      <c r="R355" s="156">
        <f>IF(R$2&lt;=analysis_period,IF(SUM($C699:R699)&gt;0,Q355+1,0),0)</f>
        <v>0</v>
      </c>
      <c r="S355" s="156">
        <f>IF(S$2&lt;=analysis_period,IF(SUM($C699:S699)&gt;0,R355+1,0),0)</f>
        <v>0</v>
      </c>
      <c r="T355" s="156">
        <f>IF(T$2&lt;=analysis_period,IF(SUM($C699:T699)&gt;0,S355+1,0),0)</f>
        <v>0</v>
      </c>
      <c r="U355" s="156">
        <f>IF(U$2&lt;=analysis_period,IF(SUM($C699:U699)&gt;0,T355+1,0),0)</f>
        <v>0</v>
      </c>
      <c r="V355" s="156">
        <f>IF(V$2&lt;=analysis_period,IF(SUM($C699:V699)&gt;0,U355+1,0),0)</f>
        <v>0</v>
      </c>
      <c r="W355" s="156">
        <f>IF(W$2&lt;=analysis_period,IF(SUM($C699:W699)&gt;0,V355+1,0),0)</f>
        <v>0</v>
      </c>
      <c r="X355" s="156">
        <f>IF(X$2&lt;=analysis_period,IF(SUM($C699:X699)&gt;0,W355+1,0),0)</f>
        <v>0</v>
      </c>
      <c r="Y355" s="156">
        <f>IF(Y$2&lt;=analysis_period,IF(SUM($C699:Y699)&gt;0,X355+1,0),0)</f>
        <v>0</v>
      </c>
      <c r="Z355" s="156">
        <f>IF(Z$2&lt;=analysis_period,IF(SUM($C699:Z699)&gt;0,Y355+1,0),0)</f>
        <v>0</v>
      </c>
      <c r="AA355" s="156">
        <f>IF(AA$2&lt;=analysis_period,IF(SUM($C699:AA699)&gt;0,Z355+1,0),0)</f>
        <v>0</v>
      </c>
      <c r="AB355" s="156">
        <f>IF(AB$2&lt;=analysis_period,IF(SUM($C699:AB699)&gt;0,AA355+1,0),0)</f>
        <v>0</v>
      </c>
      <c r="AC355" s="156">
        <f>IF(AC$2&lt;=analysis_period,IF(SUM($C699:AC699)&gt;0,AB355+1,0),0)</f>
        <v>0</v>
      </c>
      <c r="AD355" s="156">
        <f>IF(AD$2&lt;=analysis_period,IF(SUM($C699:AD699)&gt;0,AC355+1,0),0)</f>
        <v>0</v>
      </c>
      <c r="AE355" s="156">
        <f>IF(AE$2&lt;=analysis_period,IF(SUM($C699:AE699)&gt;0,AD355+1,0),0)</f>
        <v>0</v>
      </c>
      <c r="AF355" s="156">
        <f>IF(AF$2&lt;=analysis_period,IF(SUM($C699:AF699)&gt;0,AE355+1,0),0)</f>
        <v>0</v>
      </c>
      <c r="AG355" s="156">
        <f>IF(AG$2&lt;=analysis_period,IF(SUM($C699:AG699)&gt;0,AF355+1,0),0)</f>
        <v>0</v>
      </c>
      <c r="AH355" s="156">
        <f>IF(AH$2&lt;=analysis_period,IF(SUM($C699:AH699)&gt;0,AG355+1,0),0)</f>
        <v>0</v>
      </c>
      <c r="AI355" s="156">
        <f>IF(AI$2&lt;=analysis_period,IF(SUM($C699:AI699)&gt;0,AH355+1,0),0)</f>
        <v>0</v>
      </c>
      <c r="AJ355" s="156">
        <f>IF(AJ$2&lt;=analysis_period,IF(SUM($C699:AJ699)&gt;0,AI355+1,0),0)</f>
        <v>0</v>
      </c>
      <c r="AK355" s="156">
        <f>IF(AK$2&lt;=analysis_period,IF(SUM($C699:AK699)&gt;0,AJ355+1,0),0)</f>
        <v>0</v>
      </c>
      <c r="AL355" s="156">
        <f>IF(AL$2&lt;=analysis_period,IF(SUM($C699:AL699)&gt;0,AK355+1,0),0)</f>
        <v>0</v>
      </c>
      <c r="AM355" s="156">
        <f>IF(AM$2&lt;=analysis_period,IF(SUM($C699:AM699)&gt;0,AL355+1,0),0)</f>
        <v>0</v>
      </c>
      <c r="AN355" s="156">
        <f>IF(AN$2&lt;=analysis_period,IF(SUM($C699:AN699)&gt;0,AM355+1,0),0)</f>
        <v>0</v>
      </c>
      <c r="AO355" s="156">
        <f>IF(AO$2&lt;=analysis_period,IF(SUM($C699:AO699)&gt;0,AN355+1,0),0)</f>
        <v>0</v>
      </c>
      <c r="AP355" s="156">
        <f>IF(AP$2&lt;=analysis_period,IF(SUM($C699:AP699)&gt;0,AO355+1,0),0)</f>
        <v>0</v>
      </c>
    </row>
    <row r="356" spans="1:42" x14ac:dyDescent="0.4">
      <c r="A356" s="4">
        <f t="shared" si="136"/>
        <v>8</v>
      </c>
      <c r="B356" s="4">
        <v>0</v>
      </c>
      <c r="C356" s="156">
        <f>IF(C$2&lt;=analysis_period,IF(SUM($C700:C700)&gt;0,B356+1,0),0)</f>
        <v>0</v>
      </c>
      <c r="D356" s="156">
        <f>IF(D$2&lt;=analysis_period,IF(SUM($C700:D700)&gt;0,C356+1,0),0)</f>
        <v>0</v>
      </c>
      <c r="E356" s="156">
        <f>IF(E$2&lt;=analysis_period,IF(SUM($C700:E700)&gt;0,D356+1,0),0)</f>
        <v>0</v>
      </c>
      <c r="F356" s="156">
        <f>IF(F$2&lt;=analysis_period,IF(SUM($C700:F700)&gt;0,E356+1,0),0)</f>
        <v>0</v>
      </c>
      <c r="G356" s="156">
        <f>IF(G$2&lt;=analysis_period,IF(SUM($C700:G700)&gt;0,F356+1,0),0)</f>
        <v>0</v>
      </c>
      <c r="H356" s="156">
        <f>IF(H$2&lt;=analysis_period,IF(SUM($C700:H700)&gt;0,G356+1,0),0)</f>
        <v>0</v>
      </c>
      <c r="I356" s="156">
        <f>IF(I$2&lt;=analysis_period,IF(SUM($C700:I700)&gt;0,H356+1,0),0)</f>
        <v>0</v>
      </c>
      <c r="J356" s="156">
        <f>IF(J$2&lt;=analysis_period,IF(SUM($C700:J700)&gt;0,I356+1,0),0)</f>
        <v>0</v>
      </c>
      <c r="K356" s="156">
        <f>IF(K$2&lt;=analysis_period,IF(SUM($C700:K700)&gt;0,J356+1,0),0)</f>
        <v>0</v>
      </c>
      <c r="L356" s="156">
        <f>IF(L$2&lt;=analysis_period,IF(SUM($C700:L700)&gt;0,K356+1,0),0)</f>
        <v>0</v>
      </c>
      <c r="M356" s="156">
        <f>IF(M$2&lt;=analysis_period,IF(SUM($C700:M700)&gt;0,L356+1,0),0)</f>
        <v>0</v>
      </c>
      <c r="N356" s="156">
        <f>IF(N$2&lt;=analysis_period,IF(SUM($C700:N700)&gt;0,M356+1,0),0)</f>
        <v>0</v>
      </c>
      <c r="O356" s="156">
        <f>IF(O$2&lt;=analysis_period,IF(SUM($C700:O700)&gt;0,N356+1,0),0)</f>
        <v>0</v>
      </c>
      <c r="P356" s="156">
        <f>IF(P$2&lt;=analysis_period,IF(SUM($C700:P700)&gt;0,O356+1,0),0)</f>
        <v>0</v>
      </c>
      <c r="Q356" s="156">
        <f>IF(Q$2&lt;=analysis_period,IF(SUM($C700:Q700)&gt;0,P356+1,0),0)</f>
        <v>0</v>
      </c>
      <c r="R356" s="156">
        <f>IF(R$2&lt;=analysis_period,IF(SUM($C700:R700)&gt;0,Q356+1,0),0)</f>
        <v>0</v>
      </c>
      <c r="S356" s="156">
        <f>IF(S$2&lt;=analysis_period,IF(SUM($C700:S700)&gt;0,R356+1,0),0)</f>
        <v>0</v>
      </c>
      <c r="T356" s="156">
        <f>IF(T$2&lt;=analysis_period,IF(SUM($C700:T700)&gt;0,S356+1,0),0)</f>
        <v>0</v>
      </c>
      <c r="U356" s="156">
        <f>IF(U$2&lt;=analysis_period,IF(SUM($C700:U700)&gt;0,T356+1,0),0)</f>
        <v>0</v>
      </c>
      <c r="V356" s="156">
        <f>IF(V$2&lt;=analysis_period,IF(SUM($C700:V700)&gt;0,U356+1,0),0)</f>
        <v>0</v>
      </c>
      <c r="W356" s="156">
        <f>IF(W$2&lt;=analysis_period,IF(SUM($C700:W700)&gt;0,V356+1,0),0)</f>
        <v>0</v>
      </c>
      <c r="X356" s="156">
        <f>IF(X$2&lt;=analysis_period,IF(SUM($C700:X700)&gt;0,W356+1,0),0)</f>
        <v>0</v>
      </c>
      <c r="Y356" s="156">
        <f>IF(Y$2&lt;=analysis_period,IF(SUM($C700:Y700)&gt;0,X356+1,0),0)</f>
        <v>0</v>
      </c>
      <c r="Z356" s="156">
        <f>IF(Z$2&lt;=analysis_period,IF(SUM($C700:Z700)&gt;0,Y356+1,0),0)</f>
        <v>0</v>
      </c>
      <c r="AA356" s="156">
        <f>IF(AA$2&lt;=analysis_period,IF(SUM($C700:AA700)&gt;0,Z356+1,0),0)</f>
        <v>0</v>
      </c>
      <c r="AB356" s="156">
        <f>IF(AB$2&lt;=analysis_period,IF(SUM($C700:AB700)&gt;0,AA356+1,0),0)</f>
        <v>0</v>
      </c>
      <c r="AC356" s="156">
        <f>IF(AC$2&lt;=analysis_period,IF(SUM($C700:AC700)&gt;0,AB356+1,0),0)</f>
        <v>0</v>
      </c>
      <c r="AD356" s="156">
        <f>IF(AD$2&lt;=analysis_period,IF(SUM($C700:AD700)&gt;0,AC356+1,0),0)</f>
        <v>0</v>
      </c>
      <c r="AE356" s="156">
        <f>IF(AE$2&lt;=analysis_period,IF(SUM($C700:AE700)&gt;0,AD356+1,0),0)</f>
        <v>0</v>
      </c>
      <c r="AF356" s="156">
        <f>IF(AF$2&lt;=analysis_period,IF(SUM($C700:AF700)&gt;0,AE356+1,0),0)</f>
        <v>0</v>
      </c>
      <c r="AG356" s="156">
        <f>IF(AG$2&lt;=analysis_period,IF(SUM($C700:AG700)&gt;0,AF356+1,0),0)</f>
        <v>0</v>
      </c>
      <c r="AH356" s="156">
        <f>IF(AH$2&lt;=analysis_period,IF(SUM($C700:AH700)&gt;0,AG356+1,0),0)</f>
        <v>0</v>
      </c>
      <c r="AI356" s="156">
        <f>IF(AI$2&lt;=analysis_period,IF(SUM($C700:AI700)&gt;0,AH356+1,0),0)</f>
        <v>0</v>
      </c>
      <c r="AJ356" s="156">
        <f>IF(AJ$2&lt;=analysis_period,IF(SUM($C700:AJ700)&gt;0,AI356+1,0),0)</f>
        <v>0</v>
      </c>
      <c r="AK356" s="156">
        <f>IF(AK$2&lt;=analysis_period,IF(SUM($C700:AK700)&gt;0,AJ356+1,0),0)</f>
        <v>0</v>
      </c>
      <c r="AL356" s="156">
        <f>IF(AL$2&lt;=analysis_period,IF(SUM($C700:AL700)&gt;0,AK356+1,0),0)</f>
        <v>0</v>
      </c>
      <c r="AM356" s="156">
        <f>IF(AM$2&lt;=analysis_period,IF(SUM($C700:AM700)&gt;0,AL356+1,0),0)</f>
        <v>0</v>
      </c>
      <c r="AN356" s="156">
        <f>IF(AN$2&lt;=analysis_period,IF(SUM($C700:AN700)&gt;0,AM356+1,0),0)</f>
        <v>0</v>
      </c>
      <c r="AO356" s="156">
        <f>IF(AO$2&lt;=analysis_period,IF(SUM($C700:AO700)&gt;0,AN356+1,0),0)</f>
        <v>0</v>
      </c>
      <c r="AP356" s="156">
        <f>IF(AP$2&lt;=analysis_period,IF(SUM($C700:AP700)&gt;0,AO356+1,0),0)</f>
        <v>0</v>
      </c>
    </row>
    <row r="357" spans="1:42" x14ac:dyDescent="0.4">
      <c r="A357" s="4">
        <f>A356+1</f>
        <v>9</v>
      </c>
      <c r="B357" s="4">
        <v>0</v>
      </c>
      <c r="C357" s="156">
        <f>IF(C$2&lt;=analysis_period,IF(SUM($C701:C701)&gt;0,B357+1,0),0)</f>
        <v>0</v>
      </c>
      <c r="D357" s="156">
        <f>IF(D$2&lt;=analysis_period,IF(SUM($C701:D701)&gt;0,C357+1,0),0)</f>
        <v>0</v>
      </c>
      <c r="E357" s="156">
        <f>IF(E$2&lt;=analysis_period,IF(SUM($C701:E701)&gt;0,D357+1,0),0)</f>
        <v>0</v>
      </c>
      <c r="F357" s="156">
        <f>IF(F$2&lt;=analysis_period,IF(SUM($C701:F701)&gt;0,E357+1,0),0)</f>
        <v>0</v>
      </c>
      <c r="G357" s="156">
        <f>IF(G$2&lt;=analysis_period,IF(SUM($C701:G701)&gt;0,F357+1,0),0)</f>
        <v>0</v>
      </c>
      <c r="H357" s="156">
        <f>IF(H$2&lt;=analysis_period,IF(SUM($C701:H701)&gt;0,G357+1,0),0)</f>
        <v>0</v>
      </c>
      <c r="I357" s="156">
        <f>IF(I$2&lt;=analysis_period,IF(SUM($C701:I701)&gt;0,H357+1,0),0)</f>
        <v>0</v>
      </c>
      <c r="J357" s="156">
        <f>IF(J$2&lt;=analysis_period,IF(SUM($C701:J701)&gt;0,I357+1,0),0)</f>
        <v>0</v>
      </c>
      <c r="K357" s="156">
        <f>IF(K$2&lt;=analysis_period,IF(SUM($C701:K701)&gt;0,J357+1,0),0)</f>
        <v>0</v>
      </c>
      <c r="L357" s="156">
        <f>IF(L$2&lt;=analysis_period,IF(SUM($C701:L701)&gt;0,K357+1,0),0)</f>
        <v>0</v>
      </c>
      <c r="M357" s="156">
        <f>IF(M$2&lt;=analysis_period,IF(SUM($C701:M701)&gt;0,L357+1,0),0)</f>
        <v>0</v>
      </c>
      <c r="N357" s="156">
        <f>IF(N$2&lt;=analysis_period,IF(SUM($C701:N701)&gt;0,M357+1,0),0)</f>
        <v>0</v>
      </c>
      <c r="O357" s="156">
        <f>IF(O$2&lt;=analysis_period,IF(SUM($C701:O701)&gt;0,N357+1,0),0)</f>
        <v>0</v>
      </c>
      <c r="P357" s="156">
        <f>IF(P$2&lt;=analysis_period,IF(SUM($C701:P701)&gt;0,O357+1,0),0)</f>
        <v>0</v>
      </c>
      <c r="Q357" s="156">
        <f>IF(Q$2&lt;=analysis_period,IF(SUM($C701:Q701)&gt;0,P357+1,0),0)</f>
        <v>0</v>
      </c>
      <c r="R357" s="156">
        <f>IF(R$2&lt;=analysis_period,IF(SUM($C701:R701)&gt;0,Q357+1,0),0)</f>
        <v>0</v>
      </c>
      <c r="S357" s="156">
        <f>IF(S$2&lt;=analysis_period,IF(SUM($C701:S701)&gt;0,R357+1,0),0)</f>
        <v>0</v>
      </c>
      <c r="T357" s="156">
        <f>IF(T$2&lt;=analysis_period,IF(SUM($C701:T701)&gt;0,S357+1,0),0)</f>
        <v>0</v>
      </c>
      <c r="U357" s="156">
        <f>IF(U$2&lt;=analysis_period,IF(SUM($C701:U701)&gt;0,T357+1,0),0)</f>
        <v>0</v>
      </c>
      <c r="V357" s="156">
        <f>IF(V$2&lt;=analysis_period,IF(SUM($C701:V701)&gt;0,U357+1,0),0)</f>
        <v>0</v>
      </c>
      <c r="W357" s="156">
        <f>IF(W$2&lt;=analysis_period,IF(SUM($C701:W701)&gt;0,V357+1,0),0)</f>
        <v>0</v>
      </c>
      <c r="X357" s="156">
        <f>IF(X$2&lt;=analysis_period,IF(SUM($C701:X701)&gt;0,W357+1,0),0)</f>
        <v>0</v>
      </c>
      <c r="Y357" s="156">
        <f>IF(Y$2&lt;=analysis_period,IF(SUM($C701:Y701)&gt;0,X357+1,0),0)</f>
        <v>0</v>
      </c>
      <c r="Z357" s="156">
        <f>IF(Z$2&lt;=analysis_period,IF(SUM($C701:Z701)&gt;0,Y357+1,0),0)</f>
        <v>0</v>
      </c>
      <c r="AA357" s="156">
        <f>IF(AA$2&lt;=analysis_period,IF(SUM($C701:AA701)&gt;0,Z357+1,0),0)</f>
        <v>0</v>
      </c>
      <c r="AB357" s="156">
        <f>IF(AB$2&lt;=analysis_period,IF(SUM($C701:AB701)&gt;0,AA357+1,0),0)</f>
        <v>0</v>
      </c>
      <c r="AC357" s="156">
        <f>IF(AC$2&lt;=analysis_period,IF(SUM($C701:AC701)&gt;0,AB357+1,0),0)</f>
        <v>0</v>
      </c>
      <c r="AD357" s="156">
        <f>IF(AD$2&lt;=analysis_period,IF(SUM($C701:AD701)&gt;0,AC357+1,0),0)</f>
        <v>0</v>
      </c>
      <c r="AE357" s="156">
        <f>IF(AE$2&lt;=analysis_period,IF(SUM($C701:AE701)&gt;0,AD357+1,0),0)</f>
        <v>0</v>
      </c>
      <c r="AF357" s="156">
        <f>IF(AF$2&lt;=analysis_period,IF(SUM($C701:AF701)&gt;0,AE357+1,0),0)</f>
        <v>0</v>
      </c>
      <c r="AG357" s="156">
        <f>IF(AG$2&lt;=analysis_period,IF(SUM($C701:AG701)&gt;0,AF357+1,0),0)</f>
        <v>0</v>
      </c>
      <c r="AH357" s="156">
        <f>IF(AH$2&lt;=analysis_period,IF(SUM($C701:AH701)&gt;0,AG357+1,0),0)</f>
        <v>0</v>
      </c>
      <c r="AI357" s="156">
        <f>IF(AI$2&lt;=analysis_period,IF(SUM($C701:AI701)&gt;0,AH357+1,0),0)</f>
        <v>0</v>
      </c>
      <c r="AJ357" s="156">
        <f>IF(AJ$2&lt;=analysis_period,IF(SUM($C701:AJ701)&gt;0,AI357+1,0),0)</f>
        <v>0</v>
      </c>
      <c r="AK357" s="156">
        <f>IF(AK$2&lt;=analysis_period,IF(SUM($C701:AK701)&gt;0,AJ357+1,0),0)</f>
        <v>0</v>
      </c>
      <c r="AL357" s="156">
        <f>IF(AL$2&lt;=analysis_period,IF(SUM($C701:AL701)&gt;0,AK357+1,0),0)</f>
        <v>0</v>
      </c>
      <c r="AM357" s="156">
        <f>IF(AM$2&lt;=analysis_period,IF(SUM($C701:AM701)&gt;0,AL357+1,0),0)</f>
        <v>0</v>
      </c>
      <c r="AN357" s="156">
        <f>IF(AN$2&lt;=analysis_period,IF(SUM($C701:AN701)&gt;0,AM357+1,0),0)</f>
        <v>0</v>
      </c>
      <c r="AO357" s="156">
        <f>IF(AO$2&lt;=analysis_period,IF(SUM($C701:AO701)&gt;0,AN357+1,0),0)</f>
        <v>0</v>
      </c>
      <c r="AP357" s="156">
        <f>IF(AP$2&lt;=analysis_period,IF(SUM($C701:AP701)&gt;0,AO357+1,0),0)</f>
        <v>0</v>
      </c>
    </row>
    <row r="358" spans="1:42" x14ac:dyDescent="0.4">
      <c r="A358" s="4">
        <f t="shared" si="136"/>
        <v>10</v>
      </c>
      <c r="B358" s="4">
        <v>0</v>
      </c>
      <c r="C358" s="156">
        <f>IF(C$2&lt;=analysis_period,IF(SUM($C702:C702)&gt;0,B358+1,0),0)</f>
        <v>0</v>
      </c>
      <c r="D358" s="156">
        <f>IF(D$2&lt;=analysis_period,IF(SUM($C702:D702)&gt;0,C358+1,0),0)</f>
        <v>0</v>
      </c>
      <c r="E358" s="156">
        <f>IF(E$2&lt;=analysis_period,IF(SUM($C702:E702)&gt;0,D358+1,0),0)</f>
        <v>0</v>
      </c>
      <c r="F358" s="156">
        <f>IF(F$2&lt;=analysis_period,IF(SUM($C702:F702)&gt;0,E358+1,0),0)</f>
        <v>0</v>
      </c>
      <c r="G358" s="156">
        <f>IF(G$2&lt;=analysis_period,IF(SUM($C702:G702)&gt;0,F358+1,0),0)</f>
        <v>0</v>
      </c>
      <c r="H358" s="156">
        <f>IF(H$2&lt;=analysis_period,IF(SUM($C702:H702)&gt;0,G358+1,0),0)</f>
        <v>0</v>
      </c>
      <c r="I358" s="156">
        <f>IF(I$2&lt;=analysis_period,IF(SUM($C702:I702)&gt;0,H358+1,0),0)</f>
        <v>0</v>
      </c>
      <c r="J358" s="156">
        <f>IF(J$2&lt;=analysis_period,IF(SUM($C702:J702)&gt;0,I358+1,0),0)</f>
        <v>0</v>
      </c>
      <c r="K358" s="156">
        <f>IF(K$2&lt;=analysis_period,IF(SUM($C702:K702)&gt;0,J358+1,0),0)</f>
        <v>0</v>
      </c>
      <c r="L358" s="156">
        <f>IF(L$2&lt;=analysis_period,IF(SUM($C702:L702)&gt;0,K358+1,0),0)</f>
        <v>0</v>
      </c>
      <c r="M358" s="156">
        <f>IF(M$2&lt;=analysis_period,IF(SUM($C702:M702)&gt;0,L358+1,0),0)</f>
        <v>0</v>
      </c>
      <c r="N358" s="156">
        <f>IF(N$2&lt;=analysis_period,IF(SUM($C702:N702)&gt;0,M358+1,0),0)</f>
        <v>0</v>
      </c>
      <c r="O358" s="156">
        <f>IF(O$2&lt;=analysis_period,IF(SUM($C702:O702)&gt;0,N358+1,0),0)</f>
        <v>0</v>
      </c>
      <c r="P358" s="156">
        <f>IF(P$2&lt;=analysis_period,IF(SUM($C702:P702)&gt;0,O358+1,0),0)</f>
        <v>0</v>
      </c>
      <c r="Q358" s="156">
        <f>IF(Q$2&lt;=analysis_period,IF(SUM($C702:Q702)&gt;0,P358+1,0),0)</f>
        <v>0</v>
      </c>
      <c r="R358" s="156">
        <f>IF(R$2&lt;=analysis_period,IF(SUM($C702:R702)&gt;0,Q358+1,0),0)</f>
        <v>0</v>
      </c>
      <c r="S358" s="156">
        <f>IF(S$2&lt;=analysis_period,IF(SUM($C702:S702)&gt;0,R358+1,0),0)</f>
        <v>0</v>
      </c>
      <c r="T358" s="156">
        <f>IF(T$2&lt;=analysis_period,IF(SUM($C702:T702)&gt;0,S358+1,0),0)</f>
        <v>0</v>
      </c>
      <c r="U358" s="156">
        <f>IF(U$2&lt;=analysis_period,IF(SUM($C702:U702)&gt;0,T358+1,0),0)</f>
        <v>0</v>
      </c>
      <c r="V358" s="156">
        <f>IF(V$2&lt;=analysis_period,IF(SUM($C702:V702)&gt;0,U358+1,0),0)</f>
        <v>0</v>
      </c>
      <c r="W358" s="156">
        <f>IF(W$2&lt;=analysis_period,IF(SUM($C702:W702)&gt;0,V358+1,0),0)</f>
        <v>0</v>
      </c>
      <c r="X358" s="156">
        <f>IF(X$2&lt;=analysis_period,IF(SUM($C702:X702)&gt;0,W358+1,0),0)</f>
        <v>0</v>
      </c>
      <c r="Y358" s="156">
        <f>IF(Y$2&lt;=analysis_period,IF(SUM($C702:Y702)&gt;0,X358+1,0),0)</f>
        <v>0</v>
      </c>
      <c r="Z358" s="156">
        <f>IF(Z$2&lt;=analysis_period,IF(SUM($C702:Z702)&gt;0,Y358+1,0),0)</f>
        <v>0</v>
      </c>
      <c r="AA358" s="156">
        <f>IF(AA$2&lt;=analysis_period,IF(SUM($C702:AA702)&gt;0,Z358+1,0),0)</f>
        <v>0</v>
      </c>
      <c r="AB358" s="156">
        <f>IF(AB$2&lt;=analysis_period,IF(SUM($C702:AB702)&gt;0,AA358+1,0),0)</f>
        <v>0</v>
      </c>
      <c r="AC358" s="156">
        <f>IF(AC$2&lt;=analysis_period,IF(SUM($C702:AC702)&gt;0,AB358+1,0),0)</f>
        <v>0</v>
      </c>
      <c r="AD358" s="156">
        <f>IF(AD$2&lt;=analysis_period,IF(SUM($C702:AD702)&gt;0,AC358+1,0),0)</f>
        <v>0</v>
      </c>
      <c r="AE358" s="156">
        <f>IF(AE$2&lt;=analysis_period,IF(SUM($C702:AE702)&gt;0,AD358+1,0),0)</f>
        <v>0</v>
      </c>
      <c r="AF358" s="156">
        <f>IF(AF$2&lt;=analysis_period,IF(SUM($C702:AF702)&gt;0,AE358+1,0),0)</f>
        <v>0</v>
      </c>
      <c r="AG358" s="156">
        <f>IF(AG$2&lt;=analysis_period,IF(SUM($C702:AG702)&gt;0,AF358+1,0),0)</f>
        <v>0</v>
      </c>
      <c r="AH358" s="156">
        <f>IF(AH$2&lt;=analysis_period,IF(SUM($C702:AH702)&gt;0,AG358+1,0),0)</f>
        <v>0</v>
      </c>
      <c r="AI358" s="156">
        <f>IF(AI$2&lt;=analysis_period,IF(SUM($C702:AI702)&gt;0,AH358+1,0),0)</f>
        <v>0</v>
      </c>
      <c r="AJ358" s="156">
        <f>IF(AJ$2&lt;=analysis_period,IF(SUM($C702:AJ702)&gt;0,AI358+1,0),0)</f>
        <v>0</v>
      </c>
      <c r="AK358" s="156">
        <f>IF(AK$2&lt;=analysis_period,IF(SUM($C702:AK702)&gt;0,AJ358+1,0),0)</f>
        <v>0</v>
      </c>
      <c r="AL358" s="156">
        <f>IF(AL$2&lt;=analysis_period,IF(SUM($C702:AL702)&gt;0,AK358+1,0),0)</f>
        <v>0</v>
      </c>
      <c r="AM358" s="156">
        <f>IF(AM$2&lt;=analysis_period,IF(SUM($C702:AM702)&gt;0,AL358+1,0),0)</f>
        <v>0</v>
      </c>
      <c r="AN358" s="156">
        <f>IF(AN$2&lt;=analysis_period,IF(SUM($C702:AN702)&gt;0,AM358+1,0),0)</f>
        <v>0</v>
      </c>
      <c r="AO358" s="156">
        <f>IF(AO$2&lt;=analysis_period,IF(SUM($C702:AO702)&gt;0,AN358+1,0),0)</f>
        <v>0</v>
      </c>
      <c r="AP358" s="156">
        <f>IF(AP$2&lt;=analysis_period,IF(SUM($C702:AP702)&gt;0,AO358+1,0),0)</f>
        <v>0</v>
      </c>
    </row>
    <row r="359" spans="1:42" x14ac:dyDescent="0.4">
      <c r="A359" s="21"/>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row>
    <row r="360" spans="1:42" x14ac:dyDescent="0.4">
      <c r="A360" s="87" t="s">
        <v>3</v>
      </c>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row>
    <row r="361" spans="1:42" x14ac:dyDescent="0.4">
      <c r="A361" s="4">
        <v>1</v>
      </c>
      <c r="B361" s="331">
        <f t="shared" ref="B361:B370" si="137">SUM(C361:AP361)</f>
        <v>0</v>
      </c>
      <c r="C361" s="156">
        <f t="shared" ref="C361:AP361" si="138">LOOKUP(C349,$B$319:$AP$319,$B$320:$AP$320)/100*$B693</f>
        <v>0</v>
      </c>
      <c r="D361" s="156">
        <f t="shared" si="138"/>
        <v>0</v>
      </c>
      <c r="E361" s="156">
        <f t="shared" si="138"/>
        <v>0</v>
      </c>
      <c r="F361" s="156">
        <f t="shared" si="138"/>
        <v>0</v>
      </c>
      <c r="G361" s="156">
        <f t="shared" si="138"/>
        <v>0</v>
      </c>
      <c r="H361" s="156">
        <f t="shared" si="138"/>
        <v>0</v>
      </c>
      <c r="I361" s="156">
        <f t="shared" si="138"/>
        <v>0</v>
      </c>
      <c r="J361" s="156">
        <f t="shared" si="138"/>
        <v>0</v>
      </c>
      <c r="K361" s="156">
        <f t="shared" si="138"/>
        <v>0</v>
      </c>
      <c r="L361" s="156">
        <f t="shared" si="138"/>
        <v>0</v>
      </c>
      <c r="M361" s="156">
        <f t="shared" si="138"/>
        <v>0</v>
      </c>
      <c r="N361" s="156">
        <f t="shared" si="138"/>
        <v>0</v>
      </c>
      <c r="O361" s="156">
        <f t="shared" si="138"/>
        <v>0</v>
      </c>
      <c r="P361" s="156">
        <f t="shared" si="138"/>
        <v>0</v>
      </c>
      <c r="Q361" s="156">
        <f t="shared" si="138"/>
        <v>0</v>
      </c>
      <c r="R361" s="156">
        <f t="shared" si="138"/>
        <v>0</v>
      </c>
      <c r="S361" s="156">
        <f t="shared" si="138"/>
        <v>0</v>
      </c>
      <c r="T361" s="156">
        <f t="shared" si="138"/>
        <v>0</v>
      </c>
      <c r="U361" s="156">
        <f t="shared" si="138"/>
        <v>0</v>
      </c>
      <c r="V361" s="156">
        <f t="shared" si="138"/>
        <v>0</v>
      </c>
      <c r="W361" s="156">
        <f t="shared" si="138"/>
        <v>0</v>
      </c>
      <c r="X361" s="156">
        <f t="shared" si="138"/>
        <v>0</v>
      </c>
      <c r="Y361" s="156">
        <f t="shared" si="138"/>
        <v>0</v>
      </c>
      <c r="Z361" s="156">
        <f t="shared" si="138"/>
        <v>0</v>
      </c>
      <c r="AA361" s="156">
        <f t="shared" si="138"/>
        <v>0</v>
      </c>
      <c r="AB361" s="156">
        <f t="shared" si="138"/>
        <v>0</v>
      </c>
      <c r="AC361" s="156">
        <f t="shared" si="138"/>
        <v>0</v>
      </c>
      <c r="AD361" s="156">
        <f t="shared" si="138"/>
        <v>0</v>
      </c>
      <c r="AE361" s="156">
        <f t="shared" si="138"/>
        <v>0</v>
      </c>
      <c r="AF361" s="156">
        <f t="shared" si="138"/>
        <v>0</v>
      </c>
      <c r="AG361" s="156">
        <f t="shared" si="138"/>
        <v>0</v>
      </c>
      <c r="AH361" s="156">
        <f t="shared" si="138"/>
        <v>0</v>
      </c>
      <c r="AI361" s="156">
        <f t="shared" si="138"/>
        <v>0</v>
      </c>
      <c r="AJ361" s="156">
        <f t="shared" si="138"/>
        <v>0</v>
      </c>
      <c r="AK361" s="156">
        <f t="shared" si="138"/>
        <v>0</v>
      </c>
      <c r="AL361" s="156">
        <f t="shared" si="138"/>
        <v>0</v>
      </c>
      <c r="AM361" s="156">
        <f t="shared" si="138"/>
        <v>0</v>
      </c>
      <c r="AN361" s="156">
        <f t="shared" si="138"/>
        <v>0</v>
      </c>
      <c r="AO361" s="156">
        <f t="shared" si="138"/>
        <v>0</v>
      </c>
      <c r="AP361" s="156">
        <f t="shared" si="138"/>
        <v>0</v>
      </c>
    </row>
    <row r="362" spans="1:42" x14ac:dyDescent="0.4">
      <c r="A362" s="4">
        <f>A361+1</f>
        <v>2</v>
      </c>
      <c r="B362" s="331">
        <f t="shared" si="137"/>
        <v>0</v>
      </c>
      <c r="C362" s="156">
        <f t="shared" ref="C362:AP362" si="139">LOOKUP(C350,$B$319:$AP$319,$B$320:$AP$320)/100*$B694</f>
        <v>0</v>
      </c>
      <c r="D362" s="156">
        <f t="shared" si="139"/>
        <v>0</v>
      </c>
      <c r="E362" s="156">
        <f t="shared" si="139"/>
        <v>0</v>
      </c>
      <c r="F362" s="156">
        <f t="shared" si="139"/>
        <v>0</v>
      </c>
      <c r="G362" s="156">
        <f t="shared" si="139"/>
        <v>0</v>
      </c>
      <c r="H362" s="156">
        <f t="shared" si="139"/>
        <v>0</v>
      </c>
      <c r="I362" s="156">
        <f t="shared" si="139"/>
        <v>0</v>
      </c>
      <c r="J362" s="156">
        <f t="shared" si="139"/>
        <v>0</v>
      </c>
      <c r="K362" s="156">
        <f t="shared" si="139"/>
        <v>0</v>
      </c>
      <c r="L362" s="156">
        <f t="shared" si="139"/>
        <v>0</v>
      </c>
      <c r="M362" s="156">
        <f t="shared" si="139"/>
        <v>0</v>
      </c>
      <c r="N362" s="156">
        <f t="shared" si="139"/>
        <v>0</v>
      </c>
      <c r="O362" s="156">
        <f t="shared" si="139"/>
        <v>0</v>
      </c>
      <c r="P362" s="156">
        <f t="shared" si="139"/>
        <v>0</v>
      </c>
      <c r="Q362" s="156">
        <f t="shared" si="139"/>
        <v>0</v>
      </c>
      <c r="R362" s="156">
        <f t="shared" si="139"/>
        <v>0</v>
      </c>
      <c r="S362" s="156">
        <f t="shared" si="139"/>
        <v>0</v>
      </c>
      <c r="T362" s="156">
        <f t="shared" si="139"/>
        <v>0</v>
      </c>
      <c r="U362" s="156">
        <f t="shared" si="139"/>
        <v>0</v>
      </c>
      <c r="V362" s="156">
        <f t="shared" si="139"/>
        <v>0</v>
      </c>
      <c r="W362" s="156">
        <f t="shared" si="139"/>
        <v>0</v>
      </c>
      <c r="X362" s="156">
        <f t="shared" si="139"/>
        <v>0</v>
      </c>
      <c r="Y362" s="156">
        <f t="shared" si="139"/>
        <v>0</v>
      </c>
      <c r="Z362" s="156">
        <f t="shared" si="139"/>
        <v>0</v>
      </c>
      <c r="AA362" s="156">
        <f t="shared" si="139"/>
        <v>0</v>
      </c>
      <c r="AB362" s="156">
        <f t="shared" si="139"/>
        <v>0</v>
      </c>
      <c r="AC362" s="156">
        <f t="shared" si="139"/>
        <v>0</v>
      </c>
      <c r="AD362" s="156">
        <f t="shared" si="139"/>
        <v>0</v>
      </c>
      <c r="AE362" s="156">
        <f t="shared" si="139"/>
        <v>0</v>
      </c>
      <c r="AF362" s="156">
        <f t="shared" si="139"/>
        <v>0</v>
      </c>
      <c r="AG362" s="156">
        <f t="shared" si="139"/>
        <v>0</v>
      </c>
      <c r="AH362" s="156">
        <f t="shared" si="139"/>
        <v>0</v>
      </c>
      <c r="AI362" s="156">
        <f t="shared" si="139"/>
        <v>0</v>
      </c>
      <c r="AJ362" s="156">
        <f t="shared" si="139"/>
        <v>0</v>
      </c>
      <c r="AK362" s="156">
        <f t="shared" si="139"/>
        <v>0</v>
      </c>
      <c r="AL362" s="156">
        <f t="shared" si="139"/>
        <v>0</v>
      </c>
      <c r="AM362" s="156">
        <f t="shared" si="139"/>
        <v>0</v>
      </c>
      <c r="AN362" s="156">
        <f t="shared" si="139"/>
        <v>0</v>
      </c>
      <c r="AO362" s="156">
        <f t="shared" si="139"/>
        <v>0</v>
      </c>
      <c r="AP362" s="156">
        <f t="shared" si="139"/>
        <v>0</v>
      </c>
    </row>
    <row r="363" spans="1:42" x14ac:dyDescent="0.4">
      <c r="A363" s="4">
        <f t="shared" ref="A363:A370" si="140">A362+1</f>
        <v>3</v>
      </c>
      <c r="B363" s="331">
        <f t="shared" si="137"/>
        <v>0</v>
      </c>
      <c r="C363" s="156">
        <f t="shared" ref="C363:AP363" si="141">LOOKUP(C351,$B$319:$AP$319,$B$320:$AP$320)/100*$B695</f>
        <v>0</v>
      </c>
      <c r="D363" s="156">
        <f t="shared" si="141"/>
        <v>0</v>
      </c>
      <c r="E363" s="156">
        <f t="shared" si="141"/>
        <v>0</v>
      </c>
      <c r="F363" s="156">
        <f t="shared" si="141"/>
        <v>0</v>
      </c>
      <c r="G363" s="156">
        <f t="shared" si="141"/>
        <v>0</v>
      </c>
      <c r="H363" s="156">
        <f t="shared" si="141"/>
        <v>0</v>
      </c>
      <c r="I363" s="156">
        <f t="shared" si="141"/>
        <v>0</v>
      </c>
      <c r="J363" s="156">
        <f t="shared" si="141"/>
        <v>0</v>
      </c>
      <c r="K363" s="156">
        <f t="shared" si="141"/>
        <v>0</v>
      </c>
      <c r="L363" s="156">
        <f t="shared" si="141"/>
        <v>0</v>
      </c>
      <c r="M363" s="156">
        <f t="shared" si="141"/>
        <v>0</v>
      </c>
      <c r="N363" s="156">
        <f t="shared" si="141"/>
        <v>0</v>
      </c>
      <c r="O363" s="156">
        <f t="shared" si="141"/>
        <v>0</v>
      </c>
      <c r="P363" s="156">
        <f t="shared" si="141"/>
        <v>0</v>
      </c>
      <c r="Q363" s="156">
        <f t="shared" si="141"/>
        <v>0</v>
      </c>
      <c r="R363" s="156">
        <f t="shared" si="141"/>
        <v>0</v>
      </c>
      <c r="S363" s="156">
        <f t="shared" si="141"/>
        <v>0</v>
      </c>
      <c r="T363" s="156">
        <f t="shared" si="141"/>
        <v>0</v>
      </c>
      <c r="U363" s="156">
        <f t="shared" si="141"/>
        <v>0</v>
      </c>
      <c r="V363" s="156">
        <f t="shared" si="141"/>
        <v>0</v>
      </c>
      <c r="W363" s="156">
        <f t="shared" si="141"/>
        <v>0</v>
      </c>
      <c r="X363" s="156">
        <f t="shared" si="141"/>
        <v>0</v>
      </c>
      <c r="Y363" s="156">
        <f t="shared" si="141"/>
        <v>0</v>
      </c>
      <c r="Z363" s="156">
        <f t="shared" si="141"/>
        <v>0</v>
      </c>
      <c r="AA363" s="156">
        <f t="shared" si="141"/>
        <v>0</v>
      </c>
      <c r="AB363" s="156">
        <f t="shared" si="141"/>
        <v>0</v>
      </c>
      <c r="AC363" s="156">
        <f t="shared" si="141"/>
        <v>0</v>
      </c>
      <c r="AD363" s="156">
        <f t="shared" si="141"/>
        <v>0</v>
      </c>
      <c r="AE363" s="156">
        <f t="shared" si="141"/>
        <v>0</v>
      </c>
      <c r="AF363" s="156">
        <f t="shared" si="141"/>
        <v>0</v>
      </c>
      <c r="AG363" s="156">
        <f t="shared" si="141"/>
        <v>0</v>
      </c>
      <c r="AH363" s="156">
        <f t="shared" si="141"/>
        <v>0</v>
      </c>
      <c r="AI363" s="156">
        <f t="shared" si="141"/>
        <v>0</v>
      </c>
      <c r="AJ363" s="156">
        <f t="shared" si="141"/>
        <v>0</v>
      </c>
      <c r="AK363" s="156">
        <f t="shared" si="141"/>
        <v>0</v>
      </c>
      <c r="AL363" s="156">
        <f t="shared" si="141"/>
        <v>0</v>
      </c>
      <c r="AM363" s="156">
        <f t="shared" si="141"/>
        <v>0</v>
      </c>
      <c r="AN363" s="156">
        <f t="shared" si="141"/>
        <v>0</v>
      </c>
      <c r="AO363" s="156">
        <f t="shared" si="141"/>
        <v>0</v>
      </c>
      <c r="AP363" s="156">
        <f t="shared" si="141"/>
        <v>0</v>
      </c>
    </row>
    <row r="364" spans="1:42" x14ac:dyDescent="0.4">
      <c r="A364" s="4">
        <f t="shared" si="140"/>
        <v>4</v>
      </c>
      <c r="B364" s="331">
        <f t="shared" si="137"/>
        <v>0</v>
      </c>
      <c r="C364" s="156">
        <f t="shared" ref="C364:AP364" si="142">LOOKUP(C352,$B$319:$AP$319,$B$320:$AP$320)/100*$B696</f>
        <v>0</v>
      </c>
      <c r="D364" s="156">
        <f t="shared" si="142"/>
        <v>0</v>
      </c>
      <c r="E364" s="156">
        <f t="shared" si="142"/>
        <v>0</v>
      </c>
      <c r="F364" s="156">
        <f t="shared" si="142"/>
        <v>0</v>
      </c>
      <c r="G364" s="156">
        <f t="shared" si="142"/>
        <v>0</v>
      </c>
      <c r="H364" s="156">
        <f t="shared" si="142"/>
        <v>0</v>
      </c>
      <c r="I364" s="156">
        <f t="shared" si="142"/>
        <v>0</v>
      </c>
      <c r="J364" s="156">
        <f t="shared" si="142"/>
        <v>0</v>
      </c>
      <c r="K364" s="156">
        <f t="shared" si="142"/>
        <v>0</v>
      </c>
      <c r="L364" s="156">
        <f t="shared" si="142"/>
        <v>0</v>
      </c>
      <c r="M364" s="156">
        <f t="shared" si="142"/>
        <v>0</v>
      </c>
      <c r="N364" s="156">
        <f t="shared" si="142"/>
        <v>0</v>
      </c>
      <c r="O364" s="156">
        <f t="shared" si="142"/>
        <v>0</v>
      </c>
      <c r="P364" s="156">
        <f t="shared" si="142"/>
        <v>0</v>
      </c>
      <c r="Q364" s="156">
        <f t="shared" si="142"/>
        <v>0</v>
      </c>
      <c r="R364" s="156">
        <f t="shared" si="142"/>
        <v>0</v>
      </c>
      <c r="S364" s="156">
        <f t="shared" si="142"/>
        <v>0</v>
      </c>
      <c r="T364" s="156">
        <f t="shared" si="142"/>
        <v>0</v>
      </c>
      <c r="U364" s="156">
        <f t="shared" si="142"/>
        <v>0</v>
      </c>
      <c r="V364" s="156">
        <f t="shared" si="142"/>
        <v>0</v>
      </c>
      <c r="W364" s="156">
        <f t="shared" si="142"/>
        <v>0</v>
      </c>
      <c r="X364" s="156">
        <f t="shared" si="142"/>
        <v>0</v>
      </c>
      <c r="Y364" s="156">
        <f t="shared" si="142"/>
        <v>0</v>
      </c>
      <c r="Z364" s="156">
        <f t="shared" si="142"/>
        <v>0</v>
      </c>
      <c r="AA364" s="156">
        <f t="shared" si="142"/>
        <v>0</v>
      </c>
      <c r="AB364" s="156">
        <f t="shared" si="142"/>
        <v>0</v>
      </c>
      <c r="AC364" s="156">
        <f t="shared" si="142"/>
        <v>0</v>
      </c>
      <c r="AD364" s="156">
        <f t="shared" si="142"/>
        <v>0</v>
      </c>
      <c r="AE364" s="156">
        <f t="shared" si="142"/>
        <v>0</v>
      </c>
      <c r="AF364" s="156">
        <f t="shared" si="142"/>
        <v>0</v>
      </c>
      <c r="AG364" s="156">
        <f t="shared" si="142"/>
        <v>0</v>
      </c>
      <c r="AH364" s="156">
        <f t="shared" si="142"/>
        <v>0</v>
      </c>
      <c r="AI364" s="156">
        <f t="shared" si="142"/>
        <v>0</v>
      </c>
      <c r="AJ364" s="156">
        <f t="shared" si="142"/>
        <v>0</v>
      </c>
      <c r="AK364" s="156">
        <f t="shared" si="142"/>
        <v>0</v>
      </c>
      <c r="AL364" s="156">
        <f t="shared" si="142"/>
        <v>0</v>
      </c>
      <c r="AM364" s="156">
        <f t="shared" si="142"/>
        <v>0</v>
      </c>
      <c r="AN364" s="156">
        <f t="shared" si="142"/>
        <v>0</v>
      </c>
      <c r="AO364" s="156">
        <f t="shared" si="142"/>
        <v>0</v>
      </c>
      <c r="AP364" s="156">
        <f t="shared" si="142"/>
        <v>0</v>
      </c>
    </row>
    <row r="365" spans="1:42" x14ac:dyDescent="0.4">
      <c r="A365" s="4">
        <f t="shared" si="140"/>
        <v>5</v>
      </c>
      <c r="B365" s="331">
        <f t="shared" si="137"/>
        <v>0</v>
      </c>
      <c r="C365" s="156">
        <f t="shared" ref="C365:AP365" si="143">LOOKUP(C353,$B$319:$AP$319,$B$320:$AP$320)/100*$B697</f>
        <v>0</v>
      </c>
      <c r="D365" s="156">
        <f t="shared" si="143"/>
        <v>0</v>
      </c>
      <c r="E365" s="156">
        <f t="shared" si="143"/>
        <v>0</v>
      </c>
      <c r="F365" s="156">
        <f t="shared" si="143"/>
        <v>0</v>
      </c>
      <c r="G365" s="156">
        <f t="shared" si="143"/>
        <v>0</v>
      </c>
      <c r="H365" s="156">
        <f t="shared" si="143"/>
        <v>0</v>
      </c>
      <c r="I365" s="156">
        <f t="shared" si="143"/>
        <v>0</v>
      </c>
      <c r="J365" s="156">
        <f t="shared" si="143"/>
        <v>0</v>
      </c>
      <c r="K365" s="156">
        <f t="shared" si="143"/>
        <v>0</v>
      </c>
      <c r="L365" s="156">
        <f t="shared" si="143"/>
        <v>0</v>
      </c>
      <c r="M365" s="156">
        <f t="shared" si="143"/>
        <v>0</v>
      </c>
      <c r="N365" s="156">
        <f t="shared" si="143"/>
        <v>0</v>
      </c>
      <c r="O365" s="156">
        <f t="shared" si="143"/>
        <v>0</v>
      </c>
      <c r="P365" s="156">
        <f t="shared" si="143"/>
        <v>0</v>
      </c>
      <c r="Q365" s="156">
        <f t="shared" si="143"/>
        <v>0</v>
      </c>
      <c r="R365" s="156">
        <f t="shared" si="143"/>
        <v>0</v>
      </c>
      <c r="S365" s="156">
        <f t="shared" si="143"/>
        <v>0</v>
      </c>
      <c r="T365" s="156">
        <f t="shared" si="143"/>
        <v>0</v>
      </c>
      <c r="U365" s="156">
        <f t="shared" si="143"/>
        <v>0</v>
      </c>
      <c r="V365" s="156">
        <f t="shared" si="143"/>
        <v>0</v>
      </c>
      <c r="W365" s="156">
        <f t="shared" si="143"/>
        <v>0</v>
      </c>
      <c r="X365" s="156">
        <f t="shared" si="143"/>
        <v>0</v>
      </c>
      <c r="Y365" s="156">
        <f t="shared" si="143"/>
        <v>0</v>
      </c>
      <c r="Z365" s="156">
        <f t="shared" si="143"/>
        <v>0</v>
      </c>
      <c r="AA365" s="156">
        <f t="shared" si="143"/>
        <v>0</v>
      </c>
      <c r="AB365" s="156">
        <f t="shared" si="143"/>
        <v>0</v>
      </c>
      <c r="AC365" s="156">
        <f t="shared" si="143"/>
        <v>0</v>
      </c>
      <c r="AD365" s="156">
        <f t="shared" si="143"/>
        <v>0</v>
      </c>
      <c r="AE365" s="156">
        <f t="shared" si="143"/>
        <v>0</v>
      </c>
      <c r="AF365" s="156">
        <f t="shared" si="143"/>
        <v>0</v>
      </c>
      <c r="AG365" s="156">
        <f t="shared" si="143"/>
        <v>0</v>
      </c>
      <c r="AH365" s="156">
        <f t="shared" si="143"/>
        <v>0</v>
      </c>
      <c r="AI365" s="156">
        <f t="shared" si="143"/>
        <v>0</v>
      </c>
      <c r="AJ365" s="156">
        <f t="shared" si="143"/>
        <v>0</v>
      </c>
      <c r="AK365" s="156">
        <f t="shared" si="143"/>
        <v>0</v>
      </c>
      <c r="AL365" s="156">
        <f t="shared" si="143"/>
        <v>0</v>
      </c>
      <c r="AM365" s="156">
        <f t="shared" si="143"/>
        <v>0</v>
      </c>
      <c r="AN365" s="156">
        <f t="shared" si="143"/>
        <v>0</v>
      </c>
      <c r="AO365" s="156">
        <f t="shared" si="143"/>
        <v>0</v>
      </c>
      <c r="AP365" s="156">
        <f t="shared" si="143"/>
        <v>0</v>
      </c>
    </row>
    <row r="366" spans="1:42" x14ac:dyDescent="0.4">
      <c r="A366" s="4">
        <f t="shared" si="140"/>
        <v>6</v>
      </c>
      <c r="B366" s="331">
        <f t="shared" si="137"/>
        <v>0</v>
      </c>
      <c r="C366" s="156">
        <f t="shared" ref="C366:AP366" si="144">LOOKUP(C354,$B$319:$AP$319,$B$320:$AP$320)/100*$B698</f>
        <v>0</v>
      </c>
      <c r="D366" s="156">
        <f t="shared" si="144"/>
        <v>0</v>
      </c>
      <c r="E366" s="156">
        <f t="shared" si="144"/>
        <v>0</v>
      </c>
      <c r="F366" s="156">
        <f t="shared" si="144"/>
        <v>0</v>
      </c>
      <c r="G366" s="156">
        <f t="shared" si="144"/>
        <v>0</v>
      </c>
      <c r="H366" s="156">
        <f t="shared" si="144"/>
        <v>0</v>
      </c>
      <c r="I366" s="156">
        <f t="shared" si="144"/>
        <v>0</v>
      </c>
      <c r="J366" s="156">
        <f t="shared" si="144"/>
        <v>0</v>
      </c>
      <c r="K366" s="156">
        <f t="shared" si="144"/>
        <v>0</v>
      </c>
      <c r="L366" s="156">
        <f t="shared" si="144"/>
        <v>0</v>
      </c>
      <c r="M366" s="156">
        <f t="shared" si="144"/>
        <v>0</v>
      </c>
      <c r="N366" s="156">
        <f t="shared" si="144"/>
        <v>0</v>
      </c>
      <c r="O366" s="156">
        <f t="shared" si="144"/>
        <v>0</v>
      </c>
      <c r="P366" s="156">
        <f t="shared" si="144"/>
        <v>0</v>
      </c>
      <c r="Q366" s="156">
        <f t="shared" si="144"/>
        <v>0</v>
      </c>
      <c r="R366" s="156">
        <f t="shared" si="144"/>
        <v>0</v>
      </c>
      <c r="S366" s="156">
        <f t="shared" si="144"/>
        <v>0</v>
      </c>
      <c r="T366" s="156">
        <f t="shared" si="144"/>
        <v>0</v>
      </c>
      <c r="U366" s="156">
        <f t="shared" si="144"/>
        <v>0</v>
      </c>
      <c r="V366" s="156">
        <f t="shared" si="144"/>
        <v>0</v>
      </c>
      <c r="W366" s="156">
        <f t="shared" si="144"/>
        <v>0</v>
      </c>
      <c r="X366" s="156">
        <f t="shared" si="144"/>
        <v>0</v>
      </c>
      <c r="Y366" s="156">
        <f t="shared" si="144"/>
        <v>0</v>
      </c>
      <c r="Z366" s="156">
        <f t="shared" si="144"/>
        <v>0</v>
      </c>
      <c r="AA366" s="156">
        <f t="shared" si="144"/>
        <v>0</v>
      </c>
      <c r="AB366" s="156">
        <f t="shared" si="144"/>
        <v>0</v>
      </c>
      <c r="AC366" s="156">
        <f t="shared" si="144"/>
        <v>0</v>
      </c>
      <c r="AD366" s="156">
        <f t="shared" si="144"/>
        <v>0</v>
      </c>
      <c r="AE366" s="156">
        <f t="shared" si="144"/>
        <v>0</v>
      </c>
      <c r="AF366" s="156">
        <f t="shared" si="144"/>
        <v>0</v>
      </c>
      <c r="AG366" s="156">
        <f t="shared" si="144"/>
        <v>0</v>
      </c>
      <c r="AH366" s="156">
        <f t="shared" si="144"/>
        <v>0</v>
      </c>
      <c r="AI366" s="156">
        <f t="shared" si="144"/>
        <v>0</v>
      </c>
      <c r="AJ366" s="156">
        <f t="shared" si="144"/>
        <v>0</v>
      </c>
      <c r="AK366" s="156">
        <f t="shared" si="144"/>
        <v>0</v>
      </c>
      <c r="AL366" s="156">
        <f t="shared" si="144"/>
        <v>0</v>
      </c>
      <c r="AM366" s="156">
        <f t="shared" si="144"/>
        <v>0</v>
      </c>
      <c r="AN366" s="156">
        <f t="shared" si="144"/>
        <v>0</v>
      </c>
      <c r="AO366" s="156">
        <f t="shared" si="144"/>
        <v>0</v>
      </c>
      <c r="AP366" s="156">
        <f t="shared" si="144"/>
        <v>0</v>
      </c>
    </row>
    <row r="367" spans="1:42" x14ac:dyDescent="0.4">
      <c r="A367" s="4">
        <f t="shared" si="140"/>
        <v>7</v>
      </c>
      <c r="B367" s="331">
        <f t="shared" si="137"/>
        <v>0</v>
      </c>
      <c r="C367" s="156">
        <f t="shared" ref="C367:AP367" si="145">LOOKUP(C355,$B$319:$AP$319,$B$320:$AP$320)/100*$B699</f>
        <v>0</v>
      </c>
      <c r="D367" s="156">
        <f t="shared" si="145"/>
        <v>0</v>
      </c>
      <c r="E367" s="156">
        <f t="shared" si="145"/>
        <v>0</v>
      </c>
      <c r="F367" s="156">
        <f t="shared" si="145"/>
        <v>0</v>
      </c>
      <c r="G367" s="156">
        <f t="shared" si="145"/>
        <v>0</v>
      </c>
      <c r="H367" s="156">
        <f t="shared" si="145"/>
        <v>0</v>
      </c>
      <c r="I367" s="156">
        <f t="shared" si="145"/>
        <v>0</v>
      </c>
      <c r="J367" s="156">
        <f t="shared" si="145"/>
        <v>0</v>
      </c>
      <c r="K367" s="156">
        <f t="shared" si="145"/>
        <v>0</v>
      </c>
      <c r="L367" s="156">
        <f t="shared" si="145"/>
        <v>0</v>
      </c>
      <c r="M367" s="156">
        <f t="shared" si="145"/>
        <v>0</v>
      </c>
      <c r="N367" s="156">
        <f t="shared" si="145"/>
        <v>0</v>
      </c>
      <c r="O367" s="156">
        <f t="shared" si="145"/>
        <v>0</v>
      </c>
      <c r="P367" s="156">
        <f t="shared" si="145"/>
        <v>0</v>
      </c>
      <c r="Q367" s="156">
        <f t="shared" si="145"/>
        <v>0</v>
      </c>
      <c r="R367" s="156">
        <f t="shared" si="145"/>
        <v>0</v>
      </c>
      <c r="S367" s="156">
        <f t="shared" si="145"/>
        <v>0</v>
      </c>
      <c r="T367" s="156">
        <f t="shared" si="145"/>
        <v>0</v>
      </c>
      <c r="U367" s="156">
        <f t="shared" si="145"/>
        <v>0</v>
      </c>
      <c r="V367" s="156">
        <f t="shared" si="145"/>
        <v>0</v>
      </c>
      <c r="W367" s="156">
        <f t="shared" si="145"/>
        <v>0</v>
      </c>
      <c r="X367" s="156">
        <f t="shared" si="145"/>
        <v>0</v>
      </c>
      <c r="Y367" s="156">
        <f t="shared" si="145"/>
        <v>0</v>
      </c>
      <c r="Z367" s="156">
        <f t="shared" si="145"/>
        <v>0</v>
      </c>
      <c r="AA367" s="156">
        <f t="shared" si="145"/>
        <v>0</v>
      </c>
      <c r="AB367" s="156">
        <f t="shared" si="145"/>
        <v>0</v>
      </c>
      <c r="AC367" s="156">
        <f t="shared" si="145"/>
        <v>0</v>
      </c>
      <c r="AD367" s="156">
        <f t="shared" si="145"/>
        <v>0</v>
      </c>
      <c r="AE367" s="156">
        <f t="shared" si="145"/>
        <v>0</v>
      </c>
      <c r="AF367" s="156">
        <f t="shared" si="145"/>
        <v>0</v>
      </c>
      <c r="AG367" s="156">
        <f t="shared" si="145"/>
        <v>0</v>
      </c>
      <c r="AH367" s="156">
        <f t="shared" si="145"/>
        <v>0</v>
      </c>
      <c r="AI367" s="156">
        <f t="shared" si="145"/>
        <v>0</v>
      </c>
      <c r="AJ367" s="156">
        <f t="shared" si="145"/>
        <v>0</v>
      </c>
      <c r="AK367" s="156">
        <f t="shared" si="145"/>
        <v>0</v>
      </c>
      <c r="AL367" s="156">
        <f t="shared" si="145"/>
        <v>0</v>
      </c>
      <c r="AM367" s="156">
        <f t="shared" si="145"/>
        <v>0</v>
      </c>
      <c r="AN367" s="156">
        <f t="shared" si="145"/>
        <v>0</v>
      </c>
      <c r="AO367" s="156">
        <f t="shared" si="145"/>
        <v>0</v>
      </c>
      <c r="AP367" s="156">
        <f t="shared" si="145"/>
        <v>0</v>
      </c>
    </row>
    <row r="368" spans="1:42" x14ac:dyDescent="0.4">
      <c r="A368" s="4">
        <f t="shared" si="140"/>
        <v>8</v>
      </c>
      <c r="B368" s="331">
        <f t="shared" si="137"/>
        <v>0</v>
      </c>
      <c r="C368" s="156">
        <f t="shared" ref="C368:AP368" si="146">LOOKUP(C356,$B$319:$AP$319,$B$320:$AP$320)/100*$B700</f>
        <v>0</v>
      </c>
      <c r="D368" s="156">
        <f t="shared" si="146"/>
        <v>0</v>
      </c>
      <c r="E368" s="156">
        <f t="shared" si="146"/>
        <v>0</v>
      </c>
      <c r="F368" s="156">
        <f t="shared" si="146"/>
        <v>0</v>
      </c>
      <c r="G368" s="156">
        <f t="shared" si="146"/>
        <v>0</v>
      </c>
      <c r="H368" s="156">
        <f t="shared" si="146"/>
        <v>0</v>
      </c>
      <c r="I368" s="156">
        <f t="shared" si="146"/>
        <v>0</v>
      </c>
      <c r="J368" s="156">
        <f t="shared" si="146"/>
        <v>0</v>
      </c>
      <c r="K368" s="156">
        <f t="shared" si="146"/>
        <v>0</v>
      </c>
      <c r="L368" s="156">
        <f t="shared" si="146"/>
        <v>0</v>
      </c>
      <c r="M368" s="156">
        <f t="shared" si="146"/>
        <v>0</v>
      </c>
      <c r="N368" s="156">
        <f t="shared" si="146"/>
        <v>0</v>
      </c>
      <c r="O368" s="156">
        <f t="shared" si="146"/>
        <v>0</v>
      </c>
      <c r="P368" s="156">
        <f t="shared" si="146"/>
        <v>0</v>
      </c>
      <c r="Q368" s="156">
        <f t="shared" si="146"/>
        <v>0</v>
      </c>
      <c r="R368" s="156">
        <f t="shared" si="146"/>
        <v>0</v>
      </c>
      <c r="S368" s="156">
        <f t="shared" si="146"/>
        <v>0</v>
      </c>
      <c r="T368" s="156">
        <f t="shared" si="146"/>
        <v>0</v>
      </c>
      <c r="U368" s="156">
        <f t="shared" si="146"/>
        <v>0</v>
      </c>
      <c r="V368" s="156">
        <f t="shared" si="146"/>
        <v>0</v>
      </c>
      <c r="W368" s="156">
        <f t="shared" si="146"/>
        <v>0</v>
      </c>
      <c r="X368" s="156">
        <f t="shared" si="146"/>
        <v>0</v>
      </c>
      <c r="Y368" s="156">
        <f t="shared" si="146"/>
        <v>0</v>
      </c>
      <c r="Z368" s="156">
        <f t="shared" si="146"/>
        <v>0</v>
      </c>
      <c r="AA368" s="156">
        <f t="shared" si="146"/>
        <v>0</v>
      </c>
      <c r="AB368" s="156">
        <f t="shared" si="146"/>
        <v>0</v>
      </c>
      <c r="AC368" s="156">
        <f t="shared" si="146"/>
        <v>0</v>
      </c>
      <c r="AD368" s="156">
        <f t="shared" si="146"/>
        <v>0</v>
      </c>
      <c r="AE368" s="156">
        <f t="shared" si="146"/>
        <v>0</v>
      </c>
      <c r="AF368" s="156">
        <f t="shared" si="146"/>
        <v>0</v>
      </c>
      <c r="AG368" s="156">
        <f t="shared" si="146"/>
        <v>0</v>
      </c>
      <c r="AH368" s="156">
        <f t="shared" si="146"/>
        <v>0</v>
      </c>
      <c r="AI368" s="156">
        <f t="shared" si="146"/>
        <v>0</v>
      </c>
      <c r="AJ368" s="156">
        <f t="shared" si="146"/>
        <v>0</v>
      </c>
      <c r="AK368" s="156">
        <f t="shared" si="146"/>
        <v>0</v>
      </c>
      <c r="AL368" s="156">
        <f t="shared" si="146"/>
        <v>0</v>
      </c>
      <c r="AM368" s="156">
        <f t="shared" si="146"/>
        <v>0</v>
      </c>
      <c r="AN368" s="156">
        <f t="shared" si="146"/>
        <v>0</v>
      </c>
      <c r="AO368" s="156">
        <f t="shared" si="146"/>
        <v>0</v>
      </c>
      <c r="AP368" s="156">
        <f t="shared" si="146"/>
        <v>0</v>
      </c>
    </row>
    <row r="369" spans="1:42" x14ac:dyDescent="0.4">
      <c r="A369" s="4">
        <f>A368+1</f>
        <v>9</v>
      </c>
      <c r="B369" s="331">
        <f t="shared" si="137"/>
        <v>0</v>
      </c>
      <c r="C369" s="156">
        <f t="shared" ref="C369:AP369" si="147">LOOKUP(C357,$B$319:$AP$319,$B$320:$AP$320)/100*$B701</f>
        <v>0</v>
      </c>
      <c r="D369" s="156">
        <f t="shared" si="147"/>
        <v>0</v>
      </c>
      <c r="E369" s="156">
        <f t="shared" si="147"/>
        <v>0</v>
      </c>
      <c r="F369" s="156">
        <f t="shared" si="147"/>
        <v>0</v>
      </c>
      <c r="G369" s="156">
        <f t="shared" si="147"/>
        <v>0</v>
      </c>
      <c r="H369" s="156">
        <f t="shared" si="147"/>
        <v>0</v>
      </c>
      <c r="I369" s="156">
        <f t="shared" si="147"/>
        <v>0</v>
      </c>
      <c r="J369" s="156">
        <f t="shared" si="147"/>
        <v>0</v>
      </c>
      <c r="K369" s="156">
        <f t="shared" si="147"/>
        <v>0</v>
      </c>
      <c r="L369" s="156">
        <f t="shared" si="147"/>
        <v>0</v>
      </c>
      <c r="M369" s="156">
        <f t="shared" si="147"/>
        <v>0</v>
      </c>
      <c r="N369" s="156">
        <f t="shared" si="147"/>
        <v>0</v>
      </c>
      <c r="O369" s="156">
        <f t="shared" si="147"/>
        <v>0</v>
      </c>
      <c r="P369" s="156">
        <f t="shared" si="147"/>
        <v>0</v>
      </c>
      <c r="Q369" s="156">
        <f t="shared" si="147"/>
        <v>0</v>
      </c>
      <c r="R369" s="156">
        <f t="shared" si="147"/>
        <v>0</v>
      </c>
      <c r="S369" s="156">
        <f t="shared" si="147"/>
        <v>0</v>
      </c>
      <c r="T369" s="156">
        <f t="shared" si="147"/>
        <v>0</v>
      </c>
      <c r="U369" s="156">
        <f t="shared" si="147"/>
        <v>0</v>
      </c>
      <c r="V369" s="156">
        <f t="shared" si="147"/>
        <v>0</v>
      </c>
      <c r="W369" s="156">
        <f t="shared" si="147"/>
        <v>0</v>
      </c>
      <c r="X369" s="156">
        <f t="shared" si="147"/>
        <v>0</v>
      </c>
      <c r="Y369" s="156">
        <f t="shared" si="147"/>
        <v>0</v>
      </c>
      <c r="Z369" s="156">
        <f t="shared" si="147"/>
        <v>0</v>
      </c>
      <c r="AA369" s="156">
        <f t="shared" si="147"/>
        <v>0</v>
      </c>
      <c r="AB369" s="156">
        <f t="shared" si="147"/>
        <v>0</v>
      </c>
      <c r="AC369" s="156">
        <f t="shared" si="147"/>
        <v>0</v>
      </c>
      <c r="AD369" s="156">
        <f t="shared" si="147"/>
        <v>0</v>
      </c>
      <c r="AE369" s="156">
        <f t="shared" si="147"/>
        <v>0</v>
      </c>
      <c r="AF369" s="156">
        <f t="shared" si="147"/>
        <v>0</v>
      </c>
      <c r="AG369" s="156">
        <f t="shared" si="147"/>
        <v>0</v>
      </c>
      <c r="AH369" s="156">
        <f t="shared" si="147"/>
        <v>0</v>
      </c>
      <c r="AI369" s="156">
        <f t="shared" si="147"/>
        <v>0</v>
      </c>
      <c r="AJ369" s="156">
        <f t="shared" si="147"/>
        <v>0</v>
      </c>
      <c r="AK369" s="156">
        <f t="shared" si="147"/>
        <v>0</v>
      </c>
      <c r="AL369" s="156">
        <f t="shared" si="147"/>
        <v>0</v>
      </c>
      <c r="AM369" s="156">
        <f t="shared" si="147"/>
        <v>0</v>
      </c>
      <c r="AN369" s="156">
        <f t="shared" si="147"/>
        <v>0</v>
      </c>
      <c r="AO369" s="156">
        <f t="shared" si="147"/>
        <v>0</v>
      </c>
      <c r="AP369" s="156">
        <f t="shared" si="147"/>
        <v>0</v>
      </c>
    </row>
    <row r="370" spans="1:42" x14ac:dyDescent="0.4">
      <c r="A370" s="4">
        <f t="shared" si="140"/>
        <v>10</v>
      </c>
      <c r="B370" s="331">
        <f t="shared" si="137"/>
        <v>0</v>
      </c>
      <c r="C370" s="156">
        <f t="shared" ref="C370:AP370" si="148">LOOKUP(C358,$B$319:$AP$319,$B$320:$AP$320)/100*$B702</f>
        <v>0</v>
      </c>
      <c r="D370" s="156">
        <f t="shared" si="148"/>
        <v>0</v>
      </c>
      <c r="E370" s="156">
        <f t="shared" si="148"/>
        <v>0</v>
      </c>
      <c r="F370" s="156">
        <f t="shared" si="148"/>
        <v>0</v>
      </c>
      <c r="G370" s="156">
        <f t="shared" si="148"/>
        <v>0</v>
      </c>
      <c r="H370" s="156">
        <f t="shared" si="148"/>
        <v>0</v>
      </c>
      <c r="I370" s="156">
        <f t="shared" si="148"/>
        <v>0</v>
      </c>
      <c r="J370" s="156">
        <f t="shared" si="148"/>
        <v>0</v>
      </c>
      <c r="K370" s="156">
        <f t="shared" si="148"/>
        <v>0</v>
      </c>
      <c r="L370" s="156">
        <f t="shared" si="148"/>
        <v>0</v>
      </c>
      <c r="M370" s="156">
        <f t="shared" si="148"/>
        <v>0</v>
      </c>
      <c r="N370" s="156">
        <f t="shared" si="148"/>
        <v>0</v>
      </c>
      <c r="O370" s="156">
        <f t="shared" si="148"/>
        <v>0</v>
      </c>
      <c r="P370" s="156">
        <f t="shared" si="148"/>
        <v>0</v>
      </c>
      <c r="Q370" s="156">
        <f t="shared" si="148"/>
        <v>0</v>
      </c>
      <c r="R370" s="156">
        <f t="shared" si="148"/>
        <v>0</v>
      </c>
      <c r="S370" s="156">
        <f t="shared" si="148"/>
        <v>0</v>
      </c>
      <c r="T370" s="156">
        <f t="shared" si="148"/>
        <v>0</v>
      </c>
      <c r="U370" s="156">
        <f t="shared" si="148"/>
        <v>0</v>
      </c>
      <c r="V370" s="156">
        <f t="shared" si="148"/>
        <v>0</v>
      </c>
      <c r="W370" s="156">
        <f t="shared" si="148"/>
        <v>0</v>
      </c>
      <c r="X370" s="156">
        <f t="shared" si="148"/>
        <v>0</v>
      </c>
      <c r="Y370" s="156">
        <f t="shared" si="148"/>
        <v>0</v>
      </c>
      <c r="Z370" s="156">
        <f t="shared" si="148"/>
        <v>0</v>
      </c>
      <c r="AA370" s="156">
        <f t="shared" si="148"/>
        <v>0</v>
      </c>
      <c r="AB370" s="156">
        <f t="shared" si="148"/>
        <v>0</v>
      </c>
      <c r="AC370" s="156">
        <f t="shared" si="148"/>
        <v>0</v>
      </c>
      <c r="AD370" s="156">
        <f t="shared" si="148"/>
        <v>0</v>
      </c>
      <c r="AE370" s="156">
        <f t="shared" si="148"/>
        <v>0</v>
      </c>
      <c r="AF370" s="156">
        <f t="shared" si="148"/>
        <v>0</v>
      </c>
      <c r="AG370" s="156">
        <f t="shared" si="148"/>
        <v>0</v>
      </c>
      <c r="AH370" s="156">
        <f t="shared" si="148"/>
        <v>0</v>
      </c>
      <c r="AI370" s="156">
        <f t="shared" si="148"/>
        <v>0</v>
      </c>
      <c r="AJ370" s="156">
        <f t="shared" si="148"/>
        <v>0</v>
      </c>
      <c r="AK370" s="156">
        <f t="shared" si="148"/>
        <v>0</v>
      </c>
      <c r="AL370" s="156">
        <f t="shared" si="148"/>
        <v>0</v>
      </c>
      <c r="AM370" s="156">
        <f t="shared" si="148"/>
        <v>0</v>
      </c>
      <c r="AN370" s="156">
        <f t="shared" si="148"/>
        <v>0</v>
      </c>
      <c r="AO370" s="156">
        <f t="shared" si="148"/>
        <v>0</v>
      </c>
      <c r="AP370" s="156">
        <f t="shared" si="148"/>
        <v>0</v>
      </c>
    </row>
    <row r="371" spans="1:42" ht="12" customHeight="1" x14ac:dyDescent="0.4">
      <c r="A371" s="24" t="s">
        <v>13</v>
      </c>
      <c r="C371" s="320">
        <f>SUM(C361:C370)</f>
        <v>0</v>
      </c>
      <c r="D371" s="320">
        <f t="shared" ref="D371:AP371" si="149">SUM(D361:D370)</f>
        <v>0</v>
      </c>
      <c r="E371" s="320">
        <f t="shared" si="149"/>
        <v>0</v>
      </c>
      <c r="F371" s="320">
        <f t="shared" si="149"/>
        <v>0</v>
      </c>
      <c r="G371" s="320">
        <f t="shared" si="149"/>
        <v>0</v>
      </c>
      <c r="H371" s="320">
        <f t="shared" si="149"/>
        <v>0</v>
      </c>
      <c r="I371" s="320">
        <f t="shared" si="149"/>
        <v>0</v>
      </c>
      <c r="J371" s="320">
        <f t="shared" si="149"/>
        <v>0</v>
      </c>
      <c r="K371" s="320">
        <f t="shared" si="149"/>
        <v>0</v>
      </c>
      <c r="L371" s="320">
        <f t="shared" si="149"/>
        <v>0</v>
      </c>
      <c r="M371" s="320">
        <f t="shared" si="149"/>
        <v>0</v>
      </c>
      <c r="N371" s="320">
        <f t="shared" si="149"/>
        <v>0</v>
      </c>
      <c r="O371" s="320">
        <f t="shared" si="149"/>
        <v>0</v>
      </c>
      <c r="P371" s="320">
        <f t="shared" si="149"/>
        <v>0</v>
      </c>
      <c r="Q371" s="320">
        <f t="shared" si="149"/>
        <v>0</v>
      </c>
      <c r="R371" s="320">
        <f t="shared" si="149"/>
        <v>0</v>
      </c>
      <c r="S371" s="320">
        <f t="shared" si="149"/>
        <v>0</v>
      </c>
      <c r="T371" s="320">
        <f t="shared" si="149"/>
        <v>0</v>
      </c>
      <c r="U371" s="320">
        <f t="shared" si="149"/>
        <v>0</v>
      </c>
      <c r="V371" s="320">
        <f t="shared" si="149"/>
        <v>0</v>
      </c>
      <c r="W371" s="320">
        <f t="shared" si="149"/>
        <v>0</v>
      </c>
      <c r="X371" s="320">
        <f t="shared" si="149"/>
        <v>0</v>
      </c>
      <c r="Y371" s="320">
        <f t="shared" si="149"/>
        <v>0</v>
      </c>
      <c r="Z371" s="320">
        <f t="shared" si="149"/>
        <v>0</v>
      </c>
      <c r="AA371" s="320">
        <f t="shared" si="149"/>
        <v>0</v>
      </c>
      <c r="AB371" s="320">
        <f t="shared" si="149"/>
        <v>0</v>
      </c>
      <c r="AC371" s="320">
        <f t="shared" si="149"/>
        <v>0</v>
      </c>
      <c r="AD371" s="320">
        <f t="shared" si="149"/>
        <v>0</v>
      </c>
      <c r="AE371" s="320">
        <f t="shared" si="149"/>
        <v>0</v>
      </c>
      <c r="AF371" s="320">
        <f t="shared" si="149"/>
        <v>0</v>
      </c>
      <c r="AG371" s="320">
        <f t="shared" si="149"/>
        <v>0</v>
      </c>
      <c r="AH371" s="320">
        <f t="shared" si="149"/>
        <v>0</v>
      </c>
      <c r="AI371" s="320">
        <f t="shared" si="149"/>
        <v>0</v>
      </c>
      <c r="AJ371" s="320">
        <f t="shared" si="149"/>
        <v>0</v>
      </c>
      <c r="AK371" s="320">
        <f t="shared" si="149"/>
        <v>0</v>
      </c>
      <c r="AL371" s="320">
        <f t="shared" si="149"/>
        <v>0</v>
      </c>
      <c r="AM371" s="320">
        <f t="shared" si="149"/>
        <v>0</v>
      </c>
      <c r="AN371" s="320">
        <f t="shared" si="149"/>
        <v>0</v>
      </c>
      <c r="AO371" s="320">
        <f t="shared" si="149"/>
        <v>0</v>
      </c>
      <c r="AP371" s="320">
        <f t="shared" si="149"/>
        <v>0</v>
      </c>
    </row>
    <row r="372" spans="1:42" x14ac:dyDescent="0.4">
      <c r="A372" s="21"/>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row>
    <row r="373" spans="1:42" x14ac:dyDescent="0.4">
      <c r="A373" s="21" t="s">
        <v>64</v>
      </c>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row>
    <row r="374" spans="1:42" x14ac:dyDescent="0.4">
      <c r="A374" s="87" t="s">
        <v>53</v>
      </c>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row>
    <row r="375" spans="1:42" x14ac:dyDescent="0.4">
      <c r="A375" s="4">
        <v>1</v>
      </c>
      <c r="B375" s="4">
        <v>0</v>
      </c>
      <c r="C375" s="156">
        <f>IF(C$2&lt;=analysis_period,IF(SUM($C725:C725)&gt;0,B375+1,0),0)</f>
        <v>0</v>
      </c>
      <c r="D375" s="156">
        <f>IF(D$2&lt;=analysis_period,IF(SUM($C725:D725)&gt;0,C375+1,0),0)</f>
        <v>0</v>
      </c>
      <c r="E375" s="156">
        <f>IF(E$2&lt;=analysis_period,IF(SUM($C725:E725)&gt;0,D375+1,0),0)</f>
        <v>0</v>
      </c>
      <c r="F375" s="156">
        <f>IF(F$2&lt;=analysis_period,IF(SUM($C725:F725)&gt;0,E375+1,0),0)</f>
        <v>0</v>
      </c>
      <c r="G375" s="156">
        <f>IF(G$2&lt;=analysis_period,IF(SUM($C725:G725)&gt;0,F375+1,0),0)</f>
        <v>0</v>
      </c>
      <c r="H375" s="156">
        <f>IF(H$2&lt;=analysis_period,IF(SUM($C725:H725)&gt;0,G375+1,0),0)</f>
        <v>0</v>
      </c>
      <c r="I375" s="156">
        <f>IF(I$2&lt;=analysis_period,IF(SUM($C725:I725)&gt;0,H375+1,0),0)</f>
        <v>0</v>
      </c>
      <c r="J375" s="156">
        <f>IF(J$2&lt;=analysis_period,IF(SUM($C725:J725)&gt;0,I375+1,0),0)</f>
        <v>0</v>
      </c>
      <c r="K375" s="156">
        <f>IF(K$2&lt;=analysis_period,IF(SUM($C725:K725)&gt;0,J375+1,0),0)</f>
        <v>0</v>
      </c>
      <c r="L375" s="156">
        <f>IF(L$2&lt;=analysis_period,IF(SUM($C725:L725)&gt;0,K375+1,0),0)</f>
        <v>0</v>
      </c>
      <c r="M375" s="156">
        <f>IF(M$2&lt;=analysis_period,IF(SUM($C725:M725)&gt;0,L375+1,0),0)</f>
        <v>0</v>
      </c>
      <c r="N375" s="156">
        <f>IF(N$2&lt;=analysis_period,IF(SUM($C725:N725)&gt;0,M375+1,0),0)</f>
        <v>0</v>
      </c>
      <c r="O375" s="156">
        <f>IF(O$2&lt;=analysis_period,IF(SUM($C725:O725)&gt;0,N375+1,0),0)</f>
        <v>0</v>
      </c>
      <c r="P375" s="156">
        <f>IF(P$2&lt;=analysis_period,IF(SUM($C725:P725)&gt;0,O375+1,0),0)</f>
        <v>0</v>
      </c>
      <c r="Q375" s="156">
        <f>IF(Q$2&lt;=analysis_period,IF(SUM($C725:Q725)&gt;0,P375+1,0),0)</f>
        <v>0</v>
      </c>
      <c r="R375" s="156">
        <f>IF(R$2&lt;=analysis_period,IF(SUM($C725:R725)&gt;0,Q375+1,0),0)</f>
        <v>0</v>
      </c>
      <c r="S375" s="156">
        <f>IF(S$2&lt;=analysis_period,IF(SUM($C725:S725)&gt;0,R375+1,0),0)</f>
        <v>0</v>
      </c>
      <c r="T375" s="156">
        <f>IF(T$2&lt;=analysis_period,IF(SUM($C725:T725)&gt;0,S375+1,0),0)</f>
        <v>0</v>
      </c>
      <c r="U375" s="156">
        <f>IF(U$2&lt;=analysis_period,IF(SUM($C725:U725)&gt;0,T375+1,0),0)</f>
        <v>0</v>
      </c>
      <c r="V375" s="156">
        <f>IF(V$2&lt;=analysis_period,IF(SUM($C725:V725)&gt;0,U375+1,0),0)</f>
        <v>0</v>
      </c>
      <c r="W375" s="156">
        <f>IF(W$2&lt;=analysis_period,IF(SUM($C725:W725)&gt;0,V375+1,0),0)</f>
        <v>0</v>
      </c>
      <c r="X375" s="156">
        <f>IF(X$2&lt;=analysis_period,IF(SUM($C725:X725)&gt;0,W375+1,0),0)</f>
        <v>0</v>
      </c>
      <c r="Y375" s="156">
        <f>IF(Y$2&lt;=analysis_period,IF(SUM($C725:Y725)&gt;0,X375+1,0),0)</f>
        <v>0</v>
      </c>
      <c r="Z375" s="156">
        <f>IF(Z$2&lt;=analysis_period,IF(SUM($C725:Z725)&gt;0,Y375+1,0),0)</f>
        <v>0</v>
      </c>
      <c r="AA375" s="156">
        <f>IF(AA$2&lt;=analysis_period,IF(SUM($C725:AA725)&gt;0,Z375+1,0),0)</f>
        <v>0</v>
      </c>
      <c r="AB375" s="156">
        <f>IF(AB$2&lt;=analysis_period,IF(SUM($C725:AB725)&gt;0,AA375+1,0),0)</f>
        <v>0</v>
      </c>
      <c r="AC375" s="156">
        <f>IF(AC$2&lt;=analysis_period,IF(SUM($C725:AC725)&gt;0,AB375+1,0),0)</f>
        <v>0</v>
      </c>
      <c r="AD375" s="156">
        <f>IF(AD$2&lt;=analysis_period,IF(SUM($C725:AD725)&gt;0,AC375+1,0),0)</f>
        <v>0</v>
      </c>
      <c r="AE375" s="156">
        <f>IF(AE$2&lt;=analysis_period,IF(SUM($C725:AE725)&gt;0,AD375+1,0),0)</f>
        <v>0</v>
      </c>
      <c r="AF375" s="156">
        <f>IF(AF$2&lt;=analysis_period,IF(SUM($C725:AF725)&gt;0,AE375+1,0),0)</f>
        <v>0</v>
      </c>
      <c r="AG375" s="156">
        <f>IF(AG$2&lt;=analysis_period,IF(SUM($C725:AG725)&gt;0,AF375+1,0),0)</f>
        <v>0</v>
      </c>
      <c r="AH375" s="156">
        <f>IF(AH$2&lt;=analysis_period,IF(SUM($C725:AH725)&gt;0,AG375+1,0),0)</f>
        <v>0</v>
      </c>
      <c r="AI375" s="156">
        <f>IF(AI$2&lt;=analysis_period,IF(SUM($C725:AI725)&gt;0,AH375+1,0),0)</f>
        <v>0</v>
      </c>
      <c r="AJ375" s="156">
        <f>IF(AJ$2&lt;=analysis_period,IF(SUM($C725:AJ725)&gt;0,AI375+1,0),0)</f>
        <v>0</v>
      </c>
      <c r="AK375" s="156">
        <f>IF(AK$2&lt;=analysis_period,IF(SUM($C725:AK725)&gt;0,AJ375+1,0),0)</f>
        <v>0</v>
      </c>
      <c r="AL375" s="156">
        <f>IF(AL$2&lt;=analysis_period,IF(SUM($C725:AL725)&gt;0,AK375+1,0),0)</f>
        <v>0</v>
      </c>
      <c r="AM375" s="156">
        <f>IF(AM$2&lt;=analysis_period,IF(SUM($C725:AM725)&gt;0,AL375+1,0),0)</f>
        <v>0</v>
      </c>
      <c r="AN375" s="156">
        <f>IF(AN$2&lt;=analysis_period,IF(SUM($C725:AN725)&gt;0,AM375+1,0),0)</f>
        <v>0</v>
      </c>
      <c r="AO375" s="156">
        <f>IF(AO$2&lt;=analysis_period,IF(SUM($C725:AO725)&gt;0,AN375+1,0),0)</f>
        <v>0</v>
      </c>
      <c r="AP375" s="156">
        <f>IF(AP$2&lt;=analysis_period,IF(SUM($C725:AP725)&gt;0,AO375+1,0),0)</f>
        <v>0</v>
      </c>
    </row>
    <row r="376" spans="1:42" x14ac:dyDescent="0.4">
      <c r="A376" s="4">
        <f>A375+1</f>
        <v>2</v>
      </c>
      <c r="B376" s="4">
        <v>0</v>
      </c>
      <c r="C376" s="156">
        <f>IF(C$2&lt;=analysis_period,IF(SUM($C726:C726)&gt;0,B376+1,0),0)</f>
        <v>0</v>
      </c>
      <c r="D376" s="156">
        <f>IF(D$2&lt;=analysis_period,IF(SUM($C726:D726)&gt;0,C376+1,0),0)</f>
        <v>0</v>
      </c>
      <c r="E376" s="156">
        <f>IF(E$2&lt;=analysis_period,IF(SUM($C726:E726)&gt;0,D376+1,0),0)</f>
        <v>0</v>
      </c>
      <c r="F376" s="156">
        <f>IF(F$2&lt;=analysis_period,IF(SUM($C726:F726)&gt;0,E376+1,0),0)</f>
        <v>0</v>
      </c>
      <c r="G376" s="156">
        <f>IF(G$2&lt;=analysis_period,IF(SUM($C726:G726)&gt;0,F376+1,0),0)</f>
        <v>0</v>
      </c>
      <c r="H376" s="156">
        <f>IF(H$2&lt;=analysis_period,IF(SUM($C726:H726)&gt;0,G376+1,0),0)</f>
        <v>0</v>
      </c>
      <c r="I376" s="156">
        <f>IF(I$2&lt;=analysis_period,IF(SUM($C726:I726)&gt;0,H376+1,0),0)</f>
        <v>0</v>
      </c>
      <c r="J376" s="156">
        <f>IF(J$2&lt;=analysis_period,IF(SUM($C726:J726)&gt;0,I376+1,0),0)</f>
        <v>0</v>
      </c>
      <c r="K376" s="156">
        <f>IF(K$2&lt;=analysis_period,IF(SUM($C726:K726)&gt;0,J376+1,0),0)</f>
        <v>0</v>
      </c>
      <c r="L376" s="156">
        <f>IF(L$2&lt;=analysis_period,IF(SUM($C726:L726)&gt;0,K376+1,0),0)</f>
        <v>0</v>
      </c>
      <c r="M376" s="156">
        <f>IF(M$2&lt;=analysis_period,IF(SUM($C726:M726)&gt;0,L376+1,0),0)</f>
        <v>0</v>
      </c>
      <c r="N376" s="156">
        <f>IF(N$2&lt;=analysis_period,IF(SUM($C726:N726)&gt;0,M376+1,0),0)</f>
        <v>0</v>
      </c>
      <c r="O376" s="156">
        <f>IF(O$2&lt;=analysis_period,IF(SUM($C726:O726)&gt;0,N376+1,0),0)</f>
        <v>0</v>
      </c>
      <c r="P376" s="156">
        <f>IF(P$2&lt;=analysis_period,IF(SUM($C726:P726)&gt;0,O376+1,0),0)</f>
        <v>0</v>
      </c>
      <c r="Q376" s="156">
        <f>IF(Q$2&lt;=analysis_period,IF(SUM($C726:Q726)&gt;0,P376+1,0),0)</f>
        <v>0</v>
      </c>
      <c r="R376" s="156">
        <f>IF(R$2&lt;=analysis_period,IF(SUM($C726:R726)&gt;0,Q376+1,0),0)</f>
        <v>0</v>
      </c>
      <c r="S376" s="156">
        <f>IF(S$2&lt;=analysis_period,IF(SUM($C726:S726)&gt;0,R376+1,0),0)</f>
        <v>0</v>
      </c>
      <c r="T376" s="156">
        <f>IF(T$2&lt;=analysis_period,IF(SUM($C726:T726)&gt;0,S376+1,0),0)</f>
        <v>0</v>
      </c>
      <c r="U376" s="156">
        <f>IF(U$2&lt;=analysis_period,IF(SUM($C726:U726)&gt;0,T376+1,0),0)</f>
        <v>0</v>
      </c>
      <c r="V376" s="156">
        <f>IF(V$2&lt;=analysis_period,IF(SUM($C726:V726)&gt;0,U376+1,0),0)</f>
        <v>0</v>
      </c>
      <c r="W376" s="156">
        <f>IF(W$2&lt;=analysis_period,IF(SUM($C726:W726)&gt;0,V376+1,0),0)</f>
        <v>0</v>
      </c>
      <c r="X376" s="156">
        <f>IF(X$2&lt;=analysis_period,IF(SUM($C726:X726)&gt;0,W376+1,0),0)</f>
        <v>0</v>
      </c>
      <c r="Y376" s="156">
        <f>IF(Y$2&lt;=analysis_period,IF(SUM($C726:Y726)&gt;0,X376+1,0),0)</f>
        <v>0</v>
      </c>
      <c r="Z376" s="156">
        <f>IF(Z$2&lt;=analysis_period,IF(SUM($C726:Z726)&gt;0,Y376+1,0),0)</f>
        <v>0</v>
      </c>
      <c r="AA376" s="156">
        <f>IF(AA$2&lt;=analysis_period,IF(SUM($C726:AA726)&gt;0,Z376+1,0),0)</f>
        <v>0</v>
      </c>
      <c r="AB376" s="156">
        <f>IF(AB$2&lt;=analysis_period,IF(SUM($C726:AB726)&gt;0,AA376+1,0),0)</f>
        <v>0</v>
      </c>
      <c r="AC376" s="156">
        <f>IF(AC$2&lt;=analysis_period,IF(SUM($C726:AC726)&gt;0,AB376+1,0),0)</f>
        <v>0</v>
      </c>
      <c r="AD376" s="156">
        <f>IF(AD$2&lt;=analysis_period,IF(SUM($C726:AD726)&gt;0,AC376+1,0),0)</f>
        <v>0</v>
      </c>
      <c r="AE376" s="156">
        <f>IF(AE$2&lt;=analysis_period,IF(SUM($C726:AE726)&gt;0,AD376+1,0),0)</f>
        <v>0</v>
      </c>
      <c r="AF376" s="156">
        <f>IF(AF$2&lt;=analysis_period,IF(SUM($C726:AF726)&gt;0,AE376+1,0),0)</f>
        <v>0</v>
      </c>
      <c r="AG376" s="156">
        <f>IF(AG$2&lt;=analysis_period,IF(SUM($C726:AG726)&gt;0,AF376+1,0),0)</f>
        <v>0</v>
      </c>
      <c r="AH376" s="156">
        <f>IF(AH$2&lt;=analysis_period,IF(SUM($C726:AH726)&gt;0,AG376+1,0),0)</f>
        <v>0</v>
      </c>
      <c r="AI376" s="156">
        <f>IF(AI$2&lt;=analysis_period,IF(SUM($C726:AI726)&gt;0,AH376+1,0),0)</f>
        <v>0</v>
      </c>
      <c r="AJ376" s="156">
        <f>IF(AJ$2&lt;=analysis_period,IF(SUM($C726:AJ726)&gt;0,AI376+1,0),0)</f>
        <v>0</v>
      </c>
      <c r="AK376" s="156">
        <f>IF(AK$2&lt;=analysis_period,IF(SUM($C726:AK726)&gt;0,AJ376+1,0),0)</f>
        <v>0</v>
      </c>
      <c r="AL376" s="156">
        <f>IF(AL$2&lt;=analysis_period,IF(SUM($C726:AL726)&gt;0,AK376+1,0),0)</f>
        <v>0</v>
      </c>
      <c r="AM376" s="156">
        <f>IF(AM$2&lt;=analysis_period,IF(SUM($C726:AM726)&gt;0,AL376+1,0),0)</f>
        <v>0</v>
      </c>
      <c r="AN376" s="156">
        <f>IF(AN$2&lt;=analysis_period,IF(SUM($C726:AN726)&gt;0,AM376+1,0),0)</f>
        <v>0</v>
      </c>
      <c r="AO376" s="156">
        <f>IF(AO$2&lt;=analysis_period,IF(SUM($C726:AO726)&gt;0,AN376+1,0),0)</f>
        <v>0</v>
      </c>
      <c r="AP376" s="156">
        <f>IF(AP$2&lt;=analysis_period,IF(SUM($C726:AP726)&gt;0,AO376+1,0),0)</f>
        <v>0</v>
      </c>
    </row>
    <row r="377" spans="1:42" x14ac:dyDescent="0.4">
      <c r="A377" s="4">
        <f t="shared" ref="A377:A384" si="150">A376+1</f>
        <v>3</v>
      </c>
      <c r="B377" s="4">
        <v>0</v>
      </c>
      <c r="C377" s="156">
        <f>IF(C$2&lt;=analysis_period,IF(SUM($C727:C727)&gt;0,B377+1,0),0)</f>
        <v>0</v>
      </c>
      <c r="D377" s="156">
        <f>IF(D$2&lt;=analysis_period,IF(SUM($C727:D727)&gt;0,C377+1,0),0)</f>
        <v>0</v>
      </c>
      <c r="E377" s="156">
        <f>IF(E$2&lt;=analysis_period,IF(SUM($C727:E727)&gt;0,D377+1,0),0)</f>
        <v>0</v>
      </c>
      <c r="F377" s="156">
        <f>IF(F$2&lt;=analysis_period,IF(SUM($C727:F727)&gt;0,E377+1,0),0)</f>
        <v>0</v>
      </c>
      <c r="G377" s="156">
        <f>IF(G$2&lt;=analysis_period,IF(SUM($C727:G727)&gt;0,F377+1,0),0)</f>
        <v>0</v>
      </c>
      <c r="H377" s="156">
        <f>IF(H$2&lt;=analysis_period,IF(SUM($C727:H727)&gt;0,G377+1,0),0)</f>
        <v>0</v>
      </c>
      <c r="I377" s="156">
        <f>IF(I$2&lt;=analysis_period,IF(SUM($C727:I727)&gt;0,H377+1,0),0)</f>
        <v>0</v>
      </c>
      <c r="J377" s="156">
        <f>IF(J$2&lt;=analysis_period,IF(SUM($C727:J727)&gt;0,I377+1,0),0)</f>
        <v>0</v>
      </c>
      <c r="K377" s="156">
        <f>IF(K$2&lt;=analysis_period,IF(SUM($C727:K727)&gt;0,J377+1,0),0)</f>
        <v>0</v>
      </c>
      <c r="L377" s="156">
        <f>IF(L$2&lt;=analysis_period,IF(SUM($C727:L727)&gt;0,K377+1,0),0)</f>
        <v>0</v>
      </c>
      <c r="M377" s="156">
        <f>IF(M$2&lt;=analysis_period,IF(SUM($C727:M727)&gt;0,L377+1,0),0)</f>
        <v>0</v>
      </c>
      <c r="N377" s="156">
        <f>IF(N$2&lt;=analysis_period,IF(SUM($C727:N727)&gt;0,M377+1,0),0)</f>
        <v>0</v>
      </c>
      <c r="O377" s="156">
        <f>IF(O$2&lt;=analysis_period,IF(SUM($C727:O727)&gt;0,N377+1,0),0)</f>
        <v>0</v>
      </c>
      <c r="P377" s="156">
        <f>IF(P$2&lt;=analysis_period,IF(SUM($C727:P727)&gt;0,O377+1,0),0)</f>
        <v>0</v>
      </c>
      <c r="Q377" s="156">
        <f>IF(Q$2&lt;=analysis_period,IF(SUM($C727:Q727)&gt;0,P377+1,0),0)</f>
        <v>0</v>
      </c>
      <c r="R377" s="156">
        <f>IF(R$2&lt;=analysis_period,IF(SUM($C727:R727)&gt;0,Q377+1,0),0)</f>
        <v>0</v>
      </c>
      <c r="S377" s="156">
        <f>IF(S$2&lt;=analysis_period,IF(SUM($C727:S727)&gt;0,R377+1,0),0)</f>
        <v>0</v>
      </c>
      <c r="T377" s="156">
        <f>IF(T$2&lt;=analysis_period,IF(SUM($C727:T727)&gt;0,S377+1,0),0)</f>
        <v>0</v>
      </c>
      <c r="U377" s="156">
        <f>IF(U$2&lt;=analysis_period,IF(SUM($C727:U727)&gt;0,T377+1,0),0)</f>
        <v>0</v>
      </c>
      <c r="V377" s="156">
        <f>IF(V$2&lt;=analysis_period,IF(SUM($C727:V727)&gt;0,U377+1,0),0)</f>
        <v>0</v>
      </c>
      <c r="W377" s="156">
        <f>IF(W$2&lt;=analysis_period,IF(SUM($C727:W727)&gt;0,V377+1,0),0)</f>
        <v>0</v>
      </c>
      <c r="X377" s="156">
        <f>IF(X$2&lt;=analysis_period,IF(SUM($C727:X727)&gt;0,W377+1,0),0)</f>
        <v>0</v>
      </c>
      <c r="Y377" s="156">
        <f>IF(Y$2&lt;=analysis_period,IF(SUM($C727:Y727)&gt;0,X377+1,0),0)</f>
        <v>0</v>
      </c>
      <c r="Z377" s="156">
        <f>IF(Z$2&lt;=analysis_period,IF(SUM($C727:Z727)&gt;0,Y377+1,0),0)</f>
        <v>0</v>
      </c>
      <c r="AA377" s="156">
        <f>IF(AA$2&lt;=analysis_period,IF(SUM($C727:AA727)&gt;0,Z377+1,0),0)</f>
        <v>0</v>
      </c>
      <c r="AB377" s="156">
        <f>IF(AB$2&lt;=analysis_period,IF(SUM($C727:AB727)&gt;0,AA377+1,0),0)</f>
        <v>0</v>
      </c>
      <c r="AC377" s="156">
        <f>IF(AC$2&lt;=analysis_period,IF(SUM($C727:AC727)&gt;0,AB377+1,0),0)</f>
        <v>0</v>
      </c>
      <c r="AD377" s="156">
        <f>IF(AD$2&lt;=analysis_period,IF(SUM($C727:AD727)&gt;0,AC377+1,0),0)</f>
        <v>0</v>
      </c>
      <c r="AE377" s="156">
        <f>IF(AE$2&lt;=analysis_period,IF(SUM($C727:AE727)&gt;0,AD377+1,0),0)</f>
        <v>0</v>
      </c>
      <c r="AF377" s="156">
        <f>IF(AF$2&lt;=analysis_period,IF(SUM($C727:AF727)&gt;0,AE377+1,0),0)</f>
        <v>0</v>
      </c>
      <c r="AG377" s="156">
        <f>IF(AG$2&lt;=analysis_period,IF(SUM($C727:AG727)&gt;0,AF377+1,0),0)</f>
        <v>0</v>
      </c>
      <c r="AH377" s="156">
        <f>IF(AH$2&lt;=analysis_period,IF(SUM($C727:AH727)&gt;0,AG377+1,0),0)</f>
        <v>0</v>
      </c>
      <c r="AI377" s="156">
        <f>IF(AI$2&lt;=analysis_period,IF(SUM($C727:AI727)&gt;0,AH377+1,0),0)</f>
        <v>0</v>
      </c>
      <c r="AJ377" s="156">
        <f>IF(AJ$2&lt;=analysis_period,IF(SUM($C727:AJ727)&gt;0,AI377+1,0),0)</f>
        <v>0</v>
      </c>
      <c r="AK377" s="156">
        <f>IF(AK$2&lt;=analysis_period,IF(SUM($C727:AK727)&gt;0,AJ377+1,0),0)</f>
        <v>0</v>
      </c>
      <c r="AL377" s="156">
        <f>IF(AL$2&lt;=analysis_period,IF(SUM($C727:AL727)&gt;0,AK377+1,0),0)</f>
        <v>0</v>
      </c>
      <c r="AM377" s="156">
        <f>IF(AM$2&lt;=analysis_period,IF(SUM($C727:AM727)&gt;0,AL377+1,0),0)</f>
        <v>0</v>
      </c>
      <c r="AN377" s="156">
        <f>IF(AN$2&lt;=analysis_period,IF(SUM($C727:AN727)&gt;0,AM377+1,0),0)</f>
        <v>0</v>
      </c>
      <c r="AO377" s="156">
        <f>IF(AO$2&lt;=analysis_period,IF(SUM($C727:AO727)&gt;0,AN377+1,0),0)</f>
        <v>0</v>
      </c>
      <c r="AP377" s="156">
        <f>IF(AP$2&lt;=analysis_period,IF(SUM($C727:AP727)&gt;0,AO377+1,0),0)</f>
        <v>0</v>
      </c>
    </row>
    <row r="378" spans="1:42" x14ac:dyDescent="0.4">
      <c r="A378" s="4">
        <f t="shared" si="150"/>
        <v>4</v>
      </c>
      <c r="B378" s="4">
        <v>0</v>
      </c>
      <c r="C378" s="156">
        <f>IF(C$2&lt;=analysis_period,IF(SUM($C728:C728)&gt;0,B378+1,0),0)</f>
        <v>0</v>
      </c>
      <c r="D378" s="156">
        <f>IF(D$2&lt;=analysis_period,IF(SUM($C728:D728)&gt;0,C378+1,0),0)</f>
        <v>0</v>
      </c>
      <c r="E378" s="156">
        <f>IF(E$2&lt;=analysis_period,IF(SUM($C728:E728)&gt;0,D378+1,0),0)</f>
        <v>0</v>
      </c>
      <c r="F378" s="156">
        <f>IF(F$2&lt;=analysis_period,IF(SUM($C728:F728)&gt;0,E378+1,0),0)</f>
        <v>0</v>
      </c>
      <c r="G378" s="156">
        <f>IF(G$2&lt;=analysis_period,IF(SUM($C728:G728)&gt;0,F378+1,0),0)</f>
        <v>0</v>
      </c>
      <c r="H378" s="156">
        <f>IF(H$2&lt;=analysis_period,IF(SUM($C728:H728)&gt;0,G378+1,0),0)</f>
        <v>0</v>
      </c>
      <c r="I378" s="156">
        <f>IF(I$2&lt;=analysis_period,IF(SUM($C728:I728)&gt;0,H378+1,0),0)</f>
        <v>0</v>
      </c>
      <c r="J378" s="156">
        <f>IF(J$2&lt;=analysis_period,IF(SUM($C728:J728)&gt;0,I378+1,0),0)</f>
        <v>0</v>
      </c>
      <c r="K378" s="156">
        <f>IF(K$2&lt;=analysis_period,IF(SUM($C728:K728)&gt;0,J378+1,0),0)</f>
        <v>0</v>
      </c>
      <c r="L378" s="156">
        <f>IF(L$2&lt;=analysis_period,IF(SUM($C728:L728)&gt;0,K378+1,0),0)</f>
        <v>0</v>
      </c>
      <c r="M378" s="156">
        <f>IF(M$2&lt;=analysis_period,IF(SUM($C728:M728)&gt;0,L378+1,0),0)</f>
        <v>0</v>
      </c>
      <c r="N378" s="156">
        <f>IF(N$2&lt;=analysis_period,IF(SUM($C728:N728)&gt;0,M378+1,0),0)</f>
        <v>0</v>
      </c>
      <c r="O378" s="156">
        <f>IF(O$2&lt;=analysis_period,IF(SUM($C728:O728)&gt;0,N378+1,0),0)</f>
        <v>0</v>
      </c>
      <c r="P378" s="156">
        <f>IF(P$2&lt;=analysis_period,IF(SUM($C728:P728)&gt;0,O378+1,0),0)</f>
        <v>0</v>
      </c>
      <c r="Q378" s="156">
        <f>IF(Q$2&lt;=analysis_period,IF(SUM($C728:Q728)&gt;0,P378+1,0),0)</f>
        <v>0</v>
      </c>
      <c r="R378" s="156">
        <f>IF(R$2&lt;=analysis_period,IF(SUM($C728:R728)&gt;0,Q378+1,0),0)</f>
        <v>0</v>
      </c>
      <c r="S378" s="156">
        <f>IF(S$2&lt;=analysis_period,IF(SUM($C728:S728)&gt;0,R378+1,0),0)</f>
        <v>0</v>
      </c>
      <c r="T378" s="156">
        <f>IF(T$2&lt;=analysis_period,IF(SUM($C728:T728)&gt;0,S378+1,0),0)</f>
        <v>0</v>
      </c>
      <c r="U378" s="156">
        <f>IF(U$2&lt;=analysis_period,IF(SUM($C728:U728)&gt;0,T378+1,0),0)</f>
        <v>0</v>
      </c>
      <c r="V378" s="156">
        <f>IF(V$2&lt;=analysis_period,IF(SUM($C728:V728)&gt;0,U378+1,0),0)</f>
        <v>0</v>
      </c>
      <c r="W378" s="156">
        <f>IF(W$2&lt;=analysis_period,IF(SUM($C728:W728)&gt;0,V378+1,0),0)</f>
        <v>0</v>
      </c>
      <c r="X378" s="156">
        <f>IF(X$2&lt;=analysis_period,IF(SUM($C728:X728)&gt;0,W378+1,0),0)</f>
        <v>0</v>
      </c>
      <c r="Y378" s="156">
        <f>IF(Y$2&lt;=analysis_period,IF(SUM($C728:Y728)&gt;0,X378+1,0),0)</f>
        <v>0</v>
      </c>
      <c r="Z378" s="156">
        <f>IF(Z$2&lt;=analysis_period,IF(SUM($C728:Z728)&gt;0,Y378+1,0),0)</f>
        <v>0</v>
      </c>
      <c r="AA378" s="156">
        <f>IF(AA$2&lt;=analysis_period,IF(SUM($C728:AA728)&gt;0,Z378+1,0),0)</f>
        <v>0</v>
      </c>
      <c r="AB378" s="156">
        <f>IF(AB$2&lt;=analysis_period,IF(SUM($C728:AB728)&gt;0,AA378+1,0),0)</f>
        <v>0</v>
      </c>
      <c r="AC378" s="156">
        <f>IF(AC$2&lt;=analysis_period,IF(SUM($C728:AC728)&gt;0,AB378+1,0),0)</f>
        <v>0</v>
      </c>
      <c r="AD378" s="156">
        <f>IF(AD$2&lt;=analysis_period,IF(SUM($C728:AD728)&gt;0,AC378+1,0),0)</f>
        <v>0</v>
      </c>
      <c r="AE378" s="156">
        <f>IF(AE$2&lt;=analysis_period,IF(SUM($C728:AE728)&gt;0,AD378+1,0),0)</f>
        <v>0</v>
      </c>
      <c r="AF378" s="156">
        <f>IF(AF$2&lt;=analysis_period,IF(SUM($C728:AF728)&gt;0,AE378+1,0),0)</f>
        <v>0</v>
      </c>
      <c r="AG378" s="156">
        <f>IF(AG$2&lt;=analysis_period,IF(SUM($C728:AG728)&gt;0,AF378+1,0),0)</f>
        <v>0</v>
      </c>
      <c r="AH378" s="156">
        <f>IF(AH$2&lt;=analysis_period,IF(SUM($C728:AH728)&gt;0,AG378+1,0),0)</f>
        <v>0</v>
      </c>
      <c r="AI378" s="156">
        <f>IF(AI$2&lt;=analysis_period,IF(SUM($C728:AI728)&gt;0,AH378+1,0),0)</f>
        <v>0</v>
      </c>
      <c r="AJ378" s="156">
        <f>IF(AJ$2&lt;=analysis_period,IF(SUM($C728:AJ728)&gt;0,AI378+1,0),0)</f>
        <v>0</v>
      </c>
      <c r="AK378" s="156">
        <f>IF(AK$2&lt;=analysis_period,IF(SUM($C728:AK728)&gt;0,AJ378+1,0),0)</f>
        <v>0</v>
      </c>
      <c r="AL378" s="156">
        <f>IF(AL$2&lt;=analysis_period,IF(SUM($C728:AL728)&gt;0,AK378+1,0),0)</f>
        <v>0</v>
      </c>
      <c r="AM378" s="156">
        <f>IF(AM$2&lt;=analysis_period,IF(SUM($C728:AM728)&gt;0,AL378+1,0),0)</f>
        <v>0</v>
      </c>
      <c r="AN378" s="156">
        <f>IF(AN$2&lt;=analysis_period,IF(SUM($C728:AN728)&gt;0,AM378+1,0),0)</f>
        <v>0</v>
      </c>
      <c r="AO378" s="156">
        <f>IF(AO$2&lt;=analysis_period,IF(SUM($C728:AO728)&gt;0,AN378+1,0),0)</f>
        <v>0</v>
      </c>
      <c r="AP378" s="156">
        <f>IF(AP$2&lt;=analysis_period,IF(SUM($C728:AP728)&gt;0,AO378+1,0),0)</f>
        <v>0</v>
      </c>
    </row>
    <row r="379" spans="1:42" x14ac:dyDescent="0.4">
      <c r="A379" s="4">
        <f t="shared" si="150"/>
        <v>5</v>
      </c>
      <c r="B379" s="4">
        <v>0</v>
      </c>
      <c r="C379" s="156">
        <f>IF(C$2&lt;=analysis_period,IF(SUM($C729:C729)&gt;0,B379+1,0),0)</f>
        <v>0</v>
      </c>
      <c r="D379" s="156">
        <f>IF(D$2&lt;=analysis_period,IF(SUM($C729:D729)&gt;0,C379+1,0),0)</f>
        <v>0</v>
      </c>
      <c r="E379" s="156">
        <f>IF(E$2&lt;=analysis_period,IF(SUM($C729:E729)&gt;0,D379+1,0),0)</f>
        <v>0</v>
      </c>
      <c r="F379" s="156">
        <f>IF(F$2&lt;=analysis_period,IF(SUM($C729:F729)&gt;0,E379+1,0),0)</f>
        <v>0</v>
      </c>
      <c r="G379" s="156">
        <f>IF(G$2&lt;=analysis_period,IF(SUM($C729:G729)&gt;0,F379+1,0),0)</f>
        <v>0</v>
      </c>
      <c r="H379" s="156">
        <f>IF(H$2&lt;=analysis_period,IF(SUM($C729:H729)&gt;0,G379+1,0),0)</f>
        <v>0</v>
      </c>
      <c r="I379" s="156">
        <f>IF(I$2&lt;=analysis_period,IF(SUM($C729:I729)&gt;0,H379+1,0),0)</f>
        <v>0</v>
      </c>
      <c r="J379" s="156">
        <f>IF(J$2&lt;=analysis_period,IF(SUM($C729:J729)&gt;0,I379+1,0),0)</f>
        <v>0</v>
      </c>
      <c r="K379" s="156">
        <f>IF(K$2&lt;=analysis_period,IF(SUM($C729:K729)&gt;0,J379+1,0),0)</f>
        <v>0</v>
      </c>
      <c r="L379" s="156">
        <f>IF(L$2&lt;=analysis_period,IF(SUM($C729:L729)&gt;0,K379+1,0),0)</f>
        <v>0</v>
      </c>
      <c r="M379" s="156">
        <f>IF(M$2&lt;=analysis_period,IF(SUM($C729:M729)&gt;0,L379+1,0),0)</f>
        <v>0</v>
      </c>
      <c r="N379" s="156">
        <f>IF(N$2&lt;=analysis_period,IF(SUM($C729:N729)&gt;0,M379+1,0),0)</f>
        <v>0</v>
      </c>
      <c r="O379" s="156">
        <f>IF(O$2&lt;=analysis_period,IF(SUM($C729:O729)&gt;0,N379+1,0),0)</f>
        <v>0</v>
      </c>
      <c r="P379" s="156">
        <f>IF(P$2&lt;=analysis_period,IF(SUM($C729:P729)&gt;0,O379+1,0),0)</f>
        <v>0</v>
      </c>
      <c r="Q379" s="156">
        <f>IF(Q$2&lt;=analysis_period,IF(SUM($C729:Q729)&gt;0,P379+1,0),0)</f>
        <v>0</v>
      </c>
      <c r="R379" s="156">
        <f>IF(R$2&lt;=analysis_period,IF(SUM($C729:R729)&gt;0,Q379+1,0),0)</f>
        <v>0</v>
      </c>
      <c r="S379" s="156">
        <f>IF(S$2&lt;=analysis_period,IF(SUM($C729:S729)&gt;0,R379+1,0),0)</f>
        <v>0</v>
      </c>
      <c r="T379" s="156">
        <f>IF(T$2&lt;=analysis_period,IF(SUM($C729:T729)&gt;0,S379+1,0),0)</f>
        <v>0</v>
      </c>
      <c r="U379" s="156">
        <f>IF(U$2&lt;=analysis_period,IF(SUM($C729:U729)&gt;0,T379+1,0),0)</f>
        <v>0</v>
      </c>
      <c r="V379" s="156">
        <f>IF(V$2&lt;=analysis_period,IF(SUM($C729:V729)&gt;0,U379+1,0),0)</f>
        <v>0</v>
      </c>
      <c r="W379" s="156">
        <f>IF(W$2&lt;=analysis_period,IF(SUM($C729:W729)&gt;0,V379+1,0),0)</f>
        <v>0</v>
      </c>
      <c r="X379" s="156">
        <f>IF(X$2&lt;=analysis_period,IF(SUM($C729:X729)&gt;0,W379+1,0),0)</f>
        <v>0</v>
      </c>
      <c r="Y379" s="156">
        <f>IF(Y$2&lt;=analysis_period,IF(SUM($C729:Y729)&gt;0,X379+1,0),0)</f>
        <v>0</v>
      </c>
      <c r="Z379" s="156">
        <f>IF(Z$2&lt;=analysis_period,IF(SUM($C729:Z729)&gt;0,Y379+1,0),0)</f>
        <v>0</v>
      </c>
      <c r="AA379" s="156">
        <f>IF(AA$2&lt;=analysis_period,IF(SUM($C729:AA729)&gt;0,Z379+1,0),0)</f>
        <v>0</v>
      </c>
      <c r="AB379" s="156">
        <f>IF(AB$2&lt;=analysis_period,IF(SUM($C729:AB729)&gt;0,AA379+1,0),0)</f>
        <v>0</v>
      </c>
      <c r="AC379" s="156">
        <f>IF(AC$2&lt;=analysis_period,IF(SUM($C729:AC729)&gt;0,AB379+1,0),0)</f>
        <v>0</v>
      </c>
      <c r="AD379" s="156">
        <f>IF(AD$2&lt;=analysis_period,IF(SUM($C729:AD729)&gt;0,AC379+1,0),0)</f>
        <v>0</v>
      </c>
      <c r="AE379" s="156">
        <f>IF(AE$2&lt;=analysis_period,IF(SUM($C729:AE729)&gt;0,AD379+1,0),0)</f>
        <v>0</v>
      </c>
      <c r="AF379" s="156">
        <f>IF(AF$2&lt;=analysis_period,IF(SUM($C729:AF729)&gt;0,AE379+1,0),0)</f>
        <v>0</v>
      </c>
      <c r="AG379" s="156">
        <f>IF(AG$2&lt;=analysis_period,IF(SUM($C729:AG729)&gt;0,AF379+1,0),0)</f>
        <v>0</v>
      </c>
      <c r="AH379" s="156">
        <f>IF(AH$2&lt;=analysis_period,IF(SUM($C729:AH729)&gt;0,AG379+1,0),0)</f>
        <v>0</v>
      </c>
      <c r="AI379" s="156">
        <f>IF(AI$2&lt;=analysis_period,IF(SUM($C729:AI729)&gt;0,AH379+1,0),0)</f>
        <v>0</v>
      </c>
      <c r="AJ379" s="156">
        <f>IF(AJ$2&lt;=analysis_period,IF(SUM($C729:AJ729)&gt;0,AI379+1,0),0)</f>
        <v>0</v>
      </c>
      <c r="AK379" s="156">
        <f>IF(AK$2&lt;=analysis_period,IF(SUM($C729:AK729)&gt;0,AJ379+1,0),0)</f>
        <v>0</v>
      </c>
      <c r="AL379" s="156">
        <f>IF(AL$2&lt;=analysis_period,IF(SUM($C729:AL729)&gt;0,AK379+1,0),0)</f>
        <v>0</v>
      </c>
      <c r="AM379" s="156">
        <f>IF(AM$2&lt;=analysis_period,IF(SUM($C729:AM729)&gt;0,AL379+1,0),0)</f>
        <v>0</v>
      </c>
      <c r="AN379" s="156">
        <f>IF(AN$2&lt;=analysis_period,IF(SUM($C729:AN729)&gt;0,AM379+1,0),0)</f>
        <v>0</v>
      </c>
      <c r="AO379" s="156">
        <f>IF(AO$2&lt;=analysis_period,IF(SUM($C729:AO729)&gt;0,AN379+1,0),0)</f>
        <v>0</v>
      </c>
      <c r="AP379" s="156">
        <f>IF(AP$2&lt;=analysis_period,IF(SUM($C729:AP729)&gt;0,AO379+1,0),0)</f>
        <v>0</v>
      </c>
    </row>
    <row r="380" spans="1:42" x14ac:dyDescent="0.4">
      <c r="A380" s="4">
        <f t="shared" si="150"/>
        <v>6</v>
      </c>
      <c r="B380" s="4">
        <v>0</v>
      </c>
      <c r="C380" s="156">
        <f>IF(C$2&lt;=analysis_period,IF(SUM($C730:C730)&gt;0,B380+1,0),0)</f>
        <v>0</v>
      </c>
      <c r="D380" s="156">
        <f>IF(D$2&lt;=analysis_period,IF(SUM($C730:D730)&gt;0,C380+1,0),0)</f>
        <v>0</v>
      </c>
      <c r="E380" s="156">
        <f>IF(E$2&lt;=analysis_period,IF(SUM($C730:E730)&gt;0,D380+1,0),0)</f>
        <v>0</v>
      </c>
      <c r="F380" s="156">
        <f>IF(F$2&lt;=analysis_period,IF(SUM($C730:F730)&gt;0,E380+1,0),0)</f>
        <v>0</v>
      </c>
      <c r="G380" s="156">
        <f>IF(G$2&lt;=analysis_period,IF(SUM($C730:G730)&gt;0,F380+1,0),0)</f>
        <v>0</v>
      </c>
      <c r="H380" s="156">
        <f>IF(H$2&lt;=analysis_period,IF(SUM($C730:H730)&gt;0,G380+1,0),0)</f>
        <v>0</v>
      </c>
      <c r="I380" s="156">
        <f>IF(I$2&lt;=analysis_period,IF(SUM($C730:I730)&gt;0,H380+1,0),0)</f>
        <v>0</v>
      </c>
      <c r="J380" s="156">
        <f>IF(J$2&lt;=analysis_period,IF(SUM($C730:J730)&gt;0,I380+1,0),0)</f>
        <v>0</v>
      </c>
      <c r="K380" s="156">
        <f>IF(K$2&lt;=analysis_period,IF(SUM($C730:K730)&gt;0,J380+1,0),0)</f>
        <v>0</v>
      </c>
      <c r="L380" s="156">
        <f>IF(L$2&lt;=analysis_period,IF(SUM($C730:L730)&gt;0,K380+1,0),0)</f>
        <v>0</v>
      </c>
      <c r="M380" s="156">
        <f>IF(M$2&lt;=analysis_period,IF(SUM($C730:M730)&gt;0,L380+1,0),0)</f>
        <v>0</v>
      </c>
      <c r="N380" s="156">
        <f>IF(N$2&lt;=analysis_period,IF(SUM($C730:N730)&gt;0,M380+1,0),0)</f>
        <v>0</v>
      </c>
      <c r="O380" s="156">
        <f>IF(O$2&lt;=analysis_period,IF(SUM($C730:O730)&gt;0,N380+1,0),0)</f>
        <v>0</v>
      </c>
      <c r="P380" s="156">
        <f>IF(P$2&lt;=analysis_period,IF(SUM($C730:P730)&gt;0,O380+1,0),0)</f>
        <v>0</v>
      </c>
      <c r="Q380" s="156">
        <f>IF(Q$2&lt;=analysis_period,IF(SUM($C730:Q730)&gt;0,P380+1,0),0)</f>
        <v>0</v>
      </c>
      <c r="R380" s="156">
        <f>IF(R$2&lt;=analysis_period,IF(SUM($C730:R730)&gt;0,Q380+1,0),0)</f>
        <v>0</v>
      </c>
      <c r="S380" s="156">
        <f>IF(S$2&lt;=analysis_period,IF(SUM($C730:S730)&gt;0,R380+1,0),0)</f>
        <v>0</v>
      </c>
      <c r="T380" s="156">
        <f>IF(T$2&lt;=analysis_period,IF(SUM($C730:T730)&gt;0,S380+1,0),0)</f>
        <v>0</v>
      </c>
      <c r="U380" s="156">
        <f>IF(U$2&lt;=analysis_period,IF(SUM($C730:U730)&gt;0,T380+1,0),0)</f>
        <v>0</v>
      </c>
      <c r="V380" s="156">
        <f>IF(V$2&lt;=analysis_period,IF(SUM($C730:V730)&gt;0,U380+1,0),0)</f>
        <v>0</v>
      </c>
      <c r="W380" s="156">
        <f>IF(W$2&lt;=analysis_period,IF(SUM($C730:W730)&gt;0,V380+1,0),0)</f>
        <v>0</v>
      </c>
      <c r="X380" s="156">
        <f>IF(X$2&lt;=analysis_period,IF(SUM($C730:X730)&gt;0,W380+1,0),0)</f>
        <v>0</v>
      </c>
      <c r="Y380" s="156">
        <f>IF(Y$2&lt;=analysis_period,IF(SUM($C730:Y730)&gt;0,X380+1,0),0)</f>
        <v>0</v>
      </c>
      <c r="Z380" s="156">
        <f>IF(Z$2&lt;=analysis_period,IF(SUM($C730:Z730)&gt;0,Y380+1,0),0)</f>
        <v>0</v>
      </c>
      <c r="AA380" s="156">
        <f>IF(AA$2&lt;=analysis_period,IF(SUM($C730:AA730)&gt;0,Z380+1,0),0)</f>
        <v>0</v>
      </c>
      <c r="AB380" s="156">
        <f>IF(AB$2&lt;=analysis_period,IF(SUM($C730:AB730)&gt;0,AA380+1,0),0)</f>
        <v>0</v>
      </c>
      <c r="AC380" s="156">
        <f>IF(AC$2&lt;=analysis_period,IF(SUM($C730:AC730)&gt;0,AB380+1,0),0)</f>
        <v>0</v>
      </c>
      <c r="AD380" s="156">
        <f>IF(AD$2&lt;=analysis_period,IF(SUM($C730:AD730)&gt;0,AC380+1,0),0)</f>
        <v>0</v>
      </c>
      <c r="AE380" s="156">
        <f>IF(AE$2&lt;=analysis_period,IF(SUM($C730:AE730)&gt;0,AD380+1,0),0)</f>
        <v>0</v>
      </c>
      <c r="AF380" s="156">
        <f>IF(AF$2&lt;=analysis_period,IF(SUM($C730:AF730)&gt;0,AE380+1,0),0)</f>
        <v>0</v>
      </c>
      <c r="AG380" s="156">
        <f>IF(AG$2&lt;=analysis_period,IF(SUM($C730:AG730)&gt;0,AF380+1,0),0)</f>
        <v>0</v>
      </c>
      <c r="AH380" s="156">
        <f>IF(AH$2&lt;=analysis_period,IF(SUM($C730:AH730)&gt;0,AG380+1,0),0)</f>
        <v>0</v>
      </c>
      <c r="AI380" s="156">
        <f>IF(AI$2&lt;=analysis_period,IF(SUM($C730:AI730)&gt;0,AH380+1,0),0)</f>
        <v>0</v>
      </c>
      <c r="AJ380" s="156">
        <f>IF(AJ$2&lt;=analysis_period,IF(SUM($C730:AJ730)&gt;0,AI380+1,0),0)</f>
        <v>0</v>
      </c>
      <c r="AK380" s="156">
        <f>IF(AK$2&lt;=analysis_period,IF(SUM($C730:AK730)&gt;0,AJ380+1,0),0)</f>
        <v>0</v>
      </c>
      <c r="AL380" s="156">
        <f>IF(AL$2&lt;=analysis_period,IF(SUM($C730:AL730)&gt;0,AK380+1,0),0)</f>
        <v>0</v>
      </c>
      <c r="AM380" s="156">
        <f>IF(AM$2&lt;=analysis_period,IF(SUM($C730:AM730)&gt;0,AL380+1,0),0)</f>
        <v>0</v>
      </c>
      <c r="AN380" s="156">
        <f>IF(AN$2&lt;=analysis_period,IF(SUM($C730:AN730)&gt;0,AM380+1,0),0)</f>
        <v>0</v>
      </c>
      <c r="AO380" s="156">
        <f>IF(AO$2&lt;=analysis_period,IF(SUM($C730:AO730)&gt;0,AN380+1,0),0)</f>
        <v>0</v>
      </c>
      <c r="AP380" s="156">
        <f>IF(AP$2&lt;=analysis_period,IF(SUM($C730:AP730)&gt;0,AO380+1,0),0)</f>
        <v>0</v>
      </c>
    </row>
    <row r="381" spans="1:42" x14ac:dyDescent="0.4">
      <c r="A381" s="4">
        <f t="shared" si="150"/>
        <v>7</v>
      </c>
      <c r="B381" s="4">
        <v>0</v>
      </c>
      <c r="C381" s="156">
        <f>IF(C$2&lt;=analysis_period,IF(SUM($C731:C731)&gt;0,B381+1,0),0)</f>
        <v>0</v>
      </c>
      <c r="D381" s="156">
        <f>IF(D$2&lt;=analysis_period,IF(SUM($C731:D731)&gt;0,C381+1,0),0)</f>
        <v>0</v>
      </c>
      <c r="E381" s="156">
        <f>IF(E$2&lt;=analysis_period,IF(SUM($C731:E731)&gt;0,D381+1,0),0)</f>
        <v>0</v>
      </c>
      <c r="F381" s="156">
        <f>IF(F$2&lt;=analysis_period,IF(SUM($C731:F731)&gt;0,E381+1,0),0)</f>
        <v>0</v>
      </c>
      <c r="G381" s="156">
        <f>IF(G$2&lt;=analysis_period,IF(SUM($C731:G731)&gt;0,F381+1,0),0)</f>
        <v>0</v>
      </c>
      <c r="H381" s="156">
        <f>IF(H$2&lt;=analysis_period,IF(SUM($C731:H731)&gt;0,G381+1,0),0)</f>
        <v>0</v>
      </c>
      <c r="I381" s="156">
        <f>IF(I$2&lt;=analysis_period,IF(SUM($C731:I731)&gt;0,H381+1,0),0)</f>
        <v>0</v>
      </c>
      <c r="J381" s="156">
        <f>IF(J$2&lt;=analysis_period,IF(SUM($C731:J731)&gt;0,I381+1,0),0)</f>
        <v>0</v>
      </c>
      <c r="K381" s="156">
        <f>IF(K$2&lt;=analysis_period,IF(SUM($C731:K731)&gt;0,J381+1,0),0)</f>
        <v>0</v>
      </c>
      <c r="L381" s="156">
        <f>IF(L$2&lt;=analysis_period,IF(SUM($C731:L731)&gt;0,K381+1,0),0)</f>
        <v>0</v>
      </c>
      <c r="M381" s="156">
        <f>IF(M$2&lt;=analysis_period,IF(SUM($C731:M731)&gt;0,L381+1,0),0)</f>
        <v>0</v>
      </c>
      <c r="N381" s="156">
        <f>IF(N$2&lt;=analysis_period,IF(SUM($C731:N731)&gt;0,M381+1,0),0)</f>
        <v>0</v>
      </c>
      <c r="O381" s="156">
        <f>IF(O$2&lt;=analysis_period,IF(SUM($C731:O731)&gt;0,N381+1,0),0)</f>
        <v>0</v>
      </c>
      <c r="P381" s="156">
        <f>IF(P$2&lt;=analysis_period,IF(SUM($C731:P731)&gt;0,O381+1,0),0)</f>
        <v>0</v>
      </c>
      <c r="Q381" s="156">
        <f>IF(Q$2&lt;=analysis_period,IF(SUM($C731:Q731)&gt;0,P381+1,0),0)</f>
        <v>0</v>
      </c>
      <c r="R381" s="156">
        <f>IF(R$2&lt;=analysis_period,IF(SUM($C731:R731)&gt;0,Q381+1,0),0)</f>
        <v>0</v>
      </c>
      <c r="S381" s="156">
        <f>IF(S$2&lt;=analysis_period,IF(SUM($C731:S731)&gt;0,R381+1,0),0)</f>
        <v>0</v>
      </c>
      <c r="T381" s="156">
        <f>IF(T$2&lt;=analysis_period,IF(SUM($C731:T731)&gt;0,S381+1,0),0)</f>
        <v>0</v>
      </c>
      <c r="U381" s="156">
        <f>IF(U$2&lt;=analysis_period,IF(SUM($C731:U731)&gt;0,T381+1,0),0)</f>
        <v>0</v>
      </c>
      <c r="V381" s="156">
        <f>IF(V$2&lt;=analysis_period,IF(SUM($C731:V731)&gt;0,U381+1,0),0)</f>
        <v>0</v>
      </c>
      <c r="W381" s="156">
        <f>IF(W$2&lt;=analysis_period,IF(SUM($C731:W731)&gt;0,V381+1,0),0)</f>
        <v>0</v>
      </c>
      <c r="X381" s="156">
        <f>IF(X$2&lt;=analysis_period,IF(SUM($C731:X731)&gt;0,W381+1,0),0)</f>
        <v>0</v>
      </c>
      <c r="Y381" s="156">
        <f>IF(Y$2&lt;=analysis_period,IF(SUM($C731:Y731)&gt;0,X381+1,0),0)</f>
        <v>0</v>
      </c>
      <c r="Z381" s="156">
        <f>IF(Z$2&lt;=analysis_period,IF(SUM($C731:Z731)&gt;0,Y381+1,0),0)</f>
        <v>0</v>
      </c>
      <c r="AA381" s="156">
        <f>IF(AA$2&lt;=analysis_period,IF(SUM($C731:AA731)&gt;0,Z381+1,0),0)</f>
        <v>0</v>
      </c>
      <c r="AB381" s="156">
        <f>IF(AB$2&lt;=analysis_period,IF(SUM($C731:AB731)&gt;0,AA381+1,0),0)</f>
        <v>0</v>
      </c>
      <c r="AC381" s="156">
        <f>IF(AC$2&lt;=analysis_period,IF(SUM($C731:AC731)&gt;0,AB381+1,0),0)</f>
        <v>0</v>
      </c>
      <c r="AD381" s="156">
        <f>IF(AD$2&lt;=analysis_period,IF(SUM($C731:AD731)&gt;0,AC381+1,0),0)</f>
        <v>0</v>
      </c>
      <c r="AE381" s="156">
        <f>IF(AE$2&lt;=analysis_period,IF(SUM($C731:AE731)&gt;0,AD381+1,0),0)</f>
        <v>0</v>
      </c>
      <c r="AF381" s="156">
        <f>IF(AF$2&lt;=analysis_period,IF(SUM($C731:AF731)&gt;0,AE381+1,0),0)</f>
        <v>0</v>
      </c>
      <c r="AG381" s="156">
        <f>IF(AG$2&lt;=analysis_period,IF(SUM($C731:AG731)&gt;0,AF381+1,0),0)</f>
        <v>0</v>
      </c>
      <c r="AH381" s="156">
        <f>IF(AH$2&lt;=analysis_period,IF(SUM($C731:AH731)&gt;0,AG381+1,0),0)</f>
        <v>0</v>
      </c>
      <c r="AI381" s="156">
        <f>IF(AI$2&lt;=analysis_period,IF(SUM($C731:AI731)&gt;0,AH381+1,0),0)</f>
        <v>0</v>
      </c>
      <c r="AJ381" s="156">
        <f>IF(AJ$2&lt;=analysis_period,IF(SUM($C731:AJ731)&gt;0,AI381+1,0),0)</f>
        <v>0</v>
      </c>
      <c r="AK381" s="156">
        <f>IF(AK$2&lt;=analysis_period,IF(SUM($C731:AK731)&gt;0,AJ381+1,0),0)</f>
        <v>0</v>
      </c>
      <c r="AL381" s="156">
        <f>IF(AL$2&lt;=analysis_period,IF(SUM($C731:AL731)&gt;0,AK381+1,0),0)</f>
        <v>0</v>
      </c>
      <c r="AM381" s="156">
        <f>IF(AM$2&lt;=analysis_period,IF(SUM($C731:AM731)&gt;0,AL381+1,0),0)</f>
        <v>0</v>
      </c>
      <c r="AN381" s="156">
        <f>IF(AN$2&lt;=analysis_period,IF(SUM($C731:AN731)&gt;0,AM381+1,0),0)</f>
        <v>0</v>
      </c>
      <c r="AO381" s="156">
        <f>IF(AO$2&lt;=analysis_period,IF(SUM($C731:AO731)&gt;0,AN381+1,0),0)</f>
        <v>0</v>
      </c>
      <c r="AP381" s="156">
        <f>IF(AP$2&lt;=analysis_period,IF(SUM($C731:AP731)&gt;0,AO381+1,0),0)</f>
        <v>0</v>
      </c>
    </row>
    <row r="382" spans="1:42" x14ac:dyDescent="0.4">
      <c r="A382" s="4">
        <f t="shared" si="150"/>
        <v>8</v>
      </c>
      <c r="B382" s="4">
        <v>0</v>
      </c>
      <c r="C382" s="156">
        <f>IF(C$2&lt;=analysis_period,IF(SUM($C732:C732)&gt;0,B382+1,0),0)</f>
        <v>0</v>
      </c>
      <c r="D382" s="156">
        <f>IF(D$2&lt;=analysis_period,IF(SUM($C732:D732)&gt;0,C382+1,0),0)</f>
        <v>0</v>
      </c>
      <c r="E382" s="156">
        <f>IF(E$2&lt;=analysis_period,IF(SUM($C732:E732)&gt;0,D382+1,0),0)</f>
        <v>0</v>
      </c>
      <c r="F382" s="156">
        <f>IF(F$2&lt;=analysis_period,IF(SUM($C732:F732)&gt;0,E382+1,0),0)</f>
        <v>0</v>
      </c>
      <c r="G382" s="156">
        <f>IF(G$2&lt;=analysis_period,IF(SUM($C732:G732)&gt;0,F382+1,0),0)</f>
        <v>0</v>
      </c>
      <c r="H382" s="156">
        <f>IF(H$2&lt;=analysis_period,IF(SUM($C732:H732)&gt;0,G382+1,0),0)</f>
        <v>0</v>
      </c>
      <c r="I382" s="156">
        <f>IF(I$2&lt;=analysis_period,IF(SUM($C732:I732)&gt;0,H382+1,0),0)</f>
        <v>0</v>
      </c>
      <c r="J382" s="156">
        <f>IF(J$2&lt;=analysis_period,IF(SUM($C732:J732)&gt;0,I382+1,0),0)</f>
        <v>0</v>
      </c>
      <c r="K382" s="156">
        <f>IF(K$2&lt;=analysis_period,IF(SUM($C732:K732)&gt;0,J382+1,0),0)</f>
        <v>0</v>
      </c>
      <c r="L382" s="156">
        <f>IF(L$2&lt;=analysis_period,IF(SUM($C732:L732)&gt;0,K382+1,0),0)</f>
        <v>0</v>
      </c>
      <c r="M382" s="156">
        <f>IF(M$2&lt;=analysis_period,IF(SUM($C732:M732)&gt;0,L382+1,0),0)</f>
        <v>0</v>
      </c>
      <c r="N382" s="156">
        <f>IF(N$2&lt;=analysis_period,IF(SUM($C732:N732)&gt;0,M382+1,0),0)</f>
        <v>0</v>
      </c>
      <c r="O382" s="156">
        <f>IF(O$2&lt;=analysis_period,IF(SUM($C732:O732)&gt;0,N382+1,0),0)</f>
        <v>0</v>
      </c>
      <c r="P382" s="156">
        <f>IF(P$2&lt;=analysis_period,IF(SUM($C732:P732)&gt;0,O382+1,0),0)</f>
        <v>0</v>
      </c>
      <c r="Q382" s="156">
        <f>IF(Q$2&lt;=analysis_period,IF(SUM($C732:Q732)&gt;0,P382+1,0),0)</f>
        <v>0</v>
      </c>
      <c r="R382" s="156">
        <f>IF(R$2&lt;=analysis_period,IF(SUM($C732:R732)&gt;0,Q382+1,0),0)</f>
        <v>0</v>
      </c>
      <c r="S382" s="156">
        <f>IF(S$2&lt;=analysis_period,IF(SUM($C732:S732)&gt;0,R382+1,0),0)</f>
        <v>0</v>
      </c>
      <c r="T382" s="156">
        <f>IF(T$2&lt;=analysis_period,IF(SUM($C732:T732)&gt;0,S382+1,0),0)</f>
        <v>0</v>
      </c>
      <c r="U382" s="156">
        <f>IF(U$2&lt;=analysis_period,IF(SUM($C732:U732)&gt;0,T382+1,0),0)</f>
        <v>0</v>
      </c>
      <c r="V382" s="156">
        <f>IF(V$2&lt;=analysis_period,IF(SUM($C732:V732)&gt;0,U382+1,0),0)</f>
        <v>0</v>
      </c>
      <c r="W382" s="156">
        <f>IF(W$2&lt;=analysis_period,IF(SUM($C732:W732)&gt;0,V382+1,0),0)</f>
        <v>0</v>
      </c>
      <c r="X382" s="156">
        <f>IF(X$2&lt;=analysis_period,IF(SUM($C732:X732)&gt;0,W382+1,0),0)</f>
        <v>0</v>
      </c>
      <c r="Y382" s="156">
        <f>IF(Y$2&lt;=analysis_period,IF(SUM($C732:Y732)&gt;0,X382+1,0),0)</f>
        <v>0</v>
      </c>
      <c r="Z382" s="156">
        <f>IF(Z$2&lt;=analysis_period,IF(SUM($C732:Z732)&gt;0,Y382+1,0),0)</f>
        <v>0</v>
      </c>
      <c r="AA382" s="156">
        <f>IF(AA$2&lt;=analysis_period,IF(SUM($C732:AA732)&gt;0,Z382+1,0),0)</f>
        <v>0</v>
      </c>
      <c r="AB382" s="156">
        <f>IF(AB$2&lt;=analysis_period,IF(SUM($C732:AB732)&gt;0,AA382+1,0),0)</f>
        <v>0</v>
      </c>
      <c r="AC382" s="156">
        <f>IF(AC$2&lt;=analysis_period,IF(SUM($C732:AC732)&gt;0,AB382+1,0),0)</f>
        <v>0</v>
      </c>
      <c r="AD382" s="156">
        <f>IF(AD$2&lt;=analysis_period,IF(SUM($C732:AD732)&gt;0,AC382+1,0),0)</f>
        <v>0</v>
      </c>
      <c r="AE382" s="156">
        <f>IF(AE$2&lt;=analysis_period,IF(SUM($C732:AE732)&gt;0,AD382+1,0),0)</f>
        <v>0</v>
      </c>
      <c r="AF382" s="156">
        <f>IF(AF$2&lt;=analysis_period,IF(SUM($C732:AF732)&gt;0,AE382+1,0),0)</f>
        <v>0</v>
      </c>
      <c r="AG382" s="156">
        <f>IF(AG$2&lt;=analysis_period,IF(SUM($C732:AG732)&gt;0,AF382+1,0),0)</f>
        <v>0</v>
      </c>
      <c r="AH382" s="156">
        <f>IF(AH$2&lt;=analysis_period,IF(SUM($C732:AH732)&gt;0,AG382+1,0),0)</f>
        <v>0</v>
      </c>
      <c r="AI382" s="156">
        <f>IF(AI$2&lt;=analysis_period,IF(SUM($C732:AI732)&gt;0,AH382+1,0),0)</f>
        <v>0</v>
      </c>
      <c r="AJ382" s="156">
        <f>IF(AJ$2&lt;=analysis_period,IF(SUM($C732:AJ732)&gt;0,AI382+1,0),0)</f>
        <v>0</v>
      </c>
      <c r="AK382" s="156">
        <f>IF(AK$2&lt;=analysis_period,IF(SUM($C732:AK732)&gt;0,AJ382+1,0),0)</f>
        <v>0</v>
      </c>
      <c r="AL382" s="156">
        <f>IF(AL$2&lt;=analysis_period,IF(SUM($C732:AL732)&gt;0,AK382+1,0),0)</f>
        <v>0</v>
      </c>
      <c r="AM382" s="156">
        <f>IF(AM$2&lt;=analysis_period,IF(SUM($C732:AM732)&gt;0,AL382+1,0),0)</f>
        <v>0</v>
      </c>
      <c r="AN382" s="156">
        <f>IF(AN$2&lt;=analysis_period,IF(SUM($C732:AN732)&gt;0,AM382+1,0),0)</f>
        <v>0</v>
      </c>
      <c r="AO382" s="156">
        <f>IF(AO$2&lt;=analysis_period,IF(SUM($C732:AO732)&gt;0,AN382+1,0),0)</f>
        <v>0</v>
      </c>
      <c r="AP382" s="156">
        <f>IF(AP$2&lt;=analysis_period,IF(SUM($C732:AP732)&gt;0,AO382+1,0),0)</f>
        <v>0</v>
      </c>
    </row>
    <row r="383" spans="1:42" x14ac:dyDescent="0.4">
      <c r="A383" s="4">
        <f>A382+1</f>
        <v>9</v>
      </c>
      <c r="B383" s="4">
        <v>0</v>
      </c>
      <c r="C383" s="156">
        <f>IF(C$2&lt;=analysis_period,IF(SUM($C733:C733)&gt;0,B383+1,0),0)</f>
        <v>0</v>
      </c>
      <c r="D383" s="156">
        <f>IF(D$2&lt;=analysis_period,IF(SUM($C733:D733)&gt;0,C383+1,0),0)</f>
        <v>0</v>
      </c>
      <c r="E383" s="156">
        <f>IF(E$2&lt;=analysis_period,IF(SUM($C733:E733)&gt;0,D383+1,0),0)</f>
        <v>0</v>
      </c>
      <c r="F383" s="156">
        <f>IF(F$2&lt;=analysis_period,IF(SUM($C733:F733)&gt;0,E383+1,0),0)</f>
        <v>0</v>
      </c>
      <c r="G383" s="156">
        <f>IF(G$2&lt;=analysis_period,IF(SUM($C733:G733)&gt;0,F383+1,0),0)</f>
        <v>0</v>
      </c>
      <c r="H383" s="156">
        <f>IF(H$2&lt;=analysis_period,IF(SUM($C733:H733)&gt;0,G383+1,0),0)</f>
        <v>0</v>
      </c>
      <c r="I383" s="156">
        <f>IF(I$2&lt;=analysis_period,IF(SUM($C733:I733)&gt;0,H383+1,0),0)</f>
        <v>0</v>
      </c>
      <c r="J383" s="156">
        <f>IF(J$2&lt;=analysis_period,IF(SUM($C733:J733)&gt;0,I383+1,0),0)</f>
        <v>0</v>
      </c>
      <c r="K383" s="156">
        <f>IF(K$2&lt;=analysis_period,IF(SUM($C733:K733)&gt;0,J383+1,0),0)</f>
        <v>0</v>
      </c>
      <c r="L383" s="156">
        <f>IF(L$2&lt;=analysis_period,IF(SUM($C733:L733)&gt;0,K383+1,0),0)</f>
        <v>0</v>
      </c>
      <c r="M383" s="156">
        <f>IF(M$2&lt;=analysis_period,IF(SUM($C733:M733)&gt;0,L383+1,0),0)</f>
        <v>0</v>
      </c>
      <c r="N383" s="156">
        <f>IF(N$2&lt;=analysis_period,IF(SUM($C733:N733)&gt;0,M383+1,0),0)</f>
        <v>0</v>
      </c>
      <c r="O383" s="156">
        <f>IF(O$2&lt;=analysis_period,IF(SUM($C733:O733)&gt;0,N383+1,0),0)</f>
        <v>0</v>
      </c>
      <c r="P383" s="156">
        <f>IF(P$2&lt;=analysis_period,IF(SUM($C733:P733)&gt;0,O383+1,0),0)</f>
        <v>0</v>
      </c>
      <c r="Q383" s="156">
        <f>IF(Q$2&lt;=analysis_period,IF(SUM($C733:Q733)&gt;0,P383+1,0),0)</f>
        <v>0</v>
      </c>
      <c r="R383" s="156">
        <f>IF(R$2&lt;=analysis_period,IF(SUM($C733:R733)&gt;0,Q383+1,0),0)</f>
        <v>0</v>
      </c>
      <c r="S383" s="156">
        <f>IF(S$2&lt;=analysis_period,IF(SUM($C733:S733)&gt;0,R383+1,0),0)</f>
        <v>0</v>
      </c>
      <c r="T383" s="156">
        <f>IF(T$2&lt;=analysis_period,IF(SUM($C733:T733)&gt;0,S383+1,0),0)</f>
        <v>0</v>
      </c>
      <c r="U383" s="156">
        <f>IF(U$2&lt;=analysis_period,IF(SUM($C733:U733)&gt;0,T383+1,0),0)</f>
        <v>0</v>
      </c>
      <c r="V383" s="156">
        <f>IF(V$2&lt;=analysis_period,IF(SUM($C733:V733)&gt;0,U383+1,0),0)</f>
        <v>0</v>
      </c>
      <c r="W383" s="156">
        <f>IF(W$2&lt;=analysis_period,IF(SUM($C733:W733)&gt;0,V383+1,0),0)</f>
        <v>0</v>
      </c>
      <c r="X383" s="156">
        <f>IF(X$2&lt;=analysis_period,IF(SUM($C733:X733)&gt;0,W383+1,0),0)</f>
        <v>0</v>
      </c>
      <c r="Y383" s="156">
        <f>IF(Y$2&lt;=analysis_period,IF(SUM($C733:Y733)&gt;0,X383+1,0),0)</f>
        <v>0</v>
      </c>
      <c r="Z383" s="156">
        <f>IF(Z$2&lt;=analysis_period,IF(SUM($C733:Z733)&gt;0,Y383+1,0),0)</f>
        <v>0</v>
      </c>
      <c r="AA383" s="156">
        <f>IF(AA$2&lt;=analysis_period,IF(SUM($C733:AA733)&gt;0,Z383+1,0),0)</f>
        <v>0</v>
      </c>
      <c r="AB383" s="156">
        <f>IF(AB$2&lt;=analysis_period,IF(SUM($C733:AB733)&gt;0,AA383+1,0),0)</f>
        <v>0</v>
      </c>
      <c r="AC383" s="156">
        <f>IF(AC$2&lt;=analysis_period,IF(SUM($C733:AC733)&gt;0,AB383+1,0),0)</f>
        <v>0</v>
      </c>
      <c r="AD383" s="156">
        <f>IF(AD$2&lt;=analysis_period,IF(SUM($C733:AD733)&gt;0,AC383+1,0),0)</f>
        <v>0</v>
      </c>
      <c r="AE383" s="156">
        <f>IF(AE$2&lt;=analysis_period,IF(SUM($C733:AE733)&gt;0,AD383+1,0),0)</f>
        <v>0</v>
      </c>
      <c r="AF383" s="156">
        <f>IF(AF$2&lt;=analysis_period,IF(SUM($C733:AF733)&gt;0,AE383+1,0),0)</f>
        <v>0</v>
      </c>
      <c r="AG383" s="156">
        <f>IF(AG$2&lt;=analysis_period,IF(SUM($C733:AG733)&gt;0,AF383+1,0),0)</f>
        <v>0</v>
      </c>
      <c r="AH383" s="156">
        <f>IF(AH$2&lt;=analysis_period,IF(SUM($C733:AH733)&gt;0,AG383+1,0),0)</f>
        <v>0</v>
      </c>
      <c r="AI383" s="156">
        <f>IF(AI$2&lt;=analysis_period,IF(SUM($C733:AI733)&gt;0,AH383+1,0),0)</f>
        <v>0</v>
      </c>
      <c r="AJ383" s="156">
        <f>IF(AJ$2&lt;=analysis_period,IF(SUM($C733:AJ733)&gt;0,AI383+1,0),0)</f>
        <v>0</v>
      </c>
      <c r="AK383" s="156">
        <f>IF(AK$2&lt;=analysis_period,IF(SUM($C733:AK733)&gt;0,AJ383+1,0),0)</f>
        <v>0</v>
      </c>
      <c r="AL383" s="156">
        <f>IF(AL$2&lt;=analysis_period,IF(SUM($C733:AL733)&gt;0,AK383+1,0),0)</f>
        <v>0</v>
      </c>
      <c r="AM383" s="156">
        <f>IF(AM$2&lt;=analysis_period,IF(SUM($C733:AM733)&gt;0,AL383+1,0),0)</f>
        <v>0</v>
      </c>
      <c r="AN383" s="156">
        <f>IF(AN$2&lt;=analysis_period,IF(SUM($C733:AN733)&gt;0,AM383+1,0),0)</f>
        <v>0</v>
      </c>
      <c r="AO383" s="156">
        <f>IF(AO$2&lt;=analysis_period,IF(SUM($C733:AO733)&gt;0,AN383+1,0),0)</f>
        <v>0</v>
      </c>
      <c r="AP383" s="156">
        <f>IF(AP$2&lt;=analysis_period,IF(SUM($C733:AP733)&gt;0,AO383+1,0),0)</f>
        <v>0</v>
      </c>
    </row>
    <row r="384" spans="1:42" x14ac:dyDescent="0.4">
      <c r="A384" s="4">
        <f t="shared" si="150"/>
        <v>10</v>
      </c>
      <c r="B384" s="4">
        <v>0</v>
      </c>
      <c r="C384" s="156">
        <f>IF(C$2&lt;=analysis_period,IF(SUM($C734:C734)&gt;0,B384+1,0),0)</f>
        <v>0</v>
      </c>
      <c r="D384" s="156">
        <f>IF(D$2&lt;=analysis_period,IF(SUM($C734:D734)&gt;0,C384+1,0),0)</f>
        <v>0</v>
      </c>
      <c r="E384" s="156">
        <f>IF(E$2&lt;=analysis_period,IF(SUM($C734:E734)&gt;0,D384+1,0),0)</f>
        <v>0</v>
      </c>
      <c r="F384" s="156">
        <f>IF(F$2&lt;=analysis_period,IF(SUM($C734:F734)&gt;0,E384+1,0),0)</f>
        <v>0</v>
      </c>
      <c r="G384" s="156">
        <f>IF(G$2&lt;=analysis_period,IF(SUM($C734:G734)&gt;0,F384+1,0),0)</f>
        <v>0</v>
      </c>
      <c r="H384" s="156">
        <f>IF(H$2&lt;=analysis_period,IF(SUM($C734:H734)&gt;0,G384+1,0),0)</f>
        <v>0</v>
      </c>
      <c r="I384" s="156">
        <f>IF(I$2&lt;=analysis_period,IF(SUM($C734:I734)&gt;0,H384+1,0),0)</f>
        <v>0</v>
      </c>
      <c r="J384" s="156">
        <f>IF(J$2&lt;=analysis_period,IF(SUM($C734:J734)&gt;0,I384+1,0),0)</f>
        <v>0</v>
      </c>
      <c r="K384" s="156">
        <f>IF(K$2&lt;=analysis_period,IF(SUM($C734:K734)&gt;0,J384+1,0),0)</f>
        <v>0</v>
      </c>
      <c r="L384" s="156">
        <f>IF(L$2&lt;=analysis_period,IF(SUM($C734:L734)&gt;0,K384+1,0),0)</f>
        <v>0</v>
      </c>
      <c r="M384" s="156">
        <f>IF(M$2&lt;=analysis_period,IF(SUM($C734:M734)&gt;0,L384+1,0),0)</f>
        <v>0</v>
      </c>
      <c r="N384" s="156">
        <f>IF(N$2&lt;=analysis_period,IF(SUM($C734:N734)&gt;0,M384+1,0),0)</f>
        <v>0</v>
      </c>
      <c r="O384" s="156">
        <f>IF(O$2&lt;=analysis_period,IF(SUM($C734:O734)&gt;0,N384+1,0),0)</f>
        <v>0</v>
      </c>
      <c r="P384" s="156">
        <f>IF(P$2&lt;=analysis_period,IF(SUM($C734:P734)&gt;0,O384+1,0),0)</f>
        <v>0</v>
      </c>
      <c r="Q384" s="156">
        <f>IF(Q$2&lt;=analysis_period,IF(SUM($C734:Q734)&gt;0,P384+1,0),0)</f>
        <v>0</v>
      </c>
      <c r="R384" s="156">
        <f>IF(R$2&lt;=analysis_period,IF(SUM($C734:R734)&gt;0,Q384+1,0),0)</f>
        <v>0</v>
      </c>
      <c r="S384" s="156">
        <f>IF(S$2&lt;=analysis_period,IF(SUM($C734:S734)&gt;0,R384+1,0),0)</f>
        <v>0</v>
      </c>
      <c r="T384" s="156">
        <f>IF(T$2&lt;=analysis_period,IF(SUM($C734:T734)&gt;0,S384+1,0),0)</f>
        <v>0</v>
      </c>
      <c r="U384" s="156">
        <f>IF(U$2&lt;=analysis_period,IF(SUM($C734:U734)&gt;0,T384+1,0),0)</f>
        <v>0</v>
      </c>
      <c r="V384" s="156">
        <f>IF(V$2&lt;=analysis_period,IF(SUM($C734:V734)&gt;0,U384+1,0),0)</f>
        <v>0</v>
      </c>
      <c r="W384" s="156">
        <f>IF(W$2&lt;=analysis_period,IF(SUM($C734:W734)&gt;0,V384+1,0),0)</f>
        <v>0</v>
      </c>
      <c r="X384" s="156">
        <f>IF(X$2&lt;=analysis_period,IF(SUM($C734:X734)&gt;0,W384+1,0),0)</f>
        <v>0</v>
      </c>
      <c r="Y384" s="156">
        <f>IF(Y$2&lt;=analysis_period,IF(SUM($C734:Y734)&gt;0,X384+1,0),0)</f>
        <v>0</v>
      </c>
      <c r="Z384" s="156">
        <f>IF(Z$2&lt;=analysis_period,IF(SUM($C734:Z734)&gt;0,Y384+1,0),0)</f>
        <v>0</v>
      </c>
      <c r="AA384" s="156">
        <f>IF(AA$2&lt;=analysis_period,IF(SUM($C734:AA734)&gt;0,Z384+1,0),0)</f>
        <v>0</v>
      </c>
      <c r="AB384" s="156">
        <f>IF(AB$2&lt;=analysis_period,IF(SUM($C734:AB734)&gt;0,AA384+1,0),0)</f>
        <v>0</v>
      </c>
      <c r="AC384" s="156">
        <f>IF(AC$2&lt;=analysis_period,IF(SUM($C734:AC734)&gt;0,AB384+1,0),0)</f>
        <v>0</v>
      </c>
      <c r="AD384" s="156">
        <f>IF(AD$2&lt;=analysis_period,IF(SUM($C734:AD734)&gt;0,AC384+1,0),0)</f>
        <v>0</v>
      </c>
      <c r="AE384" s="156">
        <f>IF(AE$2&lt;=analysis_period,IF(SUM($C734:AE734)&gt;0,AD384+1,0),0)</f>
        <v>0</v>
      </c>
      <c r="AF384" s="156">
        <f>IF(AF$2&lt;=analysis_period,IF(SUM($C734:AF734)&gt;0,AE384+1,0),0)</f>
        <v>0</v>
      </c>
      <c r="AG384" s="156">
        <f>IF(AG$2&lt;=analysis_period,IF(SUM($C734:AG734)&gt;0,AF384+1,0),0)</f>
        <v>0</v>
      </c>
      <c r="AH384" s="156">
        <f>IF(AH$2&lt;=analysis_period,IF(SUM($C734:AH734)&gt;0,AG384+1,0),0)</f>
        <v>0</v>
      </c>
      <c r="AI384" s="156">
        <f>IF(AI$2&lt;=analysis_period,IF(SUM($C734:AI734)&gt;0,AH384+1,0),0)</f>
        <v>0</v>
      </c>
      <c r="AJ384" s="156">
        <f>IF(AJ$2&lt;=analysis_period,IF(SUM($C734:AJ734)&gt;0,AI384+1,0),0)</f>
        <v>0</v>
      </c>
      <c r="AK384" s="156">
        <f>IF(AK$2&lt;=analysis_period,IF(SUM($C734:AK734)&gt;0,AJ384+1,0),0)</f>
        <v>0</v>
      </c>
      <c r="AL384" s="156">
        <f>IF(AL$2&lt;=analysis_period,IF(SUM($C734:AL734)&gt;0,AK384+1,0),0)</f>
        <v>0</v>
      </c>
      <c r="AM384" s="156">
        <f>IF(AM$2&lt;=analysis_period,IF(SUM($C734:AM734)&gt;0,AL384+1,0),0)</f>
        <v>0</v>
      </c>
      <c r="AN384" s="156">
        <f>IF(AN$2&lt;=analysis_period,IF(SUM($C734:AN734)&gt;0,AM384+1,0),0)</f>
        <v>0</v>
      </c>
      <c r="AO384" s="156">
        <f>IF(AO$2&lt;=analysis_period,IF(SUM($C734:AO734)&gt;0,AN384+1,0),0)</f>
        <v>0</v>
      </c>
      <c r="AP384" s="156">
        <f>IF(AP$2&lt;=analysis_period,IF(SUM($C734:AP734)&gt;0,AO384+1,0),0)</f>
        <v>0</v>
      </c>
    </row>
    <row r="385" spans="1:42" x14ac:dyDescent="0.4">
      <c r="A385" s="21"/>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row>
    <row r="386" spans="1:42" x14ac:dyDescent="0.4">
      <c r="A386" s="87" t="s">
        <v>3</v>
      </c>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row>
    <row r="387" spans="1:42" x14ac:dyDescent="0.4">
      <c r="A387" s="4">
        <v>1</v>
      </c>
      <c r="B387" s="331">
        <f t="shared" ref="B387:B396" si="151">SUM(C387:AP387)</f>
        <v>0</v>
      </c>
      <c r="C387" s="156">
        <f t="shared" ref="C387:AP387" si="152">LOOKUP(C375,$B$319:$AP$319,$B$320:$AP$320)/100*$B725</f>
        <v>0</v>
      </c>
      <c r="D387" s="156">
        <f t="shared" si="152"/>
        <v>0</v>
      </c>
      <c r="E387" s="156">
        <f t="shared" si="152"/>
        <v>0</v>
      </c>
      <c r="F387" s="156">
        <f t="shared" si="152"/>
        <v>0</v>
      </c>
      <c r="G387" s="156">
        <f t="shared" si="152"/>
        <v>0</v>
      </c>
      <c r="H387" s="156">
        <f t="shared" si="152"/>
        <v>0</v>
      </c>
      <c r="I387" s="156">
        <f t="shared" si="152"/>
        <v>0</v>
      </c>
      <c r="J387" s="156">
        <f t="shared" si="152"/>
        <v>0</v>
      </c>
      <c r="K387" s="156">
        <f t="shared" si="152"/>
        <v>0</v>
      </c>
      <c r="L387" s="156">
        <f t="shared" si="152"/>
        <v>0</v>
      </c>
      <c r="M387" s="156">
        <f t="shared" si="152"/>
        <v>0</v>
      </c>
      <c r="N387" s="156">
        <f t="shared" si="152"/>
        <v>0</v>
      </c>
      <c r="O387" s="156">
        <f t="shared" si="152"/>
        <v>0</v>
      </c>
      <c r="P387" s="156">
        <f t="shared" si="152"/>
        <v>0</v>
      </c>
      <c r="Q387" s="156">
        <f t="shared" si="152"/>
        <v>0</v>
      </c>
      <c r="R387" s="156">
        <f t="shared" si="152"/>
        <v>0</v>
      </c>
      <c r="S387" s="156">
        <f t="shared" si="152"/>
        <v>0</v>
      </c>
      <c r="T387" s="156">
        <f t="shared" si="152"/>
        <v>0</v>
      </c>
      <c r="U387" s="156">
        <f t="shared" si="152"/>
        <v>0</v>
      </c>
      <c r="V387" s="156">
        <f t="shared" si="152"/>
        <v>0</v>
      </c>
      <c r="W387" s="156">
        <f t="shared" si="152"/>
        <v>0</v>
      </c>
      <c r="X387" s="156">
        <f t="shared" si="152"/>
        <v>0</v>
      </c>
      <c r="Y387" s="156">
        <f t="shared" si="152"/>
        <v>0</v>
      </c>
      <c r="Z387" s="156">
        <f t="shared" si="152"/>
        <v>0</v>
      </c>
      <c r="AA387" s="156">
        <f t="shared" si="152"/>
        <v>0</v>
      </c>
      <c r="AB387" s="156">
        <f t="shared" si="152"/>
        <v>0</v>
      </c>
      <c r="AC387" s="156">
        <f t="shared" si="152"/>
        <v>0</v>
      </c>
      <c r="AD387" s="156">
        <f t="shared" si="152"/>
        <v>0</v>
      </c>
      <c r="AE387" s="156">
        <f t="shared" si="152"/>
        <v>0</v>
      </c>
      <c r="AF387" s="156">
        <f t="shared" si="152"/>
        <v>0</v>
      </c>
      <c r="AG387" s="156">
        <f t="shared" si="152"/>
        <v>0</v>
      </c>
      <c r="AH387" s="156">
        <f t="shared" si="152"/>
        <v>0</v>
      </c>
      <c r="AI387" s="156">
        <f t="shared" si="152"/>
        <v>0</v>
      </c>
      <c r="AJ387" s="156">
        <f t="shared" si="152"/>
        <v>0</v>
      </c>
      <c r="AK387" s="156">
        <f t="shared" si="152"/>
        <v>0</v>
      </c>
      <c r="AL387" s="156">
        <f t="shared" si="152"/>
        <v>0</v>
      </c>
      <c r="AM387" s="156">
        <f t="shared" si="152"/>
        <v>0</v>
      </c>
      <c r="AN387" s="156">
        <f t="shared" si="152"/>
        <v>0</v>
      </c>
      <c r="AO387" s="156">
        <f t="shared" si="152"/>
        <v>0</v>
      </c>
      <c r="AP387" s="156">
        <f t="shared" si="152"/>
        <v>0</v>
      </c>
    </row>
    <row r="388" spans="1:42" x14ac:dyDescent="0.4">
      <c r="A388" s="4">
        <f>A387+1</f>
        <v>2</v>
      </c>
      <c r="B388" s="331">
        <f t="shared" si="151"/>
        <v>0</v>
      </c>
      <c r="C388" s="156">
        <f t="shared" ref="C388:AP388" si="153">LOOKUP(C376,$B$319:$AP$319,$B$320:$AP$320)/100*$B726</f>
        <v>0</v>
      </c>
      <c r="D388" s="156">
        <f t="shared" si="153"/>
        <v>0</v>
      </c>
      <c r="E388" s="156">
        <f t="shared" si="153"/>
        <v>0</v>
      </c>
      <c r="F388" s="156">
        <f t="shared" si="153"/>
        <v>0</v>
      </c>
      <c r="G388" s="156">
        <f t="shared" si="153"/>
        <v>0</v>
      </c>
      <c r="H388" s="156">
        <f t="shared" si="153"/>
        <v>0</v>
      </c>
      <c r="I388" s="156">
        <f t="shared" si="153"/>
        <v>0</v>
      </c>
      <c r="J388" s="156">
        <f t="shared" si="153"/>
        <v>0</v>
      </c>
      <c r="K388" s="156">
        <f t="shared" si="153"/>
        <v>0</v>
      </c>
      <c r="L388" s="156">
        <f t="shared" si="153"/>
        <v>0</v>
      </c>
      <c r="M388" s="156">
        <f t="shared" si="153"/>
        <v>0</v>
      </c>
      <c r="N388" s="156">
        <f t="shared" si="153"/>
        <v>0</v>
      </c>
      <c r="O388" s="156">
        <f t="shared" si="153"/>
        <v>0</v>
      </c>
      <c r="P388" s="156">
        <f t="shared" si="153"/>
        <v>0</v>
      </c>
      <c r="Q388" s="156">
        <f t="shared" si="153"/>
        <v>0</v>
      </c>
      <c r="R388" s="156">
        <f t="shared" si="153"/>
        <v>0</v>
      </c>
      <c r="S388" s="156">
        <f t="shared" si="153"/>
        <v>0</v>
      </c>
      <c r="T388" s="156">
        <f t="shared" si="153"/>
        <v>0</v>
      </c>
      <c r="U388" s="156">
        <f t="shared" si="153"/>
        <v>0</v>
      </c>
      <c r="V388" s="156">
        <f t="shared" si="153"/>
        <v>0</v>
      </c>
      <c r="W388" s="156">
        <f t="shared" si="153"/>
        <v>0</v>
      </c>
      <c r="X388" s="156">
        <f t="shared" si="153"/>
        <v>0</v>
      </c>
      <c r="Y388" s="156">
        <f t="shared" si="153"/>
        <v>0</v>
      </c>
      <c r="Z388" s="156">
        <f t="shared" si="153"/>
        <v>0</v>
      </c>
      <c r="AA388" s="156">
        <f t="shared" si="153"/>
        <v>0</v>
      </c>
      <c r="AB388" s="156">
        <f t="shared" si="153"/>
        <v>0</v>
      </c>
      <c r="AC388" s="156">
        <f t="shared" si="153"/>
        <v>0</v>
      </c>
      <c r="AD388" s="156">
        <f t="shared" si="153"/>
        <v>0</v>
      </c>
      <c r="AE388" s="156">
        <f t="shared" si="153"/>
        <v>0</v>
      </c>
      <c r="AF388" s="156">
        <f t="shared" si="153"/>
        <v>0</v>
      </c>
      <c r="AG388" s="156">
        <f t="shared" si="153"/>
        <v>0</v>
      </c>
      <c r="AH388" s="156">
        <f t="shared" si="153"/>
        <v>0</v>
      </c>
      <c r="AI388" s="156">
        <f t="shared" si="153"/>
        <v>0</v>
      </c>
      <c r="AJ388" s="156">
        <f t="shared" si="153"/>
        <v>0</v>
      </c>
      <c r="AK388" s="156">
        <f t="shared" si="153"/>
        <v>0</v>
      </c>
      <c r="AL388" s="156">
        <f t="shared" si="153"/>
        <v>0</v>
      </c>
      <c r="AM388" s="156">
        <f t="shared" si="153"/>
        <v>0</v>
      </c>
      <c r="AN388" s="156">
        <f t="shared" si="153"/>
        <v>0</v>
      </c>
      <c r="AO388" s="156">
        <f t="shared" si="153"/>
        <v>0</v>
      </c>
      <c r="AP388" s="156">
        <f t="shared" si="153"/>
        <v>0</v>
      </c>
    </row>
    <row r="389" spans="1:42" x14ac:dyDescent="0.4">
      <c r="A389" s="4">
        <f t="shared" ref="A389:A396" si="154">A388+1</f>
        <v>3</v>
      </c>
      <c r="B389" s="331">
        <f t="shared" si="151"/>
        <v>0</v>
      </c>
      <c r="C389" s="156">
        <f t="shared" ref="C389:AP389" si="155">LOOKUP(C377,$B$319:$AP$319,$B$320:$AP$320)/100*$B727</f>
        <v>0</v>
      </c>
      <c r="D389" s="156">
        <f t="shared" si="155"/>
        <v>0</v>
      </c>
      <c r="E389" s="156">
        <f t="shared" si="155"/>
        <v>0</v>
      </c>
      <c r="F389" s="156">
        <f t="shared" si="155"/>
        <v>0</v>
      </c>
      <c r="G389" s="156">
        <f t="shared" si="155"/>
        <v>0</v>
      </c>
      <c r="H389" s="156">
        <f t="shared" si="155"/>
        <v>0</v>
      </c>
      <c r="I389" s="156">
        <f t="shared" si="155"/>
        <v>0</v>
      </c>
      <c r="J389" s="156">
        <f t="shared" si="155"/>
        <v>0</v>
      </c>
      <c r="K389" s="156">
        <f t="shared" si="155"/>
        <v>0</v>
      </c>
      <c r="L389" s="156">
        <f t="shared" si="155"/>
        <v>0</v>
      </c>
      <c r="M389" s="156">
        <f t="shared" si="155"/>
        <v>0</v>
      </c>
      <c r="N389" s="156">
        <f t="shared" si="155"/>
        <v>0</v>
      </c>
      <c r="O389" s="156">
        <f t="shared" si="155"/>
        <v>0</v>
      </c>
      <c r="P389" s="156">
        <f t="shared" si="155"/>
        <v>0</v>
      </c>
      <c r="Q389" s="156">
        <f t="shared" si="155"/>
        <v>0</v>
      </c>
      <c r="R389" s="156">
        <f t="shared" si="155"/>
        <v>0</v>
      </c>
      <c r="S389" s="156">
        <f t="shared" si="155"/>
        <v>0</v>
      </c>
      <c r="T389" s="156">
        <f t="shared" si="155"/>
        <v>0</v>
      </c>
      <c r="U389" s="156">
        <f t="shared" si="155"/>
        <v>0</v>
      </c>
      <c r="V389" s="156">
        <f t="shared" si="155"/>
        <v>0</v>
      </c>
      <c r="W389" s="156">
        <f t="shared" si="155"/>
        <v>0</v>
      </c>
      <c r="X389" s="156">
        <f t="shared" si="155"/>
        <v>0</v>
      </c>
      <c r="Y389" s="156">
        <f t="shared" si="155"/>
        <v>0</v>
      </c>
      <c r="Z389" s="156">
        <f t="shared" si="155"/>
        <v>0</v>
      </c>
      <c r="AA389" s="156">
        <f t="shared" si="155"/>
        <v>0</v>
      </c>
      <c r="AB389" s="156">
        <f t="shared" si="155"/>
        <v>0</v>
      </c>
      <c r="AC389" s="156">
        <f t="shared" si="155"/>
        <v>0</v>
      </c>
      <c r="AD389" s="156">
        <f t="shared" si="155"/>
        <v>0</v>
      </c>
      <c r="AE389" s="156">
        <f t="shared" si="155"/>
        <v>0</v>
      </c>
      <c r="AF389" s="156">
        <f t="shared" si="155"/>
        <v>0</v>
      </c>
      <c r="AG389" s="156">
        <f t="shared" si="155"/>
        <v>0</v>
      </c>
      <c r="AH389" s="156">
        <f t="shared" si="155"/>
        <v>0</v>
      </c>
      <c r="AI389" s="156">
        <f t="shared" si="155"/>
        <v>0</v>
      </c>
      <c r="AJ389" s="156">
        <f t="shared" si="155"/>
        <v>0</v>
      </c>
      <c r="AK389" s="156">
        <f t="shared" si="155"/>
        <v>0</v>
      </c>
      <c r="AL389" s="156">
        <f t="shared" si="155"/>
        <v>0</v>
      </c>
      <c r="AM389" s="156">
        <f t="shared" si="155"/>
        <v>0</v>
      </c>
      <c r="AN389" s="156">
        <f t="shared" si="155"/>
        <v>0</v>
      </c>
      <c r="AO389" s="156">
        <f t="shared" si="155"/>
        <v>0</v>
      </c>
      <c r="AP389" s="156">
        <f t="shared" si="155"/>
        <v>0</v>
      </c>
    </row>
    <row r="390" spans="1:42" x14ac:dyDescent="0.4">
      <c r="A390" s="4">
        <f t="shared" si="154"/>
        <v>4</v>
      </c>
      <c r="B390" s="331">
        <f t="shared" si="151"/>
        <v>0</v>
      </c>
      <c r="C390" s="156">
        <f t="shared" ref="C390:AP390" si="156">LOOKUP(C378,$B$319:$AP$319,$B$320:$AP$320)/100*$B728</f>
        <v>0</v>
      </c>
      <c r="D390" s="156">
        <f t="shared" si="156"/>
        <v>0</v>
      </c>
      <c r="E390" s="156">
        <f t="shared" si="156"/>
        <v>0</v>
      </c>
      <c r="F390" s="156">
        <f t="shared" si="156"/>
        <v>0</v>
      </c>
      <c r="G390" s="156">
        <f t="shared" si="156"/>
        <v>0</v>
      </c>
      <c r="H390" s="156">
        <f t="shared" si="156"/>
        <v>0</v>
      </c>
      <c r="I390" s="156">
        <f t="shared" si="156"/>
        <v>0</v>
      </c>
      <c r="J390" s="156">
        <f t="shared" si="156"/>
        <v>0</v>
      </c>
      <c r="K390" s="156">
        <f t="shared" si="156"/>
        <v>0</v>
      </c>
      <c r="L390" s="156">
        <f t="shared" si="156"/>
        <v>0</v>
      </c>
      <c r="M390" s="156">
        <f t="shared" si="156"/>
        <v>0</v>
      </c>
      <c r="N390" s="156">
        <f t="shared" si="156"/>
        <v>0</v>
      </c>
      <c r="O390" s="156">
        <f t="shared" si="156"/>
        <v>0</v>
      </c>
      <c r="P390" s="156">
        <f t="shared" si="156"/>
        <v>0</v>
      </c>
      <c r="Q390" s="156">
        <f t="shared" si="156"/>
        <v>0</v>
      </c>
      <c r="R390" s="156">
        <f t="shared" si="156"/>
        <v>0</v>
      </c>
      <c r="S390" s="156">
        <f t="shared" si="156"/>
        <v>0</v>
      </c>
      <c r="T390" s="156">
        <f t="shared" si="156"/>
        <v>0</v>
      </c>
      <c r="U390" s="156">
        <f t="shared" si="156"/>
        <v>0</v>
      </c>
      <c r="V390" s="156">
        <f t="shared" si="156"/>
        <v>0</v>
      </c>
      <c r="W390" s="156">
        <f t="shared" si="156"/>
        <v>0</v>
      </c>
      <c r="X390" s="156">
        <f t="shared" si="156"/>
        <v>0</v>
      </c>
      <c r="Y390" s="156">
        <f t="shared" si="156"/>
        <v>0</v>
      </c>
      <c r="Z390" s="156">
        <f t="shared" si="156"/>
        <v>0</v>
      </c>
      <c r="AA390" s="156">
        <f t="shared" si="156"/>
        <v>0</v>
      </c>
      <c r="AB390" s="156">
        <f t="shared" si="156"/>
        <v>0</v>
      </c>
      <c r="AC390" s="156">
        <f t="shared" si="156"/>
        <v>0</v>
      </c>
      <c r="AD390" s="156">
        <f t="shared" si="156"/>
        <v>0</v>
      </c>
      <c r="AE390" s="156">
        <f t="shared" si="156"/>
        <v>0</v>
      </c>
      <c r="AF390" s="156">
        <f t="shared" si="156"/>
        <v>0</v>
      </c>
      <c r="AG390" s="156">
        <f t="shared" si="156"/>
        <v>0</v>
      </c>
      <c r="AH390" s="156">
        <f t="shared" si="156"/>
        <v>0</v>
      </c>
      <c r="AI390" s="156">
        <f t="shared" si="156"/>
        <v>0</v>
      </c>
      <c r="AJ390" s="156">
        <f t="shared" si="156"/>
        <v>0</v>
      </c>
      <c r="AK390" s="156">
        <f t="shared" si="156"/>
        <v>0</v>
      </c>
      <c r="AL390" s="156">
        <f t="shared" si="156"/>
        <v>0</v>
      </c>
      <c r="AM390" s="156">
        <f t="shared" si="156"/>
        <v>0</v>
      </c>
      <c r="AN390" s="156">
        <f t="shared" si="156"/>
        <v>0</v>
      </c>
      <c r="AO390" s="156">
        <f t="shared" si="156"/>
        <v>0</v>
      </c>
      <c r="AP390" s="156">
        <f t="shared" si="156"/>
        <v>0</v>
      </c>
    </row>
    <row r="391" spans="1:42" x14ac:dyDescent="0.4">
      <c r="A391" s="4">
        <f t="shared" si="154"/>
        <v>5</v>
      </c>
      <c r="B391" s="331">
        <f t="shared" si="151"/>
        <v>0</v>
      </c>
      <c r="C391" s="156">
        <f t="shared" ref="C391:AP391" si="157">LOOKUP(C379,$B$319:$AP$319,$B$320:$AP$320)/100*$B729</f>
        <v>0</v>
      </c>
      <c r="D391" s="156">
        <f t="shared" si="157"/>
        <v>0</v>
      </c>
      <c r="E391" s="156">
        <f t="shared" si="157"/>
        <v>0</v>
      </c>
      <c r="F391" s="156">
        <f t="shared" si="157"/>
        <v>0</v>
      </c>
      <c r="G391" s="156">
        <f t="shared" si="157"/>
        <v>0</v>
      </c>
      <c r="H391" s="156">
        <f t="shared" si="157"/>
        <v>0</v>
      </c>
      <c r="I391" s="156">
        <f t="shared" si="157"/>
        <v>0</v>
      </c>
      <c r="J391" s="156">
        <f t="shared" si="157"/>
        <v>0</v>
      </c>
      <c r="K391" s="156">
        <f t="shared" si="157"/>
        <v>0</v>
      </c>
      <c r="L391" s="156">
        <f t="shared" si="157"/>
        <v>0</v>
      </c>
      <c r="M391" s="156">
        <f t="shared" si="157"/>
        <v>0</v>
      </c>
      <c r="N391" s="156">
        <f t="shared" si="157"/>
        <v>0</v>
      </c>
      <c r="O391" s="156">
        <f t="shared" si="157"/>
        <v>0</v>
      </c>
      <c r="P391" s="156">
        <f t="shared" si="157"/>
        <v>0</v>
      </c>
      <c r="Q391" s="156">
        <f t="shared" si="157"/>
        <v>0</v>
      </c>
      <c r="R391" s="156">
        <f t="shared" si="157"/>
        <v>0</v>
      </c>
      <c r="S391" s="156">
        <f t="shared" si="157"/>
        <v>0</v>
      </c>
      <c r="T391" s="156">
        <f t="shared" si="157"/>
        <v>0</v>
      </c>
      <c r="U391" s="156">
        <f t="shared" si="157"/>
        <v>0</v>
      </c>
      <c r="V391" s="156">
        <f t="shared" si="157"/>
        <v>0</v>
      </c>
      <c r="W391" s="156">
        <f t="shared" si="157"/>
        <v>0</v>
      </c>
      <c r="X391" s="156">
        <f t="shared" si="157"/>
        <v>0</v>
      </c>
      <c r="Y391" s="156">
        <f t="shared" si="157"/>
        <v>0</v>
      </c>
      <c r="Z391" s="156">
        <f t="shared" si="157"/>
        <v>0</v>
      </c>
      <c r="AA391" s="156">
        <f t="shared" si="157"/>
        <v>0</v>
      </c>
      <c r="AB391" s="156">
        <f t="shared" si="157"/>
        <v>0</v>
      </c>
      <c r="AC391" s="156">
        <f t="shared" si="157"/>
        <v>0</v>
      </c>
      <c r="AD391" s="156">
        <f t="shared" si="157"/>
        <v>0</v>
      </c>
      <c r="AE391" s="156">
        <f t="shared" si="157"/>
        <v>0</v>
      </c>
      <c r="AF391" s="156">
        <f t="shared" si="157"/>
        <v>0</v>
      </c>
      <c r="AG391" s="156">
        <f t="shared" si="157"/>
        <v>0</v>
      </c>
      <c r="AH391" s="156">
        <f t="shared" si="157"/>
        <v>0</v>
      </c>
      <c r="AI391" s="156">
        <f t="shared" si="157"/>
        <v>0</v>
      </c>
      <c r="AJ391" s="156">
        <f t="shared" si="157"/>
        <v>0</v>
      </c>
      <c r="AK391" s="156">
        <f t="shared" si="157"/>
        <v>0</v>
      </c>
      <c r="AL391" s="156">
        <f t="shared" si="157"/>
        <v>0</v>
      </c>
      <c r="AM391" s="156">
        <f t="shared" si="157"/>
        <v>0</v>
      </c>
      <c r="AN391" s="156">
        <f t="shared" si="157"/>
        <v>0</v>
      </c>
      <c r="AO391" s="156">
        <f t="shared" si="157"/>
        <v>0</v>
      </c>
      <c r="AP391" s="156">
        <f t="shared" si="157"/>
        <v>0</v>
      </c>
    </row>
    <row r="392" spans="1:42" x14ac:dyDescent="0.4">
      <c r="A392" s="4">
        <f t="shared" si="154"/>
        <v>6</v>
      </c>
      <c r="B392" s="331">
        <f t="shared" si="151"/>
        <v>0</v>
      </c>
      <c r="C392" s="156">
        <f t="shared" ref="C392:AP392" si="158">LOOKUP(C380,$B$319:$AP$319,$B$320:$AP$320)/100*$B730</f>
        <v>0</v>
      </c>
      <c r="D392" s="156">
        <f t="shared" si="158"/>
        <v>0</v>
      </c>
      <c r="E392" s="156">
        <f t="shared" si="158"/>
        <v>0</v>
      </c>
      <c r="F392" s="156">
        <f t="shared" si="158"/>
        <v>0</v>
      </c>
      <c r="G392" s="156">
        <f t="shared" si="158"/>
        <v>0</v>
      </c>
      <c r="H392" s="156">
        <f t="shared" si="158"/>
        <v>0</v>
      </c>
      <c r="I392" s="156">
        <f t="shared" si="158"/>
        <v>0</v>
      </c>
      <c r="J392" s="156">
        <f t="shared" si="158"/>
        <v>0</v>
      </c>
      <c r="K392" s="156">
        <f t="shared" si="158"/>
        <v>0</v>
      </c>
      <c r="L392" s="156">
        <f t="shared" si="158"/>
        <v>0</v>
      </c>
      <c r="M392" s="156">
        <f t="shared" si="158"/>
        <v>0</v>
      </c>
      <c r="N392" s="156">
        <f t="shared" si="158"/>
        <v>0</v>
      </c>
      <c r="O392" s="156">
        <f t="shared" si="158"/>
        <v>0</v>
      </c>
      <c r="P392" s="156">
        <f t="shared" si="158"/>
        <v>0</v>
      </c>
      <c r="Q392" s="156">
        <f t="shared" si="158"/>
        <v>0</v>
      </c>
      <c r="R392" s="156">
        <f t="shared" si="158"/>
        <v>0</v>
      </c>
      <c r="S392" s="156">
        <f t="shared" si="158"/>
        <v>0</v>
      </c>
      <c r="T392" s="156">
        <f t="shared" si="158"/>
        <v>0</v>
      </c>
      <c r="U392" s="156">
        <f t="shared" si="158"/>
        <v>0</v>
      </c>
      <c r="V392" s="156">
        <f t="shared" si="158"/>
        <v>0</v>
      </c>
      <c r="W392" s="156">
        <f t="shared" si="158"/>
        <v>0</v>
      </c>
      <c r="X392" s="156">
        <f t="shared" si="158"/>
        <v>0</v>
      </c>
      <c r="Y392" s="156">
        <f t="shared" si="158"/>
        <v>0</v>
      </c>
      <c r="Z392" s="156">
        <f t="shared" si="158"/>
        <v>0</v>
      </c>
      <c r="AA392" s="156">
        <f t="shared" si="158"/>
        <v>0</v>
      </c>
      <c r="AB392" s="156">
        <f t="shared" si="158"/>
        <v>0</v>
      </c>
      <c r="AC392" s="156">
        <f t="shared" si="158"/>
        <v>0</v>
      </c>
      <c r="AD392" s="156">
        <f t="shared" si="158"/>
        <v>0</v>
      </c>
      <c r="AE392" s="156">
        <f t="shared" si="158"/>
        <v>0</v>
      </c>
      <c r="AF392" s="156">
        <f t="shared" si="158"/>
        <v>0</v>
      </c>
      <c r="AG392" s="156">
        <f t="shared" si="158"/>
        <v>0</v>
      </c>
      <c r="AH392" s="156">
        <f t="shared" si="158"/>
        <v>0</v>
      </c>
      <c r="AI392" s="156">
        <f t="shared" si="158"/>
        <v>0</v>
      </c>
      <c r="AJ392" s="156">
        <f t="shared" si="158"/>
        <v>0</v>
      </c>
      <c r="AK392" s="156">
        <f t="shared" si="158"/>
        <v>0</v>
      </c>
      <c r="AL392" s="156">
        <f t="shared" si="158"/>
        <v>0</v>
      </c>
      <c r="AM392" s="156">
        <f t="shared" si="158"/>
        <v>0</v>
      </c>
      <c r="AN392" s="156">
        <f t="shared" si="158"/>
        <v>0</v>
      </c>
      <c r="AO392" s="156">
        <f t="shared" si="158"/>
        <v>0</v>
      </c>
      <c r="AP392" s="156">
        <f t="shared" si="158"/>
        <v>0</v>
      </c>
    </row>
    <row r="393" spans="1:42" x14ac:dyDescent="0.4">
      <c r="A393" s="4">
        <f t="shared" si="154"/>
        <v>7</v>
      </c>
      <c r="B393" s="331">
        <f t="shared" si="151"/>
        <v>0</v>
      </c>
      <c r="C393" s="156">
        <f t="shared" ref="C393:AP393" si="159">LOOKUP(C381,$B$319:$AP$319,$B$320:$AP$320)/100*$B731</f>
        <v>0</v>
      </c>
      <c r="D393" s="156">
        <f t="shared" si="159"/>
        <v>0</v>
      </c>
      <c r="E393" s="156">
        <f t="shared" si="159"/>
        <v>0</v>
      </c>
      <c r="F393" s="156">
        <f t="shared" si="159"/>
        <v>0</v>
      </c>
      <c r="G393" s="156">
        <f t="shared" si="159"/>
        <v>0</v>
      </c>
      <c r="H393" s="156">
        <f t="shared" si="159"/>
        <v>0</v>
      </c>
      <c r="I393" s="156">
        <f t="shared" si="159"/>
        <v>0</v>
      </c>
      <c r="J393" s="156">
        <f t="shared" si="159"/>
        <v>0</v>
      </c>
      <c r="K393" s="156">
        <f t="shared" si="159"/>
        <v>0</v>
      </c>
      <c r="L393" s="156">
        <f t="shared" si="159"/>
        <v>0</v>
      </c>
      <c r="M393" s="156">
        <f t="shared" si="159"/>
        <v>0</v>
      </c>
      <c r="N393" s="156">
        <f t="shared" si="159"/>
        <v>0</v>
      </c>
      <c r="O393" s="156">
        <f t="shared" si="159"/>
        <v>0</v>
      </c>
      <c r="P393" s="156">
        <f t="shared" si="159"/>
        <v>0</v>
      </c>
      <c r="Q393" s="156">
        <f t="shared" si="159"/>
        <v>0</v>
      </c>
      <c r="R393" s="156">
        <f t="shared" si="159"/>
        <v>0</v>
      </c>
      <c r="S393" s="156">
        <f t="shared" si="159"/>
        <v>0</v>
      </c>
      <c r="T393" s="156">
        <f t="shared" si="159"/>
        <v>0</v>
      </c>
      <c r="U393" s="156">
        <f t="shared" si="159"/>
        <v>0</v>
      </c>
      <c r="V393" s="156">
        <f t="shared" si="159"/>
        <v>0</v>
      </c>
      <c r="W393" s="156">
        <f t="shared" si="159"/>
        <v>0</v>
      </c>
      <c r="X393" s="156">
        <f t="shared" si="159"/>
        <v>0</v>
      </c>
      <c r="Y393" s="156">
        <f t="shared" si="159"/>
        <v>0</v>
      </c>
      <c r="Z393" s="156">
        <f t="shared" si="159"/>
        <v>0</v>
      </c>
      <c r="AA393" s="156">
        <f t="shared" si="159"/>
        <v>0</v>
      </c>
      <c r="AB393" s="156">
        <f t="shared" si="159"/>
        <v>0</v>
      </c>
      <c r="AC393" s="156">
        <f t="shared" si="159"/>
        <v>0</v>
      </c>
      <c r="AD393" s="156">
        <f t="shared" si="159"/>
        <v>0</v>
      </c>
      <c r="AE393" s="156">
        <f t="shared" si="159"/>
        <v>0</v>
      </c>
      <c r="AF393" s="156">
        <f t="shared" si="159"/>
        <v>0</v>
      </c>
      <c r="AG393" s="156">
        <f t="shared" si="159"/>
        <v>0</v>
      </c>
      <c r="AH393" s="156">
        <f t="shared" si="159"/>
        <v>0</v>
      </c>
      <c r="AI393" s="156">
        <f t="shared" si="159"/>
        <v>0</v>
      </c>
      <c r="AJ393" s="156">
        <f t="shared" si="159"/>
        <v>0</v>
      </c>
      <c r="AK393" s="156">
        <f t="shared" si="159"/>
        <v>0</v>
      </c>
      <c r="AL393" s="156">
        <f t="shared" si="159"/>
        <v>0</v>
      </c>
      <c r="AM393" s="156">
        <f t="shared" si="159"/>
        <v>0</v>
      </c>
      <c r="AN393" s="156">
        <f t="shared" si="159"/>
        <v>0</v>
      </c>
      <c r="AO393" s="156">
        <f t="shared" si="159"/>
        <v>0</v>
      </c>
      <c r="AP393" s="156">
        <f t="shared" si="159"/>
        <v>0</v>
      </c>
    </row>
    <row r="394" spans="1:42" x14ac:dyDescent="0.4">
      <c r="A394" s="4">
        <f t="shared" si="154"/>
        <v>8</v>
      </c>
      <c r="B394" s="331">
        <f t="shared" si="151"/>
        <v>0</v>
      </c>
      <c r="C394" s="156">
        <f t="shared" ref="C394:AP394" si="160">LOOKUP(C382,$B$319:$AP$319,$B$320:$AP$320)/100*$B732</f>
        <v>0</v>
      </c>
      <c r="D394" s="156">
        <f t="shared" si="160"/>
        <v>0</v>
      </c>
      <c r="E394" s="156">
        <f t="shared" si="160"/>
        <v>0</v>
      </c>
      <c r="F394" s="156">
        <f t="shared" si="160"/>
        <v>0</v>
      </c>
      <c r="G394" s="156">
        <f t="shared" si="160"/>
        <v>0</v>
      </c>
      <c r="H394" s="156">
        <f t="shared" si="160"/>
        <v>0</v>
      </c>
      <c r="I394" s="156">
        <f t="shared" si="160"/>
        <v>0</v>
      </c>
      <c r="J394" s="156">
        <f t="shared" si="160"/>
        <v>0</v>
      </c>
      <c r="K394" s="156">
        <f t="shared" si="160"/>
        <v>0</v>
      </c>
      <c r="L394" s="156">
        <f t="shared" si="160"/>
        <v>0</v>
      </c>
      <c r="M394" s="156">
        <f t="shared" si="160"/>
        <v>0</v>
      </c>
      <c r="N394" s="156">
        <f t="shared" si="160"/>
        <v>0</v>
      </c>
      <c r="O394" s="156">
        <f t="shared" si="160"/>
        <v>0</v>
      </c>
      <c r="P394" s="156">
        <f t="shared" si="160"/>
        <v>0</v>
      </c>
      <c r="Q394" s="156">
        <f t="shared" si="160"/>
        <v>0</v>
      </c>
      <c r="R394" s="156">
        <f t="shared" si="160"/>
        <v>0</v>
      </c>
      <c r="S394" s="156">
        <f t="shared" si="160"/>
        <v>0</v>
      </c>
      <c r="T394" s="156">
        <f t="shared" si="160"/>
        <v>0</v>
      </c>
      <c r="U394" s="156">
        <f t="shared" si="160"/>
        <v>0</v>
      </c>
      <c r="V394" s="156">
        <f t="shared" si="160"/>
        <v>0</v>
      </c>
      <c r="W394" s="156">
        <f t="shared" si="160"/>
        <v>0</v>
      </c>
      <c r="X394" s="156">
        <f t="shared" si="160"/>
        <v>0</v>
      </c>
      <c r="Y394" s="156">
        <f t="shared" si="160"/>
        <v>0</v>
      </c>
      <c r="Z394" s="156">
        <f t="shared" si="160"/>
        <v>0</v>
      </c>
      <c r="AA394" s="156">
        <f t="shared" si="160"/>
        <v>0</v>
      </c>
      <c r="AB394" s="156">
        <f t="shared" si="160"/>
        <v>0</v>
      </c>
      <c r="AC394" s="156">
        <f t="shared" si="160"/>
        <v>0</v>
      </c>
      <c r="AD394" s="156">
        <f t="shared" si="160"/>
        <v>0</v>
      </c>
      <c r="AE394" s="156">
        <f t="shared" si="160"/>
        <v>0</v>
      </c>
      <c r="AF394" s="156">
        <f t="shared" si="160"/>
        <v>0</v>
      </c>
      <c r="AG394" s="156">
        <f t="shared" si="160"/>
        <v>0</v>
      </c>
      <c r="AH394" s="156">
        <f t="shared" si="160"/>
        <v>0</v>
      </c>
      <c r="AI394" s="156">
        <f t="shared" si="160"/>
        <v>0</v>
      </c>
      <c r="AJ394" s="156">
        <f t="shared" si="160"/>
        <v>0</v>
      </c>
      <c r="AK394" s="156">
        <f t="shared" si="160"/>
        <v>0</v>
      </c>
      <c r="AL394" s="156">
        <f t="shared" si="160"/>
        <v>0</v>
      </c>
      <c r="AM394" s="156">
        <f t="shared" si="160"/>
        <v>0</v>
      </c>
      <c r="AN394" s="156">
        <f t="shared" si="160"/>
        <v>0</v>
      </c>
      <c r="AO394" s="156">
        <f t="shared" si="160"/>
        <v>0</v>
      </c>
      <c r="AP394" s="156">
        <f t="shared" si="160"/>
        <v>0</v>
      </c>
    </row>
    <row r="395" spans="1:42" x14ac:dyDescent="0.4">
      <c r="A395" s="4">
        <f>A394+1</f>
        <v>9</v>
      </c>
      <c r="B395" s="331">
        <f t="shared" si="151"/>
        <v>0</v>
      </c>
      <c r="C395" s="156">
        <f t="shared" ref="C395:AP395" si="161">LOOKUP(C383,$B$319:$AP$319,$B$320:$AP$320)/100*$B733</f>
        <v>0</v>
      </c>
      <c r="D395" s="156">
        <f t="shared" si="161"/>
        <v>0</v>
      </c>
      <c r="E395" s="156">
        <f t="shared" si="161"/>
        <v>0</v>
      </c>
      <c r="F395" s="156">
        <f t="shared" si="161"/>
        <v>0</v>
      </c>
      <c r="G395" s="156">
        <f t="shared" si="161"/>
        <v>0</v>
      </c>
      <c r="H395" s="156">
        <f t="shared" si="161"/>
        <v>0</v>
      </c>
      <c r="I395" s="156">
        <f t="shared" si="161"/>
        <v>0</v>
      </c>
      <c r="J395" s="156">
        <f t="shared" si="161"/>
        <v>0</v>
      </c>
      <c r="K395" s="156">
        <f t="shared" si="161"/>
        <v>0</v>
      </c>
      <c r="L395" s="156">
        <f t="shared" si="161"/>
        <v>0</v>
      </c>
      <c r="M395" s="156">
        <f t="shared" si="161"/>
        <v>0</v>
      </c>
      <c r="N395" s="156">
        <f t="shared" si="161"/>
        <v>0</v>
      </c>
      <c r="O395" s="156">
        <f t="shared" si="161"/>
        <v>0</v>
      </c>
      <c r="P395" s="156">
        <f t="shared" si="161"/>
        <v>0</v>
      </c>
      <c r="Q395" s="156">
        <f t="shared" si="161"/>
        <v>0</v>
      </c>
      <c r="R395" s="156">
        <f t="shared" si="161"/>
        <v>0</v>
      </c>
      <c r="S395" s="156">
        <f t="shared" si="161"/>
        <v>0</v>
      </c>
      <c r="T395" s="156">
        <f t="shared" si="161"/>
        <v>0</v>
      </c>
      <c r="U395" s="156">
        <f t="shared" si="161"/>
        <v>0</v>
      </c>
      <c r="V395" s="156">
        <f t="shared" si="161"/>
        <v>0</v>
      </c>
      <c r="W395" s="156">
        <f t="shared" si="161"/>
        <v>0</v>
      </c>
      <c r="X395" s="156">
        <f t="shared" si="161"/>
        <v>0</v>
      </c>
      <c r="Y395" s="156">
        <f t="shared" si="161"/>
        <v>0</v>
      </c>
      <c r="Z395" s="156">
        <f t="shared" si="161"/>
        <v>0</v>
      </c>
      <c r="AA395" s="156">
        <f t="shared" si="161"/>
        <v>0</v>
      </c>
      <c r="AB395" s="156">
        <f t="shared" si="161"/>
        <v>0</v>
      </c>
      <c r="AC395" s="156">
        <f t="shared" si="161"/>
        <v>0</v>
      </c>
      <c r="AD395" s="156">
        <f t="shared" si="161"/>
        <v>0</v>
      </c>
      <c r="AE395" s="156">
        <f t="shared" si="161"/>
        <v>0</v>
      </c>
      <c r="AF395" s="156">
        <f t="shared" si="161"/>
        <v>0</v>
      </c>
      <c r="AG395" s="156">
        <f t="shared" si="161"/>
        <v>0</v>
      </c>
      <c r="AH395" s="156">
        <f t="shared" si="161"/>
        <v>0</v>
      </c>
      <c r="AI395" s="156">
        <f t="shared" si="161"/>
        <v>0</v>
      </c>
      <c r="AJ395" s="156">
        <f t="shared" si="161"/>
        <v>0</v>
      </c>
      <c r="AK395" s="156">
        <f t="shared" si="161"/>
        <v>0</v>
      </c>
      <c r="AL395" s="156">
        <f t="shared" si="161"/>
        <v>0</v>
      </c>
      <c r="AM395" s="156">
        <f t="shared" si="161"/>
        <v>0</v>
      </c>
      <c r="AN395" s="156">
        <f t="shared" si="161"/>
        <v>0</v>
      </c>
      <c r="AO395" s="156">
        <f t="shared" si="161"/>
        <v>0</v>
      </c>
      <c r="AP395" s="156">
        <f t="shared" si="161"/>
        <v>0</v>
      </c>
    </row>
    <row r="396" spans="1:42" x14ac:dyDescent="0.4">
      <c r="A396" s="4">
        <f t="shared" si="154"/>
        <v>10</v>
      </c>
      <c r="B396" s="331">
        <f t="shared" si="151"/>
        <v>0</v>
      </c>
      <c r="C396" s="156">
        <f t="shared" ref="C396:AP396" si="162">LOOKUP(C384,$B$319:$AP$319,$B$320:$AP$320)/100*$B734</f>
        <v>0</v>
      </c>
      <c r="D396" s="156">
        <f t="shared" si="162"/>
        <v>0</v>
      </c>
      <c r="E396" s="156">
        <f t="shared" si="162"/>
        <v>0</v>
      </c>
      <c r="F396" s="156">
        <f t="shared" si="162"/>
        <v>0</v>
      </c>
      <c r="G396" s="156">
        <f t="shared" si="162"/>
        <v>0</v>
      </c>
      <c r="H396" s="156">
        <f t="shared" si="162"/>
        <v>0</v>
      </c>
      <c r="I396" s="156">
        <f t="shared" si="162"/>
        <v>0</v>
      </c>
      <c r="J396" s="156">
        <f t="shared" si="162"/>
        <v>0</v>
      </c>
      <c r="K396" s="156">
        <f t="shared" si="162"/>
        <v>0</v>
      </c>
      <c r="L396" s="156">
        <f t="shared" si="162"/>
        <v>0</v>
      </c>
      <c r="M396" s="156">
        <f t="shared" si="162"/>
        <v>0</v>
      </c>
      <c r="N396" s="156">
        <f t="shared" si="162"/>
        <v>0</v>
      </c>
      <c r="O396" s="156">
        <f t="shared" si="162"/>
        <v>0</v>
      </c>
      <c r="P396" s="156">
        <f t="shared" si="162"/>
        <v>0</v>
      </c>
      <c r="Q396" s="156">
        <f t="shared" si="162"/>
        <v>0</v>
      </c>
      <c r="R396" s="156">
        <f t="shared" si="162"/>
        <v>0</v>
      </c>
      <c r="S396" s="156">
        <f t="shared" si="162"/>
        <v>0</v>
      </c>
      <c r="T396" s="156">
        <f t="shared" si="162"/>
        <v>0</v>
      </c>
      <c r="U396" s="156">
        <f t="shared" si="162"/>
        <v>0</v>
      </c>
      <c r="V396" s="156">
        <f t="shared" si="162"/>
        <v>0</v>
      </c>
      <c r="W396" s="156">
        <f t="shared" si="162"/>
        <v>0</v>
      </c>
      <c r="X396" s="156">
        <f t="shared" si="162"/>
        <v>0</v>
      </c>
      <c r="Y396" s="156">
        <f t="shared" si="162"/>
        <v>0</v>
      </c>
      <c r="Z396" s="156">
        <f t="shared" si="162"/>
        <v>0</v>
      </c>
      <c r="AA396" s="156">
        <f t="shared" si="162"/>
        <v>0</v>
      </c>
      <c r="AB396" s="156">
        <f t="shared" si="162"/>
        <v>0</v>
      </c>
      <c r="AC396" s="156">
        <f t="shared" si="162"/>
        <v>0</v>
      </c>
      <c r="AD396" s="156">
        <f t="shared" si="162"/>
        <v>0</v>
      </c>
      <c r="AE396" s="156">
        <f t="shared" si="162"/>
        <v>0</v>
      </c>
      <c r="AF396" s="156">
        <f t="shared" si="162"/>
        <v>0</v>
      </c>
      <c r="AG396" s="156">
        <f t="shared" si="162"/>
        <v>0</v>
      </c>
      <c r="AH396" s="156">
        <f t="shared" si="162"/>
        <v>0</v>
      </c>
      <c r="AI396" s="156">
        <f t="shared" si="162"/>
        <v>0</v>
      </c>
      <c r="AJ396" s="156">
        <f t="shared" si="162"/>
        <v>0</v>
      </c>
      <c r="AK396" s="156">
        <f t="shared" si="162"/>
        <v>0</v>
      </c>
      <c r="AL396" s="156">
        <f t="shared" si="162"/>
        <v>0</v>
      </c>
      <c r="AM396" s="156">
        <f t="shared" si="162"/>
        <v>0</v>
      </c>
      <c r="AN396" s="156">
        <f t="shared" si="162"/>
        <v>0</v>
      </c>
      <c r="AO396" s="156">
        <f t="shared" si="162"/>
        <v>0</v>
      </c>
      <c r="AP396" s="156">
        <f t="shared" si="162"/>
        <v>0</v>
      </c>
    </row>
    <row r="397" spans="1:42" ht="12" customHeight="1" x14ac:dyDescent="0.4">
      <c r="A397" s="24" t="s">
        <v>13</v>
      </c>
      <c r="B397" s="14"/>
      <c r="C397" s="320">
        <f>SUM(C387:C396)</f>
        <v>0</v>
      </c>
      <c r="D397" s="320">
        <f t="shared" ref="D397:AP397" si="163">SUM(D387:D396)</f>
        <v>0</v>
      </c>
      <c r="E397" s="320">
        <f t="shared" si="163"/>
        <v>0</v>
      </c>
      <c r="F397" s="320">
        <f t="shared" si="163"/>
        <v>0</v>
      </c>
      <c r="G397" s="320">
        <f t="shared" si="163"/>
        <v>0</v>
      </c>
      <c r="H397" s="320">
        <f t="shared" si="163"/>
        <v>0</v>
      </c>
      <c r="I397" s="320">
        <f t="shared" si="163"/>
        <v>0</v>
      </c>
      <c r="J397" s="320">
        <f t="shared" si="163"/>
        <v>0</v>
      </c>
      <c r="K397" s="320">
        <f t="shared" si="163"/>
        <v>0</v>
      </c>
      <c r="L397" s="320">
        <f t="shared" si="163"/>
        <v>0</v>
      </c>
      <c r="M397" s="320">
        <f t="shared" si="163"/>
        <v>0</v>
      </c>
      <c r="N397" s="320">
        <f t="shared" si="163"/>
        <v>0</v>
      </c>
      <c r="O397" s="320">
        <f t="shared" si="163"/>
        <v>0</v>
      </c>
      <c r="P397" s="320">
        <f t="shared" si="163"/>
        <v>0</v>
      </c>
      <c r="Q397" s="320">
        <f t="shared" si="163"/>
        <v>0</v>
      </c>
      <c r="R397" s="320">
        <f t="shared" si="163"/>
        <v>0</v>
      </c>
      <c r="S397" s="320">
        <f t="shared" si="163"/>
        <v>0</v>
      </c>
      <c r="T397" s="320">
        <f t="shared" si="163"/>
        <v>0</v>
      </c>
      <c r="U397" s="320">
        <f t="shared" si="163"/>
        <v>0</v>
      </c>
      <c r="V397" s="320">
        <f t="shared" si="163"/>
        <v>0</v>
      </c>
      <c r="W397" s="320">
        <f t="shared" si="163"/>
        <v>0</v>
      </c>
      <c r="X397" s="320">
        <f t="shared" si="163"/>
        <v>0</v>
      </c>
      <c r="Y397" s="320">
        <f t="shared" si="163"/>
        <v>0</v>
      </c>
      <c r="Z397" s="320">
        <f t="shared" si="163"/>
        <v>0</v>
      </c>
      <c r="AA397" s="320">
        <f t="shared" si="163"/>
        <v>0</v>
      </c>
      <c r="AB397" s="320">
        <f t="shared" si="163"/>
        <v>0</v>
      </c>
      <c r="AC397" s="320">
        <f t="shared" si="163"/>
        <v>0</v>
      </c>
      <c r="AD397" s="320">
        <f t="shared" si="163"/>
        <v>0</v>
      </c>
      <c r="AE397" s="320">
        <f t="shared" si="163"/>
        <v>0</v>
      </c>
      <c r="AF397" s="320">
        <f t="shared" si="163"/>
        <v>0</v>
      </c>
      <c r="AG397" s="320">
        <f t="shared" si="163"/>
        <v>0</v>
      </c>
      <c r="AH397" s="320">
        <f t="shared" si="163"/>
        <v>0</v>
      </c>
      <c r="AI397" s="320">
        <f t="shared" si="163"/>
        <v>0</v>
      </c>
      <c r="AJ397" s="320">
        <f t="shared" si="163"/>
        <v>0</v>
      </c>
      <c r="AK397" s="320">
        <f t="shared" si="163"/>
        <v>0</v>
      </c>
      <c r="AL397" s="320">
        <f t="shared" si="163"/>
        <v>0</v>
      </c>
      <c r="AM397" s="320">
        <f t="shared" si="163"/>
        <v>0</v>
      </c>
      <c r="AN397" s="320">
        <f t="shared" si="163"/>
        <v>0</v>
      </c>
      <c r="AO397" s="320">
        <f t="shared" si="163"/>
        <v>0</v>
      </c>
      <c r="AP397" s="320">
        <f t="shared" si="163"/>
        <v>0</v>
      </c>
    </row>
    <row r="398" spans="1:42" x14ac:dyDescent="0.4">
      <c r="A398" s="21"/>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row>
    <row r="399" spans="1:42" x14ac:dyDescent="0.4">
      <c r="A399" s="19" t="s">
        <v>416</v>
      </c>
    </row>
    <row r="400" spans="1:42" ht="15" customHeight="1" x14ac:dyDescent="0.4">
      <c r="A400" s="330" t="s">
        <v>417</v>
      </c>
      <c r="B400" s="342" t="s">
        <v>418</v>
      </c>
      <c r="C400" s="343"/>
      <c r="D400" s="337" t="s">
        <v>396</v>
      </c>
      <c r="E400" s="338"/>
      <c r="F400" s="339"/>
      <c r="G400" s="337" t="s">
        <v>405</v>
      </c>
      <c r="H400" s="338"/>
      <c r="I400" s="338"/>
      <c r="J400" s="339"/>
      <c r="K400" s="340" t="s">
        <v>398</v>
      </c>
      <c r="L400" s="341"/>
      <c r="M400" s="342" t="s">
        <v>400</v>
      </c>
      <c r="N400" s="344"/>
      <c r="O400" s="343"/>
      <c r="P400" s="321" t="s">
        <v>406</v>
      </c>
      <c r="Q400" s="335" t="s">
        <v>417</v>
      </c>
    </row>
    <row r="401" spans="1:17" ht="52.5" x14ac:dyDescent="0.4">
      <c r="A401" s="323" t="s">
        <v>419</v>
      </c>
      <c r="B401" s="226" t="s">
        <v>444</v>
      </c>
      <c r="C401" s="317" t="s">
        <v>395</v>
      </c>
      <c r="D401" s="316" t="s">
        <v>393</v>
      </c>
      <c r="E401" s="318" t="s">
        <v>394</v>
      </c>
      <c r="F401" s="318" t="s">
        <v>397</v>
      </c>
      <c r="G401" s="226" t="s">
        <v>45</v>
      </c>
      <c r="H401" s="317" t="s">
        <v>46</v>
      </c>
      <c r="I401" s="317" t="s">
        <v>399</v>
      </c>
      <c r="J401" s="317" t="s">
        <v>413</v>
      </c>
      <c r="K401" s="226" t="s">
        <v>47</v>
      </c>
      <c r="L401" s="317" t="s">
        <v>414</v>
      </c>
      <c r="M401" s="226" t="s">
        <v>403</v>
      </c>
      <c r="N401" s="317" t="s">
        <v>402</v>
      </c>
      <c r="O401" s="329" t="s">
        <v>401</v>
      </c>
      <c r="P401" s="322" t="s">
        <v>407</v>
      </c>
      <c r="Q401" s="336"/>
    </row>
    <row r="402" spans="1:17" x14ac:dyDescent="0.4">
      <c r="A402" s="21" t="str">
        <f t="shared" ref="A402:A407" si="164">A264</f>
        <v>5-yr MACRS</v>
      </c>
      <c r="B402" s="209">
        <f>IF(Inputs!$C$145=0,0,depr_alloc_macrs_5_percent*100/Inputs!$C$145)</f>
        <v>0</v>
      </c>
      <c r="C402" s="119">
        <f>$B$258*depr_alloc_macrs_5_percent/100</f>
        <v>0</v>
      </c>
      <c r="D402" s="122">
        <f t="shared" ref="D402:D408" si="165">$B402/100*($B$420+$B$426)</f>
        <v>0</v>
      </c>
      <c r="E402" s="125">
        <f t="shared" ref="E402:E408" si="166">$B402/100*$B$432</f>
        <v>0</v>
      </c>
      <c r="F402" s="126">
        <f>C402-D402-E402</f>
        <v>0</v>
      </c>
      <c r="G402" s="125">
        <f>IF(depr_itc_fed_macrs_5="Yes",F402,0)</f>
        <v>0</v>
      </c>
      <c r="H402" s="131">
        <f t="shared" ref="H402:H408" si="167">IF($G$409=0,0,G402/$G$409)*100</f>
        <v>0</v>
      </c>
      <c r="I402" s="125">
        <f t="shared" ref="I402:I408" si="168">$I$409*H402/100</f>
        <v>0</v>
      </c>
      <c r="J402" s="126">
        <f>I402*0.5</f>
        <v>0</v>
      </c>
      <c r="K402" s="121">
        <f t="shared" ref="K402:K408" si="169">H402/100*$K$409</f>
        <v>0</v>
      </c>
      <c r="L402" s="121">
        <f>K402*0.5</f>
        <v>0</v>
      </c>
      <c r="M402" s="119">
        <f t="shared" ref="M402:M408" si="170">IF(itc_sta_amount_deprbas_fed="Yes",L264,0)+IF(itc_sta_percent_deprbas_fed="Yes",J264,0)</f>
        <v>0</v>
      </c>
      <c r="N402" s="119">
        <f t="shared" ref="N402:N408" si="171">IF(itc_fed_amount_deprbas_fed="Yes",L402,0)+IF(itc_fed_percent_deprbas_fed="Yes",J402,0)</f>
        <v>0</v>
      </c>
      <c r="O402" s="121">
        <f t="shared" ref="O402:O406" si="172">F402-M402-N402</f>
        <v>0</v>
      </c>
      <c r="P402" s="119">
        <f>IF(depr_bonus_fed_macrs_5="Yes",O402*depr_bonus_fed/100,0)</f>
        <v>0</v>
      </c>
      <c r="Q402" s="121">
        <f>O402-P402</f>
        <v>0</v>
      </c>
    </row>
    <row r="403" spans="1:17" x14ac:dyDescent="0.4">
      <c r="A403" s="21" t="str">
        <f t="shared" si="164"/>
        <v>15-yr MACRS</v>
      </c>
      <c r="B403" s="209">
        <f>IF(Inputs!$C$145=0,0,depr_alloc_macrs_15_percent*100/Inputs!$C$145)</f>
        <v>0</v>
      </c>
      <c r="C403" s="119">
        <f>$B$258*depr_alloc_macrs_15_percent/100</f>
        <v>0</v>
      </c>
      <c r="D403" s="123">
        <f t="shared" si="165"/>
        <v>0</v>
      </c>
      <c r="E403" s="119">
        <f t="shared" si="166"/>
        <v>0</v>
      </c>
      <c r="F403" s="128">
        <f t="shared" ref="F403:F406" si="173">C403-D403-E403</f>
        <v>0</v>
      </c>
      <c r="G403" s="119">
        <f>IF(depr_itc_fed_macrs_15="Yes",F403,0)</f>
        <v>0</v>
      </c>
      <c r="H403" s="132">
        <f t="shared" si="167"/>
        <v>0</v>
      </c>
      <c r="I403" s="119">
        <f t="shared" si="168"/>
        <v>0</v>
      </c>
      <c r="J403" s="128">
        <f t="shared" ref="J403:J408" si="174">I403*0.5</f>
        <v>0</v>
      </c>
      <c r="K403" s="121">
        <f t="shared" si="169"/>
        <v>0</v>
      </c>
      <c r="L403" s="121">
        <f t="shared" ref="L403:L408" si="175">K403*0.5</f>
        <v>0</v>
      </c>
      <c r="M403" s="119">
        <f t="shared" si="170"/>
        <v>0</v>
      </c>
      <c r="N403" s="119">
        <f t="shared" si="171"/>
        <v>0</v>
      </c>
      <c r="O403" s="121">
        <f t="shared" si="172"/>
        <v>0</v>
      </c>
      <c r="P403" s="119">
        <f>IF(depr_bonus_fed_macrs_15="Yes",O403*depr_bonus_fed/100,0)</f>
        <v>0</v>
      </c>
      <c r="Q403" s="121">
        <f t="shared" ref="Q403:Q406" si="176">O403-P403</f>
        <v>0</v>
      </c>
    </row>
    <row r="404" spans="1:17" x14ac:dyDescent="0.4">
      <c r="A404" s="21" t="str">
        <f t="shared" si="164"/>
        <v>5-yr SL</v>
      </c>
      <c r="B404" s="209">
        <f>IF(Inputs!$C$145=0,0,depr_alloc_sl_5_percent*100/Inputs!$C$145)</f>
        <v>0</v>
      </c>
      <c r="C404" s="119">
        <f>$B$258*depr_alloc_sl_5_percent/100</f>
        <v>0</v>
      </c>
      <c r="D404" s="123">
        <f t="shared" si="165"/>
        <v>0</v>
      </c>
      <c r="E404" s="119">
        <f t="shared" si="166"/>
        <v>0</v>
      </c>
      <c r="F404" s="128">
        <f t="shared" si="173"/>
        <v>0</v>
      </c>
      <c r="G404" s="119">
        <f>IF(depr_itc_fed_sl_5="Yes",F404,0)</f>
        <v>0</v>
      </c>
      <c r="H404" s="132">
        <f t="shared" si="167"/>
        <v>0</v>
      </c>
      <c r="I404" s="119">
        <f t="shared" si="168"/>
        <v>0</v>
      </c>
      <c r="J404" s="128">
        <f t="shared" si="174"/>
        <v>0</v>
      </c>
      <c r="K404" s="121">
        <f t="shared" si="169"/>
        <v>0</v>
      </c>
      <c r="L404" s="121">
        <f t="shared" si="175"/>
        <v>0</v>
      </c>
      <c r="M404" s="119">
        <f t="shared" si="170"/>
        <v>0</v>
      </c>
      <c r="N404" s="119">
        <f t="shared" si="171"/>
        <v>0</v>
      </c>
      <c r="O404" s="121">
        <f t="shared" si="172"/>
        <v>0</v>
      </c>
      <c r="P404" s="119">
        <f>IF(depr_bonus_fed_sl_5="Yes",O404*depr_bonus_fed/100,0)</f>
        <v>0</v>
      </c>
      <c r="Q404" s="121">
        <f t="shared" si="176"/>
        <v>0</v>
      </c>
    </row>
    <row r="405" spans="1:17" x14ac:dyDescent="0.4">
      <c r="A405" s="21" t="str">
        <f t="shared" si="164"/>
        <v>15-yr SL</v>
      </c>
      <c r="B405" s="209">
        <f>IF(Inputs!$C$145=0,0,depr_alloc_sl_15_percent*100/Inputs!$C$145)</f>
        <v>0</v>
      </c>
      <c r="C405" s="119">
        <f>$B$258*depr_alloc_sl_15_percent/100</f>
        <v>0</v>
      </c>
      <c r="D405" s="123">
        <f t="shared" si="165"/>
        <v>0</v>
      </c>
      <c r="E405" s="119">
        <f t="shared" si="166"/>
        <v>0</v>
      </c>
      <c r="F405" s="128">
        <f t="shared" si="173"/>
        <v>0</v>
      </c>
      <c r="G405" s="119">
        <f>IF(depr_itc_fed_sl_15="Yes",F405,0)</f>
        <v>0</v>
      </c>
      <c r="H405" s="132">
        <f t="shared" si="167"/>
        <v>0</v>
      </c>
      <c r="I405" s="119">
        <f t="shared" si="168"/>
        <v>0</v>
      </c>
      <c r="J405" s="128">
        <f t="shared" si="174"/>
        <v>0</v>
      </c>
      <c r="K405" s="121">
        <f t="shared" si="169"/>
        <v>0</v>
      </c>
      <c r="L405" s="121">
        <f t="shared" si="175"/>
        <v>0</v>
      </c>
      <c r="M405" s="119">
        <f t="shared" si="170"/>
        <v>0</v>
      </c>
      <c r="N405" s="119">
        <f t="shared" si="171"/>
        <v>0</v>
      </c>
      <c r="O405" s="121">
        <f t="shared" si="172"/>
        <v>0</v>
      </c>
      <c r="P405" s="119">
        <f>IF(depr_bonus_fed_sl_15="Yes",O405*depr_bonus_fed/100,0)</f>
        <v>0</v>
      </c>
      <c r="Q405" s="121">
        <f t="shared" si="176"/>
        <v>0</v>
      </c>
    </row>
    <row r="406" spans="1:17" x14ac:dyDescent="0.4">
      <c r="A406" s="21" t="str">
        <f t="shared" si="164"/>
        <v>20-yr SL</v>
      </c>
      <c r="B406" s="209">
        <f>IF(Inputs!$C$145=0,0,depr_alloc_sl_20_percent*100/Inputs!$C$145)</f>
        <v>0</v>
      </c>
      <c r="C406" s="119">
        <f>$B$258*depr_alloc_sl_20_percent/100</f>
        <v>0</v>
      </c>
      <c r="D406" s="123">
        <f t="shared" si="165"/>
        <v>0</v>
      </c>
      <c r="E406" s="119">
        <f t="shared" si="166"/>
        <v>0</v>
      </c>
      <c r="F406" s="128">
        <f t="shared" si="173"/>
        <v>0</v>
      </c>
      <c r="G406" s="119">
        <f>IF(depr_itc_fed_sl_20="Yes",F406,0)</f>
        <v>0</v>
      </c>
      <c r="H406" s="132">
        <f t="shared" si="167"/>
        <v>0</v>
      </c>
      <c r="I406" s="119">
        <f t="shared" si="168"/>
        <v>0</v>
      </c>
      <c r="J406" s="128">
        <f t="shared" si="174"/>
        <v>0</v>
      </c>
      <c r="K406" s="121">
        <f t="shared" si="169"/>
        <v>0</v>
      </c>
      <c r="L406" s="121">
        <f t="shared" si="175"/>
        <v>0</v>
      </c>
      <c r="M406" s="119">
        <f t="shared" si="170"/>
        <v>0</v>
      </c>
      <c r="N406" s="119">
        <f t="shared" si="171"/>
        <v>0</v>
      </c>
      <c r="O406" s="121">
        <f t="shared" si="172"/>
        <v>0</v>
      </c>
      <c r="P406" s="119">
        <f>IF(depr_bonus_fed_sl_20="Yes",O406*depr_bonus_fed/100,0)</f>
        <v>0</v>
      </c>
      <c r="Q406" s="121">
        <f t="shared" si="176"/>
        <v>0</v>
      </c>
    </row>
    <row r="407" spans="1:17" x14ac:dyDescent="0.4">
      <c r="A407" s="21" t="str">
        <f t="shared" si="164"/>
        <v>39-yr SL</v>
      </c>
      <c r="B407" s="209">
        <f>IF(Inputs!$C$145=0,0,depr_alloc_sl_39_percent*100/Inputs!$C$145)</f>
        <v>0</v>
      </c>
      <c r="C407" s="119">
        <f>$B$258*depr_alloc_sl_39_percent/100</f>
        <v>0</v>
      </c>
      <c r="D407" s="123">
        <f t="shared" si="165"/>
        <v>0</v>
      </c>
      <c r="E407" s="119">
        <f t="shared" si="166"/>
        <v>0</v>
      </c>
      <c r="F407" s="128">
        <f>C407-D407-E407</f>
        <v>0</v>
      </c>
      <c r="G407" s="119">
        <f>IF(depr_itc_fed_sl_39="Yes",F407,0)</f>
        <v>0</v>
      </c>
      <c r="H407" s="132">
        <f t="shared" si="167"/>
        <v>0</v>
      </c>
      <c r="I407" s="119">
        <f t="shared" si="168"/>
        <v>0</v>
      </c>
      <c r="J407" s="128">
        <f t="shared" si="174"/>
        <v>0</v>
      </c>
      <c r="K407" s="121">
        <f t="shared" si="169"/>
        <v>0</v>
      </c>
      <c r="L407" s="121">
        <f t="shared" si="175"/>
        <v>0</v>
      </c>
      <c r="M407" s="123">
        <f t="shared" si="170"/>
        <v>0</v>
      </c>
      <c r="N407" s="119">
        <f t="shared" si="171"/>
        <v>0</v>
      </c>
      <c r="O407" s="121">
        <f>F407-M407-N407</f>
        <v>0</v>
      </c>
      <c r="P407" s="119">
        <f>IF(depr_bonus_fed_sl_39="Yes",O407*depr_bonus_fed/100,0)</f>
        <v>0</v>
      </c>
      <c r="Q407" s="121">
        <f>O407-P407</f>
        <v>0</v>
      </c>
    </row>
    <row r="408" spans="1:17" x14ac:dyDescent="0.4">
      <c r="A408" s="21" t="s">
        <v>286</v>
      </c>
      <c r="B408" s="210">
        <f>IF(Inputs!$C$145=0,0,depr_alloc_custom_percent*100/Inputs!$C$145)</f>
        <v>100</v>
      </c>
      <c r="C408" s="120">
        <f>$B$258*depr_alloc_custom_percent/100</f>
        <v>27739081.050000001</v>
      </c>
      <c r="D408" s="123">
        <f t="shared" si="165"/>
        <v>0</v>
      </c>
      <c r="E408" s="119">
        <f t="shared" si="166"/>
        <v>0</v>
      </c>
      <c r="F408" s="128">
        <f>C408-D408-E408</f>
        <v>27739081.050000001</v>
      </c>
      <c r="G408" s="119">
        <f>IF(depr_itc_fed_custom="Yes",F408,0)</f>
        <v>0</v>
      </c>
      <c r="H408" s="132">
        <f t="shared" si="167"/>
        <v>0</v>
      </c>
      <c r="I408" s="119">
        <f t="shared" si="168"/>
        <v>0</v>
      </c>
      <c r="J408" s="128">
        <f t="shared" si="174"/>
        <v>0</v>
      </c>
      <c r="K408" s="121">
        <f t="shared" si="169"/>
        <v>0</v>
      </c>
      <c r="L408" s="121">
        <f t="shared" si="175"/>
        <v>0</v>
      </c>
      <c r="M408" s="133">
        <f t="shared" si="170"/>
        <v>0</v>
      </c>
      <c r="N408" s="272">
        <f t="shared" si="171"/>
        <v>0</v>
      </c>
      <c r="O408" s="124">
        <f>F408-M408-N408</f>
        <v>27739081.050000001</v>
      </c>
      <c r="P408" s="120">
        <f>IF(depr_bonus_fed_custom="Yes",O408*depr_bonus_fed/100,0)</f>
        <v>0</v>
      </c>
      <c r="Q408" s="124">
        <f>O408-P408</f>
        <v>27739081.050000001</v>
      </c>
    </row>
    <row r="409" spans="1:17" x14ac:dyDescent="0.4">
      <c r="A409" s="327" t="s">
        <v>13</v>
      </c>
      <c r="B409" s="210">
        <f t="shared" ref="B409:H409" si="177">SUM(B402:B408)</f>
        <v>100</v>
      </c>
      <c r="C409" s="120">
        <f t="shared" si="177"/>
        <v>27739081.050000001</v>
      </c>
      <c r="D409" s="134">
        <f t="shared" si="177"/>
        <v>0</v>
      </c>
      <c r="E409" s="319">
        <f t="shared" si="177"/>
        <v>0</v>
      </c>
      <c r="F409" s="137">
        <f t="shared" si="177"/>
        <v>27739081.050000001</v>
      </c>
      <c r="G409" s="319">
        <f t="shared" si="177"/>
        <v>0</v>
      </c>
      <c r="H409" s="135">
        <f t="shared" si="177"/>
        <v>0</v>
      </c>
      <c r="I409" s="136">
        <f>SUM(C550:AP550)</f>
        <v>0</v>
      </c>
      <c r="J409" s="136">
        <f>SUM(J402:J408)</f>
        <v>0</v>
      </c>
      <c r="K409" s="134">
        <f>SUM(C547:AP547)</f>
        <v>0</v>
      </c>
      <c r="L409" s="137">
        <f t="shared" ref="L409:Q409" si="178">SUM(L402:L408)</f>
        <v>0</v>
      </c>
      <c r="M409" s="120">
        <f t="shared" si="178"/>
        <v>0</v>
      </c>
      <c r="N409" s="120">
        <f t="shared" si="178"/>
        <v>0</v>
      </c>
      <c r="O409" s="124">
        <f t="shared" si="178"/>
        <v>27739081.050000001</v>
      </c>
      <c r="P409" s="124">
        <f t="shared" si="178"/>
        <v>0</v>
      </c>
      <c r="Q409" s="124">
        <f t="shared" si="178"/>
        <v>27739081.050000001</v>
      </c>
    </row>
    <row r="411" spans="1:17" x14ac:dyDescent="0.4">
      <c r="A411" s="17" t="s">
        <v>421</v>
      </c>
      <c r="B411" s="332">
        <f>G409</f>
        <v>0</v>
      </c>
    </row>
    <row r="413" spans="1:17" x14ac:dyDescent="0.4">
      <c r="A413" s="4" t="s">
        <v>439</v>
      </c>
    </row>
    <row r="414" spans="1:17" x14ac:dyDescent="0.4">
      <c r="A414" s="86" t="str">
        <f>A276</f>
        <v>Investment Based Incentive (IBI)</v>
      </c>
    </row>
    <row r="415" spans="1:17" x14ac:dyDescent="0.4">
      <c r="A415" s="21" t="str">
        <f>A277</f>
        <v>As fixed amount</v>
      </c>
    </row>
    <row r="416" spans="1:17" x14ac:dyDescent="0.4">
      <c r="A416" s="87" t="s">
        <v>4</v>
      </c>
      <c r="B416" s="156">
        <f>IF(ibi_fed_amount_deprbas_fed="Yes",ibi_fed_amount,0)</f>
        <v>0</v>
      </c>
    </row>
    <row r="417" spans="1:2" x14ac:dyDescent="0.4">
      <c r="A417" s="87" t="s">
        <v>5</v>
      </c>
      <c r="B417" s="156">
        <f>IF(ibi_sta_amount_deprbas_fed="Yes",ibi_sta_amount,0)</f>
        <v>0</v>
      </c>
    </row>
    <row r="418" spans="1:2" x14ac:dyDescent="0.4">
      <c r="A418" s="87" t="s">
        <v>153</v>
      </c>
      <c r="B418" s="156">
        <f>IF(ibi_uti_amount_deprbas_fed="Yes",ibi_uti_amount,0)</f>
        <v>0</v>
      </c>
    </row>
    <row r="419" spans="1:2" x14ac:dyDescent="0.4">
      <c r="A419" s="87" t="s">
        <v>154</v>
      </c>
      <c r="B419" s="157">
        <f>IF(ibi_oth_amount_deprbas_fed="Yes",ibi_oth_amount,0)</f>
        <v>0</v>
      </c>
    </row>
    <row r="420" spans="1:2" x14ac:dyDescent="0.4">
      <c r="A420" s="87" t="str">
        <f>A282</f>
        <v>Total basis reduction for IBI as fixed amount</v>
      </c>
      <c r="B420" s="156">
        <f>SUM(B416:B419)</f>
        <v>0</v>
      </c>
    </row>
    <row r="421" spans="1:2" x14ac:dyDescent="0.4">
      <c r="A421" s="21" t="str">
        <f>A283</f>
        <v>As percentage</v>
      </c>
    </row>
    <row r="422" spans="1:2" x14ac:dyDescent="0.4">
      <c r="A422" s="87" t="s">
        <v>4</v>
      </c>
      <c r="B422" s="156">
        <f>IF(ibi_fed_percent_deprbas_fed="Yes",C574,0)</f>
        <v>0</v>
      </c>
    </row>
    <row r="423" spans="1:2" x14ac:dyDescent="0.4">
      <c r="A423" s="87" t="s">
        <v>5</v>
      </c>
      <c r="B423" s="156">
        <f>IF(ibi_sta_percent_deprbas_fed="Yes",C575,0)</f>
        <v>0</v>
      </c>
    </row>
    <row r="424" spans="1:2" x14ac:dyDescent="0.4">
      <c r="A424" s="87" t="s">
        <v>153</v>
      </c>
      <c r="B424" s="156">
        <f>IF(ibi_uti_percent_deprbas_fed="Yes",C576,0)</f>
        <v>0</v>
      </c>
    </row>
    <row r="425" spans="1:2" x14ac:dyDescent="0.4">
      <c r="A425" s="87" t="s">
        <v>154</v>
      </c>
      <c r="B425" s="157">
        <f>IF(ibi_oth_percent_deprbas_fed="Yes",C577,0)</f>
        <v>0</v>
      </c>
    </row>
    <row r="426" spans="1:2" x14ac:dyDescent="0.4">
      <c r="A426" s="87" t="str">
        <f>A288</f>
        <v>Total basis reduction for IBI as percentage</v>
      </c>
      <c r="B426" s="156">
        <f>SUM(B422:B425)</f>
        <v>0</v>
      </c>
    </row>
    <row r="427" spans="1:2" x14ac:dyDescent="0.4">
      <c r="A427" s="86" t="str">
        <f>A289</f>
        <v>Capacity Based Incentive (CBI)</v>
      </c>
    </row>
    <row r="428" spans="1:2" x14ac:dyDescent="0.4">
      <c r="A428" s="21" t="s">
        <v>4</v>
      </c>
      <c r="B428" s="156">
        <f>IF(cbi_fed_deprbas_fed="Yes",C581,0)</f>
        <v>0</v>
      </c>
    </row>
    <row r="429" spans="1:2" x14ac:dyDescent="0.4">
      <c r="A429" s="21" t="s">
        <v>5</v>
      </c>
      <c r="B429" s="156">
        <f>IF(cbi_sta_deprbas_fed="Yes",C582,0)</f>
        <v>0</v>
      </c>
    </row>
    <row r="430" spans="1:2" x14ac:dyDescent="0.4">
      <c r="A430" s="21" t="s">
        <v>153</v>
      </c>
      <c r="B430" s="156">
        <f>IF(cbi_uti_deprbas_fed="Yes",C583,0)</f>
        <v>0</v>
      </c>
    </row>
    <row r="431" spans="1:2" x14ac:dyDescent="0.4">
      <c r="A431" s="21" t="s">
        <v>154</v>
      </c>
      <c r="B431" s="156">
        <f>IF(cbi_oth_deprbas_fed="Yes",C584,0)</f>
        <v>0</v>
      </c>
    </row>
    <row r="432" spans="1:2" x14ac:dyDescent="0.4">
      <c r="A432" s="21" t="str">
        <f>A294</f>
        <v>Total basis reduction for CBI</v>
      </c>
      <c r="B432" s="320">
        <f>SUM(B428:B431)</f>
        <v>0</v>
      </c>
    </row>
    <row r="434" spans="1:42" x14ac:dyDescent="0.4">
      <c r="A434" s="4" t="s">
        <v>57</v>
      </c>
    </row>
    <row r="435" spans="1:42" x14ac:dyDescent="0.4">
      <c r="A435" s="86" t="s">
        <v>409</v>
      </c>
    </row>
    <row r="436" spans="1:42" x14ac:dyDescent="0.4">
      <c r="A436" s="21" t="s">
        <v>43</v>
      </c>
    </row>
    <row r="437" spans="1:42" x14ac:dyDescent="0.4">
      <c r="A437" s="22" t="str">
        <f t="shared" ref="A437:A442" si="179">A402</f>
        <v>5-yr MACRS</v>
      </c>
      <c r="B437" s="164" cm="1">
        <f t="array" ref="B437">SUM(IF(ISNUMBER(C437:AP437),C437:AP437))</f>
        <v>100</v>
      </c>
      <c r="C437" s="165">
        <f>LOOKUP(C$2,'Depreciation Schedules'!$A$3:$A$42,'Depreciation Schedules'!$B$3:$B$42)</f>
        <v>20</v>
      </c>
      <c r="D437" s="165">
        <f>LOOKUP(D$2,'Depreciation Schedules'!$A$3:$A$42,'Depreciation Schedules'!$B$3:$B$42)</f>
        <v>32</v>
      </c>
      <c r="E437" s="165">
        <f>LOOKUP(E$2,'Depreciation Schedules'!$A$3:$A$42,'Depreciation Schedules'!$B$3:$B$42)</f>
        <v>19.2</v>
      </c>
      <c r="F437" s="165">
        <f>LOOKUP(F$2,'Depreciation Schedules'!$A$3:$A$42,'Depreciation Schedules'!$B$3:$B$42)</f>
        <v>11.52</v>
      </c>
      <c r="G437" s="165">
        <f>LOOKUP(G$2,'Depreciation Schedules'!$A$3:$A$42,'Depreciation Schedules'!$B$3:$B$42)</f>
        <v>11.52</v>
      </c>
      <c r="H437" s="165">
        <f>LOOKUP(H$2,'Depreciation Schedules'!$A$3:$A$42,'Depreciation Schedules'!$B$3:$B$42)</f>
        <v>5.76</v>
      </c>
      <c r="I437" s="165">
        <f>LOOKUP(I$2,'Depreciation Schedules'!$A$3:$A$42,'Depreciation Schedules'!$B$3:$B$42)</f>
        <v>0</v>
      </c>
      <c r="J437" s="165">
        <f>LOOKUP(J$2,'Depreciation Schedules'!$A$3:$A$42,'Depreciation Schedules'!$B$3:$B$42)</f>
        <v>0</v>
      </c>
      <c r="K437" s="165">
        <f>LOOKUP(K$2,'Depreciation Schedules'!$A$3:$A$42,'Depreciation Schedules'!$B$3:$B$42)</f>
        <v>0</v>
      </c>
      <c r="L437" s="165">
        <f>LOOKUP(L$2,'Depreciation Schedules'!$A$3:$A$42,'Depreciation Schedules'!$B$3:$B$42)</f>
        <v>0</v>
      </c>
      <c r="M437" s="165">
        <f>LOOKUP(M$2,'Depreciation Schedules'!$A$3:$A$42,'Depreciation Schedules'!$B$3:$B$42)</f>
        <v>0</v>
      </c>
      <c r="N437" s="165">
        <f>LOOKUP(N$2,'Depreciation Schedules'!$A$3:$A$42,'Depreciation Schedules'!$B$3:$B$42)</f>
        <v>0</v>
      </c>
      <c r="O437" s="165">
        <f>LOOKUP(O$2,'Depreciation Schedules'!$A$3:$A$42,'Depreciation Schedules'!$B$3:$B$42)</f>
        <v>0</v>
      </c>
      <c r="P437" s="165">
        <f>LOOKUP(P$2,'Depreciation Schedules'!$A$3:$A$42,'Depreciation Schedules'!$B$3:$B$42)</f>
        <v>0</v>
      </c>
      <c r="Q437" s="165">
        <f>LOOKUP(Q$2,'Depreciation Schedules'!$A$3:$A$42,'Depreciation Schedules'!$B$3:$B$42)</f>
        <v>0</v>
      </c>
      <c r="R437" s="165">
        <f>LOOKUP(R$2,'Depreciation Schedules'!$A$3:$A$42,'Depreciation Schedules'!$B$3:$B$42)</f>
        <v>0</v>
      </c>
      <c r="S437" s="165">
        <f>LOOKUP(S$2,'Depreciation Schedules'!$A$3:$A$42,'Depreciation Schedules'!$B$3:$B$42)</f>
        <v>0</v>
      </c>
      <c r="T437" s="165">
        <f>LOOKUP(T$2,'Depreciation Schedules'!$A$3:$A$42,'Depreciation Schedules'!$B$3:$B$42)</f>
        <v>0</v>
      </c>
      <c r="U437" s="165">
        <f>LOOKUP(U$2,'Depreciation Schedules'!$A$3:$A$42,'Depreciation Schedules'!$B$3:$B$42)</f>
        <v>0</v>
      </c>
      <c r="V437" s="165">
        <f>LOOKUP(V$2,'Depreciation Schedules'!$A$3:$A$42,'Depreciation Schedules'!$B$3:$B$42)</f>
        <v>0</v>
      </c>
      <c r="W437" s="165">
        <f>LOOKUP(W$2,'Depreciation Schedules'!$A$3:$A$42,'Depreciation Schedules'!$B$3:$B$42)</f>
        <v>0</v>
      </c>
      <c r="X437" s="165">
        <f>LOOKUP(X$2,'Depreciation Schedules'!$A$3:$A$42,'Depreciation Schedules'!$B$3:$B$42)</f>
        <v>0</v>
      </c>
      <c r="Y437" s="165">
        <f>LOOKUP(Y$2,'Depreciation Schedules'!$A$3:$A$42,'Depreciation Schedules'!$B$3:$B$42)</f>
        <v>0</v>
      </c>
      <c r="Z437" s="165">
        <f>LOOKUP(Z$2,'Depreciation Schedules'!$A$3:$A$42,'Depreciation Schedules'!$B$3:$B$42)</f>
        <v>0</v>
      </c>
      <c r="AA437" s="165">
        <f>LOOKUP(AA$2,'Depreciation Schedules'!$A$3:$A$42,'Depreciation Schedules'!$B$3:$B$42)</f>
        <v>0</v>
      </c>
      <c r="AB437" s="165" t="e">
        <f>LOOKUP(AB$2,'Depreciation Schedules'!$A$3:$A$42,'Depreciation Schedules'!$B$3:$B$42)</f>
        <v>#N/A</v>
      </c>
      <c r="AC437" s="165" t="e">
        <f>LOOKUP(AC$2,'Depreciation Schedules'!$A$3:$A$42,'Depreciation Schedules'!$B$3:$B$42)</f>
        <v>#N/A</v>
      </c>
      <c r="AD437" s="165" t="e">
        <f>LOOKUP(AD$2,'Depreciation Schedules'!$A$3:$A$42,'Depreciation Schedules'!$B$3:$B$42)</f>
        <v>#N/A</v>
      </c>
      <c r="AE437" s="165" t="e">
        <f>LOOKUP(AE$2,'Depreciation Schedules'!$A$3:$A$42,'Depreciation Schedules'!$B$3:$B$42)</f>
        <v>#N/A</v>
      </c>
      <c r="AF437" s="165" t="e">
        <f>LOOKUP(AF$2,'Depreciation Schedules'!$A$3:$A$42,'Depreciation Schedules'!$B$3:$B$42)</f>
        <v>#N/A</v>
      </c>
      <c r="AG437" s="165" t="e">
        <f>LOOKUP(AG$2,'Depreciation Schedules'!$A$3:$A$42,'Depreciation Schedules'!$B$3:$B$42)</f>
        <v>#N/A</v>
      </c>
      <c r="AH437" s="165" t="e">
        <f>LOOKUP(AH$2,'Depreciation Schedules'!$A$3:$A$42,'Depreciation Schedules'!$B$3:$B$42)</f>
        <v>#N/A</v>
      </c>
      <c r="AI437" s="165" t="e">
        <f>LOOKUP(AI$2,'Depreciation Schedules'!$A$3:$A$42,'Depreciation Schedules'!$B$3:$B$42)</f>
        <v>#N/A</v>
      </c>
      <c r="AJ437" s="165" t="e">
        <f>LOOKUP(AJ$2,'Depreciation Schedules'!$A$3:$A$42,'Depreciation Schedules'!$B$3:$B$42)</f>
        <v>#N/A</v>
      </c>
      <c r="AK437" s="165" t="e">
        <f>LOOKUP(AK$2,'Depreciation Schedules'!$A$3:$A$42,'Depreciation Schedules'!$B$3:$B$42)</f>
        <v>#N/A</v>
      </c>
      <c r="AL437" s="165" t="e">
        <f>LOOKUP(AL$2,'Depreciation Schedules'!$A$3:$A$42,'Depreciation Schedules'!$B$3:$B$42)</f>
        <v>#N/A</v>
      </c>
      <c r="AM437" s="165" t="e">
        <f>LOOKUP(AM$2,'Depreciation Schedules'!$A$3:$A$42,'Depreciation Schedules'!$B$3:$B$42)</f>
        <v>#N/A</v>
      </c>
      <c r="AN437" s="165" t="e">
        <f>LOOKUP(AN$2,'Depreciation Schedules'!$A$3:$A$42,'Depreciation Schedules'!$B$3:$B$42)</f>
        <v>#N/A</v>
      </c>
      <c r="AO437" s="165" t="e">
        <f>LOOKUP(AO$2,'Depreciation Schedules'!$A$3:$A$42,'Depreciation Schedules'!$B$3:$B$42)</f>
        <v>#N/A</v>
      </c>
      <c r="AP437" s="165" t="e">
        <f>LOOKUP(AP$2,'Depreciation Schedules'!$A$3:$A$42,'Depreciation Schedules'!$B$3:$B$42)</f>
        <v>#N/A</v>
      </c>
    </row>
    <row r="438" spans="1:42" x14ac:dyDescent="0.4">
      <c r="A438" s="22" t="str">
        <f t="shared" si="179"/>
        <v>15-yr MACRS</v>
      </c>
      <c r="B438" s="164">
        <f t="array" ref="B438">SUM(IF(ISNUMBER(C438:AP438),C438:AP438))</f>
        <v>99.990000000000009</v>
      </c>
      <c r="C438" s="165">
        <f>LOOKUP(C$2,'Depreciation Schedules'!$A$3:$A$42,'Depreciation Schedules'!$C$3:$C$42)</f>
        <v>5</v>
      </c>
      <c r="D438" s="165">
        <f>LOOKUP(D$2,'Depreciation Schedules'!$A$3:$A$42,'Depreciation Schedules'!$C$3:$C$42)</f>
        <v>9.5</v>
      </c>
      <c r="E438" s="165">
        <f>LOOKUP(E$2,'Depreciation Schedules'!$A$3:$A$42,'Depreciation Schedules'!$C$3:$C$42)</f>
        <v>8.5500000000000007</v>
      </c>
      <c r="F438" s="165">
        <f>LOOKUP(F$2,'Depreciation Schedules'!$A$3:$A$42,'Depreciation Schedules'!$C$3:$C$42)</f>
        <v>7.7</v>
      </c>
      <c r="G438" s="165">
        <f>LOOKUP(G$2,'Depreciation Schedules'!$A$3:$A$42,'Depreciation Schedules'!$C$3:$C$42)</f>
        <v>6.93</v>
      </c>
      <c r="H438" s="165">
        <f>LOOKUP(H$2,'Depreciation Schedules'!$A$3:$A$42,'Depreciation Schedules'!$C$3:$C$42)</f>
        <v>6.23</v>
      </c>
      <c r="I438" s="165">
        <f>LOOKUP(I$2,'Depreciation Schedules'!$A$3:$A$42,'Depreciation Schedules'!$C$3:$C$42)</f>
        <v>5.9</v>
      </c>
      <c r="J438" s="165">
        <f>LOOKUP(J$2,'Depreciation Schedules'!$A$3:$A$42,'Depreciation Schedules'!$C$3:$C$42)</f>
        <v>5.9</v>
      </c>
      <c r="K438" s="165">
        <f>LOOKUP(K$2,'Depreciation Schedules'!$A$3:$A$42,'Depreciation Schedules'!$C$3:$C$42)</f>
        <v>5.91</v>
      </c>
      <c r="L438" s="165">
        <f>LOOKUP(L$2,'Depreciation Schedules'!$A$3:$A$42,'Depreciation Schedules'!$C$3:$C$42)</f>
        <v>5.9</v>
      </c>
      <c r="M438" s="165">
        <f>LOOKUP(M$2,'Depreciation Schedules'!$A$3:$A$42,'Depreciation Schedules'!$C$3:$C$42)</f>
        <v>5.91</v>
      </c>
      <c r="N438" s="165">
        <f>LOOKUP(N$2,'Depreciation Schedules'!$A$3:$A$42,'Depreciation Schedules'!$C$3:$C$42)</f>
        <v>5.9</v>
      </c>
      <c r="O438" s="165">
        <f>LOOKUP(O$2,'Depreciation Schedules'!$A$3:$A$42,'Depreciation Schedules'!$C$3:$C$42)</f>
        <v>5.91</v>
      </c>
      <c r="P438" s="165">
        <f>LOOKUP(P$2,'Depreciation Schedules'!$A$3:$A$42,'Depreciation Schedules'!$C$3:$C$42)</f>
        <v>5.9</v>
      </c>
      <c r="Q438" s="165">
        <f>LOOKUP(Q$2,'Depreciation Schedules'!$A$3:$A$42,'Depreciation Schedules'!$C$3:$C$42)</f>
        <v>5.9</v>
      </c>
      <c r="R438" s="165">
        <f>LOOKUP(R$2,'Depreciation Schedules'!$A$3:$A$42,'Depreciation Schedules'!$C$3:$C$42)</f>
        <v>2.95</v>
      </c>
      <c r="S438" s="165">
        <f>LOOKUP(S$2,'Depreciation Schedules'!$A$3:$A$42,'Depreciation Schedules'!$C$3:$C$42)</f>
        <v>0</v>
      </c>
      <c r="T438" s="165">
        <f>LOOKUP(T$2,'Depreciation Schedules'!$A$3:$A$42,'Depreciation Schedules'!$C$3:$C$42)</f>
        <v>0</v>
      </c>
      <c r="U438" s="165">
        <f>LOOKUP(U$2,'Depreciation Schedules'!$A$3:$A$42,'Depreciation Schedules'!$C$3:$C$42)</f>
        <v>0</v>
      </c>
      <c r="V438" s="165">
        <f>LOOKUP(V$2,'Depreciation Schedules'!$A$3:$A$42,'Depreciation Schedules'!$C$3:$C$42)</f>
        <v>0</v>
      </c>
      <c r="W438" s="165">
        <f>LOOKUP(W$2,'Depreciation Schedules'!$A$3:$A$42,'Depreciation Schedules'!$C$3:$C$42)</f>
        <v>0</v>
      </c>
      <c r="X438" s="165">
        <f>LOOKUP(X$2,'Depreciation Schedules'!$A$3:$A$42,'Depreciation Schedules'!$C$3:$C$42)</f>
        <v>0</v>
      </c>
      <c r="Y438" s="165">
        <f>LOOKUP(Y$2,'Depreciation Schedules'!$A$3:$A$42,'Depreciation Schedules'!$C$3:$C$42)</f>
        <v>0</v>
      </c>
      <c r="Z438" s="165">
        <f>LOOKUP(Z$2,'Depreciation Schedules'!$A$3:$A$42,'Depreciation Schedules'!$C$3:$C$42)</f>
        <v>0</v>
      </c>
      <c r="AA438" s="165">
        <f>LOOKUP(AA$2,'Depreciation Schedules'!$A$3:$A$42,'Depreciation Schedules'!$C$3:$C$42)</f>
        <v>0</v>
      </c>
      <c r="AB438" s="165" t="e">
        <f>LOOKUP(AB$2,'Depreciation Schedules'!$A$3:$A$42,'Depreciation Schedules'!$C$3:$C$42)</f>
        <v>#N/A</v>
      </c>
      <c r="AC438" s="165" t="e">
        <f>LOOKUP(AC$2,'Depreciation Schedules'!$A$3:$A$42,'Depreciation Schedules'!$C$3:$C$42)</f>
        <v>#N/A</v>
      </c>
      <c r="AD438" s="165" t="e">
        <f>LOOKUP(AD$2,'Depreciation Schedules'!$A$3:$A$42,'Depreciation Schedules'!$C$3:$C$42)</f>
        <v>#N/A</v>
      </c>
      <c r="AE438" s="165" t="e">
        <f>LOOKUP(AE$2,'Depreciation Schedules'!$A$3:$A$42,'Depreciation Schedules'!$C$3:$C$42)</f>
        <v>#N/A</v>
      </c>
      <c r="AF438" s="165" t="e">
        <f>LOOKUP(AF$2,'Depreciation Schedules'!$A$3:$A$42,'Depreciation Schedules'!$C$3:$C$42)</f>
        <v>#N/A</v>
      </c>
      <c r="AG438" s="165" t="e">
        <f>LOOKUP(AG$2,'Depreciation Schedules'!$A$3:$A$42,'Depreciation Schedules'!$C$3:$C$42)</f>
        <v>#N/A</v>
      </c>
      <c r="AH438" s="165" t="e">
        <f>LOOKUP(AH$2,'Depreciation Schedules'!$A$3:$A$42,'Depreciation Schedules'!$C$3:$C$42)</f>
        <v>#N/A</v>
      </c>
      <c r="AI438" s="165" t="e">
        <f>LOOKUP(AI$2,'Depreciation Schedules'!$A$3:$A$42,'Depreciation Schedules'!$C$3:$C$42)</f>
        <v>#N/A</v>
      </c>
      <c r="AJ438" s="165" t="e">
        <f>LOOKUP(AJ$2,'Depreciation Schedules'!$A$3:$A$42,'Depreciation Schedules'!$C$3:$C$42)</f>
        <v>#N/A</v>
      </c>
      <c r="AK438" s="165" t="e">
        <f>LOOKUP(AK$2,'Depreciation Schedules'!$A$3:$A$42,'Depreciation Schedules'!$C$3:$C$42)</f>
        <v>#N/A</v>
      </c>
      <c r="AL438" s="165" t="e">
        <f>LOOKUP(AL$2,'Depreciation Schedules'!$A$3:$A$42,'Depreciation Schedules'!$C$3:$C$42)</f>
        <v>#N/A</v>
      </c>
      <c r="AM438" s="165" t="e">
        <f>LOOKUP(AM$2,'Depreciation Schedules'!$A$3:$A$42,'Depreciation Schedules'!$C$3:$C$42)</f>
        <v>#N/A</v>
      </c>
      <c r="AN438" s="165" t="e">
        <f>LOOKUP(AN$2,'Depreciation Schedules'!$A$3:$A$42,'Depreciation Schedules'!$C$3:$C$42)</f>
        <v>#N/A</v>
      </c>
      <c r="AO438" s="165" t="e">
        <f>LOOKUP(AO$2,'Depreciation Schedules'!$A$3:$A$42,'Depreciation Schedules'!$C$3:$C$42)</f>
        <v>#N/A</v>
      </c>
      <c r="AP438" s="165" t="e">
        <f>LOOKUP(AP$2,'Depreciation Schedules'!$A$3:$A$42,'Depreciation Schedules'!$C$3:$C$42)</f>
        <v>#N/A</v>
      </c>
    </row>
    <row r="439" spans="1:42" x14ac:dyDescent="0.4">
      <c r="A439" s="22" t="str">
        <f t="shared" si="179"/>
        <v>5-yr SL</v>
      </c>
      <c r="B439" s="164">
        <f t="array" ref="B439">SUM(IF(ISNUMBER(C439:AP439),C439:AP439))</f>
        <v>100</v>
      </c>
      <c r="C439" s="165">
        <f>LOOKUP(C$2,'Depreciation Schedules'!$A$3:$A$42,'Depreciation Schedules'!$D$3:$D$42)</f>
        <v>10</v>
      </c>
      <c r="D439" s="165">
        <f>LOOKUP(D$2,'Depreciation Schedules'!$A$3:$A$42,'Depreciation Schedules'!$D$3:$D$42)</f>
        <v>20</v>
      </c>
      <c r="E439" s="165">
        <f>LOOKUP(E$2,'Depreciation Schedules'!$A$3:$A$42,'Depreciation Schedules'!$D$3:$D$42)</f>
        <v>20</v>
      </c>
      <c r="F439" s="165">
        <f>LOOKUP(F$2,'Depreciation Schedules'!$A$3:$A$42,'Depreciation Schedules'!$D$3:$D$42)</f>
        <v>20</v>
      </c>
      <c r="G439" s="165">
        <f>LOOKUP(G$2,'Depreciation Schedules'!$A$3:$A$42,'Depreciation Schedules'!$D$3:$D$42)</f>
        <v>20</v>
      </c>
      <c r="H439" s="165">
        <f>LOOKUP(H$2,'Depreciation Schedules'!$A$3:$A$42,'Depreciation Schedules'!$D$3:$D$42)</f>
        <v>10</v>
      </c>
      <c r="I439" s="165">
        <f>LOOKUP(I$2,'Depreciation Schedules'!$A$3:$A$42,'Depreciation Schedules'!$D$3:$D$42)</f>
        <v>0</v>
      </c>
      <c r="J439" s="165">
        <f>LOOKUP(J$2,'Depreciation Schedules'!$A$3:$A$42,'Depreciation Schedules'!$D$3:$D$42)</f>
        <v>0</v>
      </c>
      <c r="K439" s="165">
        <f>LOOKUP(K$2,'Depreciation Schedules'!$A$3:$A$42,'Depreciation Schedules'!$D$3:$D$42)</f>
        <v>0</v>
      </c>
      <c r="L439" s="165">
        <f>LOOKUP(L$2,'Depreciation Schedules'!$A$3:$A$42,'Depreciation Schedules'!$D$3:$D$42)</f>
        <v>0</v>
      </c>
      <c r="M439" s="165">
        <f>LOOKUP(M$2,'Depreciation Schedules'!$A$3:$A$42,'Depreciation Schedules'!$D$3:$D$42)</f>
        <v>0</v>
      </c>
      <c r="N439" s="165">
        <f>LOOKUP(N$2,'Depreciation Schedules'!$A$3:$A$42,'Depreciation Schedules'!$D$3:$D$42)</f>
        <v>0</v>
      </c>
      <c r="O439" s="165">
        <f>LOOKUP(O$2,'Depreciation Schedules'!$A$3:$A$42,'Depreciation Schedules'!$D$3:$D$42)</f>
        <v>0</v>
      </c>
      <c r="P439" s="165">
        <f>LOOKUP(P$2,'Depreciation Schedules'!$A$3:$A$42,'Depreciation Schedules'!$D$3:$D$42)</f>
        <v>0</v>
      </c>
      <c r="Q439" s="165">
        <f>LOOKUP(Q$2,'Depreciation Schedules'!$A$3:$A$42,'Depreciation Schedules'!$D$3:$D$42)</f>
        <v>0</v>
      </c>
      <c r="R439" s="165">
        <f>LOOKUP(R$2,'Depreciation Schedules'!$A$3:$A$42,'Depreciation Schedules'!$D$3:$D$42)</f>
        <v>0</v>
      </c>
      <c r="S439" s="165">
        <f>LOOKUP(S$2,'Depreciation Schedules'!$A$3:$A$42,'Depreciation Schedules'!$D$3:$D$42)</f>
        <v>0</v>
      </c>
      <c r="T439" s="165">
        <f>LOOKUP(T$2,'Depreciation Schedules'!$A$3:$A$42,'Depreciation Schedules'!$D$3:$D$42)</f>
        <v>0</v>
      </c>
      <c r="U439" s="165">
        <f>LOOKUP(U$2,'Depreciation Schedules'!$A$3:$A$42,'Depreciation Schedules'!$D$3:$D$42)</f>
        <v>0</v>
      </c>
      <c r="V439" s="165">
        <f>LOOKUP(V$2,'Depreciation Schedules'!$A$3:$A$42,'Depreciation Schedules'!$D$3:$D$42)</f>
        <v>0</v>
      </c>
      <c r="W439" s="165">
        <f>LOOKUP(W$2,'Depreciation Schedules'!$A$3:$A$42,'Depreciation Schedules'!$D$3:$D$42)</f>
        <v>0</v>
      </c>
      <c r="X439" s="165">
        <f>LOOKUP(X$2,'Depreciation Schedules'!$A$3:$A$42,'Depreciation Schedules'!$D$3:$D$42)</f>
        <v>0</v>
      </c>
      <c r="Y439" s="165">
        <f>LOOKUP(Y$2,'Depreciation Schedules'!$A$3:$A$42,'Depreciation Schedules'!$D$3:$D$42)</f>
        <v>0</v>
      </c>
      <c r="Z439" s="165">
        <f>LOOKUP(Z$2,'Depreciation Schedules'!$A$3:$A$42,'Depreciation Schedules'!$D$3:$D$42)</f>
        <v>0</v>
      </c>
      <c r="AA439" s="165">
        <f>LOOKUP(AA$2,'Depreciation Schedules'!$A$3:$A$42,'Depreciation Schedules'!$D$3:$D$42)</f>
        <v>0</v>
      </c>
      <c r="AB439" s="165" t="e">
        <f>LOOKUP(AB$2,'Depreciation Schedules'!$A$3:$A$42,'Depreciation Schedules'!$D$3:$D$42)</f>
        <v>#N/A</v>
      </c>
      <c r="AC439" s="165" t="e">
        <f>LOOKUP(AC$2,'Depreciation Schedules'!$A$3:$A$42,'Depreciation Schedules'!$D$3:$D$42)</f>
        <v>#N/A</v>
      </c>
      <c r="AD439" s="165" t="e">
        <f>LOOKUP(AD$2,'Depreciation Schedules'!$A$3:$A$42,'Depreciation Schedules'!$D$3:$D$42)</f>
        <v>#N/A</v>
      </c>
      <c r="AE439" s="165" t="e">
        <f>LOOKUP(AE$2,'Depreciation Schedules'!$A$3:$A$42,'Depreciation Schedules'!$D$3:$D$42)</f>
        <v>#N/A</v>
      </c>
      <c r="AF439" s="165" t="e">
        <f>LOOKUP(AF$2,'Depreciation Schedules'!$A$3:$A$42,'Depreciation Schedules'!$D$3:$D$42)</f>
        <v>#N/A</v>
      </c>
      <c r="AG439" s="165" t="e">
        <f>LOOKUP(AG$2,'Depreciation Schedules'!$A$3:$A$42,'Depreciation Schedules'!$D$3:$D$42)</f>
        <v>#N/A</v>
      </c>
      <c r="AH439" s="165" t="e">
        <f>LOOKUP(AH$2,'Depreciation Schedules'!$A$3:$A$42,'Depreciation Schedules'!$D$3:$D$42)</f>
        <v>#N/A</v>
      </c>
      <c r="AI439" s="165" t="e">
        <f>LOOKUP(AI$2,'Depreciation Schedules'!$A$3:$A$42,'Depreciation Schedules'!$D$3:$D$42)</f>
        <v>#N/A</v>
      </c>
      <c r="AJ439" s="165" t="e">
        <f>LOOKUP(AJ$2,'Depreciation Schedules'!$A$3:$A$42,'Depreciation Schedules'!$D$3:$D$42)</f>
        <v>#N/A</v>
      </c>
      <c r="AK439" s="165" t="e">
        <f>LOOKUP(AK$2,'Depreciation Schedules'!$A$3:$A$42,'Depreciation Schedules'!$D$3:$D$42)</f>
        <v>#N/A</v>
      </c>
      <c r="AL439" s="165" t="e">
        <f>LOOKUP(AL$2,'Depreciation Schedules'!$A$3:$A$42,'Depreciation Schedules'!$D$3:$D$42)</f>
        <v>#N/A</v>
      </c>
      <c r="AM439" s="165" t="e">
        <f>LOOKUP(AM$2,'Depreciation Schedules'!$A$3:$A$42,'Depreciation Schedules'!$D$3:$D$42)</f>
        <v>#N/A</v>
      </c>
      <c r="AN439" s="165" t="e">
        <f>LOOKUP(AN$2,'Depreciation Schedules'!$A$3:$A$42,'Depreciation Schedules'!$D$3:$D$42)</f>
        <v>#N/A</v>
      </c>
      <c r="AO439" s="165" t="e">
        <f>LOOKUP(AO$2,'Depreciation Schedules'!$A$3:$A$42,'Depreciation Schedules'!$D$3:$D$42)</f>
        <v>#N/A</v>
      </c>
      <c r="AP439" s="165" t="e">
        <f>LOOKUP(AP$2,'Depreciation Schedules'!$A$3:$A$42,'Depreciation Schedules'!$D$3:$D$42)</f>
        <v>#N/A</v>
      </c>
    </row>
    <row r="440" spans="1:42" x14ac:dyDescent="0.4">
      <c r="A440" s="22" t="str">
        <f t="shared" si="179"/>
        <v>15-yr SL</v>
      </c>
      <c r="B440" s="164">
        <f t="array" ref="B440">SUM(IF(ISNUMBER(C440:AP440),C440:AP440))</f>
        <v>100.02000000000001</v>
      </c>
      <c r="C440" s="165">
        <f>LOOKUP(C$2,'Depreciation Schedules'!$A$3:$A$42,'Depreciation Schedules'!$E$3:$E$42)</f>
        <v>3.33</v>
      </c>
      <c r="D440" s="165">
        <f>LOOKUP(D$2,'Depreciation Schedules'!$A$3:$A$42,'Depreciation Schedules'!$E$3:$E$42)</f>
        <v>6.67</v>
      </c>
      <c r="E440" s="165">
        <f>LOOKUP(E$2,'Depreciation Schedules'!$A$3:$A$42,'Depreciation Schedules'!$E$3:$E$42)</f>
        <v>6.67</v>
      </c>
      <c r="F440" s="165">
        <f>LOOKUP(F$2,'Depreciation Schedules'!$A$3:$A$42,'Depreciation Schedules'!$E$3:$E$42)</f>
        <v>6.67</v>
      </c>
      <c r="G440" s="165">
        <f>LOOKUP(G$2,'Depreciation Schedules'!$A$3:$A$42,'Depreciation Schedules'!$E$3:$E$42)</f>
        <v>6.67</v>
      </c>
      <c r="H440" s="165">
        <f>LOOKUP(H$2,'Depreciation Schedules'!$A$3:$A$42,'Depreciation Schedules'!$E$3:$E$42)</f>
        <v>6.67</v>
      </c>
      <c r="I440" s="165">
        <f>LOOKUP(I$2,'Depreciation Schedules'!$A$3:$A$42,'Depreciation Schedules'!$E$3:$E$42)</f>
        <v>6.67</v>
      </c>
      <c r="J440" s="165">
        <f>LOOKUP(J$2,'Depreciation Schedules'!$A$3:$A$42,'Depreciation Schedules'!$E$3:$E$42)</f>
        <v>6.67</v>
      </c>
      <c r="K440" s="165">
        <f>LOOKUP(K$2,'Depreciation Schedules'!$A$3:$A$42,'Depreciation Schedules'!$E$3:$E$42)</f>
        <v>6.67</v>
      </c>
      <c r="L440" s="165">
        <f>LOOKUP(L$2,'Depreciation Schedules'!$A$3:$A$42,'Depreciation Schedules'!$E$3:$E$42)</f>
        <v>6.67</v>
      </c>
      <c r="M440" s="165">
        <f>LOOKUP(M$2,'Depreciation Schedules'!$A$3:$A$42,'Depreciation Schedules'!$E$3:$E$42)</f>
        <v>6.67</v>
      </c>
      <c r="N440" s="165">
        <f>LOOKUP(N$2,'Depreciation Schedules'!$A$3:$A$42,'Depreciation Schedules'!$E$3:$E$42)</f>
        <v>6.66</v>
      </c>
      <c r="O440" s="165">
        <f>LOOKUP(O$2,'Depreciation Schedules'!$A$3:$A$42,'Depreciation Schedules'!$E$3:$E$42)</f>
        <v>6.67</v>
      </c>
      <c r="P440" s="165">
        <f>LOOKUP(P$2,'Depreciation Schedules'!$A$3:$A$42,'Depreciation Schedules'!$E$3:$E$42)</f>
        <v>6.66</v>
      </c>
      <c r="Q440" s="165">
        <f>LOOKUP(Q$2,'Depreciation Schedules'!$A$3:$A$42,'Depreciation Schedules'!$E$3:$E$42)</f>
        <v>6.67</v>
      </c>
      <c r="R440" s="165">
        <f>LOOKUP(R$2,'Depreciation Schedules'!$A$3:$A$42,'Depreciation Schedules'!$E$3:$E$42)</f>
        <v>3.33</v>
      </c>
      <c r="S440" s="165">
        <f>LOOKUP(S$2,'Depreciation Schedules'!$A$3:$A$42,'Depreciation Schedules'!$E$3:$E$42)</f>
        <v>0</v>
      </c>
      <c r="T440" s="165">
        <f>LOOKUP(T$2,'Depreciation Schedules'!$A$3:$A$42,'Depreciation Schedules'!$E$3:$E$42)</f>
        <v>0</v>
      </c>
      <c r="U440" s="165">
        <f>LOOKUP(U$2,'Depreciation Schedules'!$A$3:$A$42,'Depreciation Schedules'!$E$3:$E$42)</f>
        <v>0</v>
      </c>
      <c r="V440" s="165">
        <f>LOOKUP(V$2,'Depreciation Schedules'!$A$3:$A$42,'Depreciation Schedules'!$E$3:$E$42)</f>
        <v>0</v>
      </c>
      <c r="W440" s="165">
        <f>LOOKUP(W$2,'Depreciation Schedules'!$A$3:$A$42,'Depreciation Schedules'!$E$3:$E$42)</f>
        <v>0</v>
      </c>
      <c r="X440" s="165">
        <f>LOOKUP(X$2,'Depreciation Schedules'!$A$3:$A$42,'Depreciation Schedules'!$E$3:$E$42)</f>
        <v>0</v>
      </c>
      <c r="Y440" s="165">
        <f>LOOKUP(Y$2,'Depreciation Schedules'!$A$3:$A$42,'Depreciation Schedules'!$E$3:$E$42)</f>
        <v>0</v>
      </c>
      <c r="Z440" s="165">
        <f>LOOKUP(Z$2,'Depreciation Schedules'!$A$3:$A$42,'Depreciation Schedules'!$E$3:$E$42)</f>
        <v>0</v>
      </c>
      <c r="AA440" s="165">
        <f>LOOKUP(AA$2,'Depreciation Schedules'!$A$3:$A$42,'Depreciation Schedules'!$E$3:$E$42)</f>
        <v>0</v>
      </c>
      <c r="AB440" s="165" t="e">
        <f>LOOKUP(AB$2,'Depreciation Schedules'!$A$3:$A$42,'Depreciation Schedules'!$E$3:$E$42)</f>
        <v>#N/A</v>
      </c>
      <c r="AC440" s="165" t="e">
        <f>LOOKUP(AC$2,'Depreciation Schedules'!$A$3:$A$42,'Depreciation Schedules'!$E$3:$E$42)</f>
        <v>#N/A</v>
      </c>
      <c r="AD440" s="165" t="e">
        <f>LOOKUP(AD$2,'Depreciation Schedules'!$A$3:$A$42,'Depreciation Schedules'!$E$3:$E$42)</f>
        <v>#N/A</v>
      </c>
      <c r="AE440" s="165" t="e">
        <f>LOOKUP(AE$2,'Depreciation Schedules'!$A$3:$A$42,'Depreciation Schedules'!$E$3:$E$42)</f>
        <v>#N/A</v>
      </c>
      <c r="AF440" s="165" t="e">
        <f>LOOKUP(AF$2,'Depreciation Schedules'!$A$3:$A$42,'Depreciation Schedules'!$E$3:$E$42)</f>
        <v>#N/A</v>
      </c>
      <c r="AG440" s="165" t="e">
        <f>LOOKUP(AG$2,'Depreciation Schedules'!$A$3:$A$42,'Depreciation Schedules'!$E$3:$E$42)</f>
        <v>#N/A</v>
      </c>
      <c r="AH440" s="165" t="e">
        <f>LOOKUP(AH$2,'Depreciation Schedules'!$A$3:$A$42,'Depreciation Schedules'!$E$3:$E$42)</f>
        <v>#N/A</v>
      </c>
      <c r="AI440" s="165" t="e">
        <f>LOOKUP(AI$2,'Depreciation Schedules'!$A$3:$A$42,'Depreciation Schedules'!$E$3:$E$42)</f>
        <v>#N/A</v>
      </c>
      <c r="AJ440" s="165" t="e">
        <f>LOOKUP(AJ$2,'Depreciation Schedules'!$A$3:$A$42,'Depreciation Schedules'!$E$3:$E$42)</f>
        <v>#N/A</v>
      </c>
      <c r="AK440" s="165" t="e">
        <f>LOOKUP(AK$2,'Depreciation Schedules'!$A$3:$A$42,'Depreciation Schedules'!$E$3:$E$42)</f>
        <v>#N/A</v>
      </c>
      <c r="AL440" s="165" t="e">
        <f>LOOKUP(AL$2,'Depreciation Schedules'!$A$3:$A$42,'Depreciation Schedules'!$E$3:$E$42)</f>
        <v>#N/A</v>
      </c>
      <c r="AM440" s="165" t="e">
        <f>LOOKUP(AM$2,'Depreciation Schedules'!$A$3:$A$42,'Depreciation Schedules'!$E$3:$E$42)</f>
        <v>#N/A</v>
      </c>
      <c r="AN440" s="165" t="e">
        <f>LOOKUP(AN$2,'Depreciation Schedules'!$A$3:$A$42,'Depreciation Schedules'!$E$3:$E$42)</f>
        <v>#N/A</v>
      </c>
      <c r="AO440" s="165" t="e">
        <f>LOOKUP(AO$2,'Depreciation Schedules'!$A$3:$A$42,'Depreciation Schedules'!$E$3:$E$42)</f>
        <v>#N/A</v>
      </c>
      <c r="AP440" s="165" t="e">
        <f>LOOKUP(AP$2,'Depreciation Schedules'!$A$3:$A$42,'Depreciation Schedules'!$E$3:$E$42)</f>
        <v>#N/A</v>
      </c>
    </row>
    <row r="441" spans="1:42" x14ac:dyDescent="0.4">
      <c r="A441" s="22" t="str">
        <f t="shared" si="179"/>
        <v>20-yr SL</v>
      </c>
      <c r="B441" s="164">
        <f t="array" ref="B441">SUM(IF(ISNUMBER(C441:AP441),C441:AP441))</f>
        <v>100</v>
      </c>
      <c r="C441" s="165">
        <f>LOOKUP(C$2,'Depreciation Schedules'!$A$3:$A$42,'Depreciation Schedules'!$F$3:$F$42)</f>
        <v>2.5</v>
      </c>
      <c r="D441" s="165">
        <f>LOOKUP(D$2,'Depreciation Schedules'!$A$3:$A$42,'Depreciation Schedules'!$F$3:$F$42)</f>
        <v>5</v>
      </c>
      <c r="E441" s="165">
        <f>LOOKUP(E$2,'Depreciation Schedules'!$A$3:$A$42,'Depreciation Schedules'!$F$3:$F$42)</f>
        <v>5</v>
      </c>
      <c r="F441" s="165">
        <f>LOOKUP(F$2,'Depreciation Schedules'!$A$3:$A$42,'Depreciation Schedules'!$F$3:$F$42)</f>
        <v>5</v>
      </c>
      <c r="G441" s="165">
        <f>LOOKUP(G$2,'Depreciation Schedules'!$A$3:$A$42,'Depreciation Schedules'!$F$3:$F$42)</f>
        <v>5</v>
      </c>
      <c r="H441" s="165">
        <f>LOOKUP(H$2,'Depreciation Schedules'!$A$3:$A$42,'Depreciation Schedules'!$F$3:$F$42)</f>
        <v>5</v>
      </c>
      <c r="I441" s="165">
        <f>LOOKUP(I$2,'Depreciation Schedules'!$A$3:$A$42,'Depreciation Schedules'!$F$3:$F$42)</f>
        <v>5</v>
      </c>
      <c r="J441" s="165">
        <f>LOOKUP(J$2,'Depreciation Schedules'!$A$3:$A$42,'Depreciation Schedules'!$F$3:$F$42)</f>
        <v>5</v>
      </c>
      <c r="K441" s="165">
        <f>LOOKUP(K$2,'Depreciation Schedules'!$A$3:$A$42,'Depreciation Schedules'!$F$3:$F$42)</f>
        <v>5</v>
      </c>
      <c r="L441" s="165">
        <f>LOOKUP(L$2,'Depreciation Schedules'!$A$3:$A$42,'Depreciation Schedules'!$F$3:$F$42)</f>
        <v>5</v>
      </c>
      <c r="M441" s="165">
        <f>LOOKUP(M$2,'Depreciation Schedules'!$A$3:$A$42,'Depreciation Schedules'!$F$3:$F$42)</f>
        <v>5</v>
      </c>
      <c r="N441" s="165">
        <f>LOOKUP(N$2,'Depreciation Schedules'!$A$3:$A$42,'Depreciation Schedules'!$F$3:$F$42)</f>
        <v>5</v>
      </c>
      <c r="O441" s="165">
        <f>LOOKUP(O$2,'Depreciation Schedules'!$A$3:$A$42,'Depreciation Schedules'!$F$3:$F$42)</f>
        <v>5</v>
      </c>
      <c r="P441" s="165">
        <f>LOOKUP(P$2,'Depreciation Schedules'!$A$3:$A$42,'Depreciation Schedules'!$F$3:$F$42)</f>
        <v>5</v>
      </c>
      <c r="Q441" s="165">
        <f>LOOKUP(Q$2,'Depreciation Schedules'!$A$3:$A$42,'Depreciation Schedules'!$F$3:$F$42)</f>
        <v>5</v>
      </c>
      <c r="R441" s="165">
        <f>LOOKUP(R$2,'Depreciation Schedules'!$A$3:$A$42,'Depreciation Schedules'!$F$3:$F$42)</f>
        <v>5</v>
      </c>
      <c r="S441" s="165">
        <f>LOOKUP(S$2,'Depreciation Schedules'!$A$3:$A$42,'Depreciation Schedules'!$F$3:$F$42)</f>
        <v>5</v>
      </c>
      <c r="T441" s="165">
        <f>LOOKUP(T$2,'Depreciation Schedules'!$A$3:$A$42,'Depreciation Schedules'!$F$3:$F$42)</f>
        <v>5</v>
      </c>
      <c r="U441" s="165">
        <f>LOOKUP(U$2,'Depreciation Schedules'!$A$3:$A$42,'Depreciation Schedules'!$F$3:$F$42)</f>
        <v>5</v>
      </c>
      <c r="V441" s="165">
        <f>LOOKUP(V$2,'Depreciation Schedules'!$A$3:$A$42,'Depreciation Schedules'!$F$3:$F$42)</f>
        <v>5</v>
      </c>
      <c r="W441" s="165">
        <f>LOOKUP(W$2,'Depreciation Schedules'!$A$3:$A$42,'Depreciation Schedules'!$F$3:$F$42)</f>
        <v>2.5</v>
      </c>
      <c r="X441" s="165">
        <f>LOOKUP(X$2,'Depreciation Schedules'!$A$3:$A$42,'Depreciation Schedules'!$F$3:$F$42)</f>
        <v>0</v>
      </c>
      <c r="Y441" s="165">
        <f>LOOKUP(Y$2,'Depreciation Schedules'!$A$3:$A$42,'Depreciation Schedules'!$F$3:$F$42)</f>
        <v>0</v>
      </c>
      <c r="Z441" s="165">
        <f>LOOKUP(Z$2,'Depreciation Schedules'!$A$3:$A$42,'Depreciation Schedules'!$F$3:$F$42)</f>
        <v>0</v>
      </c>
      <c r="AA441" s="165">
        <f>LOOKUP(AA$2,'Depreciation Schedules'!$A$3:$A$42,'Depreciation Schedules'!$F$3:$F$42)</f>
        <v>0</v>
      </c>
      <c r="AB441" s="165" t="e">
        <f>LOOKUP(AB$2,'Depreciation Schedules'!$A$3:$A$42,'Depreciation Schedules'!$F$3:$F$42)</f>
        <v>#N/A</v>
      </c>
      <c r="AC441" s="165" t="e">
        <f>LOOKUP(AC$2,'Depreciation Schedules'!$A$3:$A$42,'Depreciation Schedules'!$F$3:$F$42)</f>
        <v>#N/A</v>
      </c>
      <c r="AD441" s="165" t="e">
        <f>LOOKUP(AD$2,'Depreciation Schedules'!$A$3:$A$42,'Depreciation Schedules'!$F$3:$F$42)</f>
        <v>#N/A</v>
      </c>
      <c r="AE441" s="165" t="e">
        <f>LOOKUP(AE$2,'Depreciation Schedules'!$A$3:$A$42,'Depreciation Schedules'!$F$3:$F$42)</f>
        <v>#N/A</v>
      </c>
      <c r="AF441" s="165" t="e">
        <f>LOOKUP(AF$2,'Depreciation Schedules'!$A$3:$A$42,'Depreciation Schedules'!$F$3:$F$42)</f>
        <v>#N/A</v>
      </c>
      <c r="AG441" s="165" t="e">
        <f>LOOKUP(AG$2,'Depreciation Schedules'!$A$3:$A$42,'Depreciation Schedules'!$F$3:$F$42)</f>
        <v>#N/A</v>
      </c>
      <c r="AH441" s="165" t="e">
        <f>LOOKUP(AH$2,'Depreciation Schedules'!$A$3:$A$42,'Depreciation Schedules'!$F$3:$F$42)</f>
        <v>#N/A</v>
      </c>
      <c r="AI441" s="165" t="e">
        <f>LOOKUP(AI$2,'Depreciation Schedules'!$A$3:$A$42,'Depreciation Schedules'!$F$3:$F$42)</f>
        <v>#N/A</v>
      </c>
      <c r="AJ441" s="165" t="e">
        <f>LOOKUP(AJ$2,'Depreciation Schedules'!$A$3:$A$42,'Depreciation Schedules'!$F$3:$F$42)</f>
        <v>#N/A</v>
      </c>
      <c r="AK441" s="165" t="e">
        <f>LOOKUP(AK$2,'Depreciation Schedules'!$A$3:$A$42,'Depreciation Schedules'!$F$3:$F$42)</f>
        <v>#N/A</v>
      </c>
      <c r="AL441" s="165" t="e">
        <f>LOOKUP(AL$2,'Depreciation Schedules'!$A$3:$A$42,'Depreciation Schedules'!$F$3:$F$42)</f>
        <v>#N/A</v>
      </c>
      <c r="AM441" s="165" t="e">
        <f>LOOKUP(AM$2,'Depreciation Schedules'!$A$3:$A$42,'Depreciation Schedules'!$F$3:$F$42)</f>
        <v>#N/A</v>
      </c>
      <c r="AN441" s="165" t="e">
        <f>LOOKUP(AN$2,'Depreciation Schedules'!$A$3:$A$42,'Depreciation Schedules'!$F$3:$F$42)</f>
        <v>#N/A</v>
      </c>
      <c r="AO441" s="165" t="e">
        <f>LOOKUP(AO$2,'Depreciation Schedules'!$A$3:$A$42,'Depreciation Schedules'!$F$3:$F$42)</f>
        <v>#N/A</v>
      </c>
      <c r="AP441" s="165" t="e">
        <f>LOOKUP(AP$2,'Depreciation Schedules'!$A$3:$A$42,'Depreciation Schedules'!$F$3:$F$42)</f>
        <v>#N/A</v>
      </c>
    </row>
    <row r="442" spans="1:42" x14ac:dyDescent="0.4">
      <c r="A442" s="22" t="str">
        <f t="shared" si="179"/>
        <v>39-yr SL</v>
      </c>
      <c r="B442" s="168">
        <f t="array" ref="B442">SUM(IF(ISNUMBER(C442:AP442),C442:AP442))</f>
        <v>62.820512820512739</v>
      </c>
      <c r="C442" s="165">
        <f>LOOKUP(C$2,'Depreciation Schedules'!$A$3:$A$42,'Depreciation Schedules'!$G$3:$G$42)</f>
        <v>1.2820512820512799</v>
      </c>
      <c r="D442" s="165">
        <f>LOOKUP(D$2,'Depreciation Schedules'!$A$3:$A$42,'Depreciation Schedules'!$G$3:$G$42)</f>
        <v>2.5641025641025599</v>
      </c>
      <c r="E442" s="165">
        <f>LOOKUP(E$2,'Depreciation Schedules'!$A$3:$A$42,'Depreciation Schedules'!$G$3:$G$42)</f>
        <v>2.5641025641025599</v>
      </c>
      <c r="F442" s="165">
        <f>LOOKUP(F$2,'Depreciation Schedules'!$A$3:$A$42,'Depreciation Schedules'!$G$3:$G$42)</f>
        <v>2.5641025641025599</v>
      </c>
      <c r="G442" s="165">
        <f>LOOKUP(G$2,'Depreciation Schedules'!$A$3:$A$42,'Depreciation Schedules'!$G$3:$G$42)</f>
        <v>2.5641025641025599</v>
      </c>
      <c r="H442" s="165">
        <f>LOOKUP(H$2,'Depreciation Schedules'!$A$3:$A$42,'Depreciation Schedules'!$G$3:$G$42)</f>
        <v>2.5641025641025599</v>
      </c>
      <c r="I442" s="165">
        <f>LOOKUP(I$2,'Depreciation Schedules'!$A$3:$A$42,'Depreciation Schedules'!$G$3:$G$42)</f>
        <v>2.5641025641025599</v>
      </c>
      <c r="J442" s="165">
        <f>LOOKUP(J$2,'Depreciation Schedules'!$A$3:$A$42,'Depreciation Schedules'!$G$3:$G$42)</f>
        <v>2.5641025641025599</v>
      </c>
      <c r="K442" s="165">
        <f>LOOKUP(K$2,'Depreciation Schedules'!$A$3:$A$42,'Depreciation Schedules'!$G$3:$G$42)</f>
        <v>2.5641025641025599</v>
      </c>
      <c r="L442" s="165">
        <f>LOOKUP(L$2,'Depreciation Schedules'!$A$3:$A$42,'Depreciation Schedules'!$G$3:$G$42)</f>
        <v>2.5641025641025599</v>
      </c>
      <c r="M442" s="165">
        <f>LOOKUP(M$2,'Depreciation Schedules'!$A$3:$A$42,'Depreciation Schedules'!$G$3:$G$42)</f>
        <v>2.5641025641025599</v>
      </c>
      <c r="N442" s="165">
        <f>LOOKUP(N$2,'Depreciation Schedules'!$A$3:$A$42,'Depreciation Schedules'!$G$3:$G$42)</f>
        <v>2.5641025641025599</v>
      </c>
      <c r="O442" s="165">
        <f>LOOKUP(O$2,'Depreciation Schedules'!$A$3:$A$42,'Depreciation Schedules'!$G$3:$G$42)</f>
        <v>2.5641025641025599</v>
      </c>
      <c r="P442" s="165">
        <f>LOOKUP(P$2,'Depreciation Schedules'!$A$3:$A$42,'Depreciation Schedules'!$G$3:$G$42)</f>
        <v>2.5641025641025599</v>
      </c>
      <c r="Q442" s="165">
        <f>LOOKUP(Q$2,'Depreciation Schedules'!$A$3:$A$42,'Depreciation Schedules'!$G$3:$G$42)</f>
        <v>2.5641025641025599</v>
      </c>
      <c r="R442" s="165">
        <f>LOOKUP(R$2,'Depreciation Schedules'!$A$3:$A$42,'Depreciation Schedules'!$G$3:$G$42)</f>
        <v>2.5641025641025599</v>
      </c>
      <c r="S442" s="165">
        <f>LOOKUP(S$2,'Depreciation Schedules'!$A$3:$A$42,'Depreciation Schedules'!$G$3:$G$42)</f>
        <v>2.5641025641025599</v>
      </c>
      <c r="T442" s="165">
        <f>LOOKUP(T$2,'Depreciation Schedules'!$A$3:$A$42,'Depreciation Schedules'!$G$3:$G$42)</f>
        <v>2.5641025641025599</v>
      </c>
      <c r="U442" s="165">
        <f>LOOKUP(U$2,'Depreciation Schedules'!$A$3:$A$42,'Depreciation Schedules'!$G$3:$G$42)</f>
        <v>2.5641025641025599</v>
      </c>
      <c r="V442" s="165">
        <f>LOOKUP(V$2,'Depreciation Schedules'!$A$3:$A$42,'Depreciation Schedules'!$G$3:$G$42)</f>
        <v>2.5641025641025599</v>
      </c>
      <c r="W442" s="165">
        <f>LOOKUP(W$2,'Depreciation Schedules'!$A$3:$A$42,'Depreciation Schedules'!$G$3:$G$42)</f>
        <v>2.5641025641025599</v>
      </c>
      <c r="X442" s="165">
        <f>LOOKUP(X$2,'Depreciation Schedules'!$A$3:$A$42,'Depreciation Schedules'!$G$3:$G$42)</f>
        <v>2.5641025641025599</v>
      </c>
      <c r="Y442" s="165">
        <f>LOOKUP(Y$2,'Depreciation Schedules'!$A$3:$A$42,'Depreciation Schedules'!$G$3:$G$42)</f>
        <v>2.5641025641025599</v>
      </c>
      <c r="Z442" s="165">
        <f>LOOKUP(Z$2,'Depreciation Schedules'!$A$3:$A$42,'Depreciation Schedules'!$G$3:$G$42)</f>
        <v>2.5641025641025599</v>
      </c>
      <c r="AA442" s="165">
        <f>LOOKUP(AA$2,'Depreciation Schedules'!$A$3:$A$42,'Depreciation Schedules'!$G$3:$G$42)</f>
        <v>2.5641025641025599</v>
      </c>
      <c r="AB442" s="165" t="e">
        <f>LOOKUP(AB$2,'Depreciation Schedules'!$A$3:$A$42,'Depreciation Schedules'!$G$3:$G$42)</f>
        <v>#N/A</v>
      </c>
      <c r="AC442" s="165" t="e">
        <f>LOOKUP(AC$2,'Depreciation Schedules'!$A$3:$A$42,'Depreciation Schedules'!$G$3:$G$42)</f>
        <v>#N/A</v>
      </c>
      <c r="AD442" s="165" t="e">
        <f>LOOKUP(AD$2,'Depreciation Schedules'!$A$3:$A$42,'Depreciation Schedules'!$G$3:$G$42)</f>
        <v>#N/A</v>
      </c>
      <c r="AE442" s="165" t="e">
        <f>LOOKUP(AE$2,'Depreciation Schedules'!$A$3:$A$42,'Depreciation Schedules'!$G$3:$G$42)</f>
        <v>#N/A</v>
      </c>
      <c r="AF442" s="165" t="e">
        <f>LOOKUP(AF$2,'Depreciation Schedules'!$A$3:$A$42,'Depreciation Schedules'!$G$3:$G$42)</f>
        <v>#N/A</v>
      </c>
      <c r="AG442" s="165" t="e">
        <f>LOOKUP(AG$2,'Depreciation Schedules'!$A$3:$A$42,'Depreciation Schedules'!$G$3:$G$42)</f>
        <v>#N/A</v>
      </c>
      <c r="AH442" s="165" t="e">
        <f>LOOKUP(AH$2,'Depreciation Schedules'!$A$3:$A$42,'Depreciation Schedules'!$G$3:$G$42)</f>
        <v>#N/A</v>
      </c>
      <c r="AI442" s="165" t="e">
        <f>LOOKUP(AI$2,'Depreciation Schedules'!$A$3:$A$42,'Depreciation Schedules'!$G$3:$G$42)</f>
        <v>#N/A</v>
      </c>
      <c r="AJ442" s="165" t="e">
        <f>LOOKUP(AJ$2,'Depreciation Schedules'!$A$3:$A$42,'Depreciation Schedules'!$G$3:$G$42)</f>
        <v>#N/A</v>
      </c>
      <c r="AK442" s="165" t="e">
        <f>LOOKUP(AK$2,'Depreciation Schedules'!$A$3:$A$42,'Depreciation Schedules'!$G$3:$G$42)</f>
        <v>#N/A</v>
      </c>
      <c r="AL442" s="165" t="e">
        <f>LOOKUP(AL$2,'Depreciation Schedules'!$A$3:$A$42,'Depreciation Schedules'!$G$3:$G$42)</f>
        <v>#N/A</v>
      </c>
      <c r="AM442" s="165" t="e">
        <f>LOOKUP(AM$2,'Depreciation Schedules'!$A$3:$A$42,'Depreciation Schedules'!$G$3:$G$42)</f>
        <v>#N/A</v>
      </c>
      <c r="AN442" s="165" t="e">
        <f>LOOKUP(AN$2,'Depreciation Schedules'!$A$3:$A$42,'Depreciation Schedules'!$G$3:$G$42)</f>
        <v>#N/A</v>
      </c>
      <c r="AO442" s="165" t="e">
        <f>LOOKUP(AO$2,'Depreciation Schedules'!$A$3:$A$42,'Depreciation Schedules'!$G$3:$G$42)</f>
        <v>#N/A</v>
      </c>
      <c r="AP442" s="165" t="e">
        <f>LOOKUP(AP$2,'Depreciation Schedules'!$A$3:$A$42,'Depreciation Schedules'!$G$3:$G$42)</f>
        <v>#N/A</v>
      </c>
    </row>
    <row r="443" spans="1:42" x14ac:dyDescent="0.4">
      <c r="A443" s="22" t="s">
        <v>286</v>
      </c>
      <c r="B443" s="168">
        <f t="array" ref="B443">SUM(IF(ISNUMBER(C443:AP443),C443:AP443))</f>
        <v>100</v>
      </c>
      <c r="C443" s="165">
        <f t="array" ref="C443:AP443">Inputs!D216:AQ216</f>
        <v>10</v>
      </c>
      <c r="D443" s="165">
        <v>10</v>
      </c>
      <c r="E443" s="165">
        <v>10</v>
      </c>
      <c r="F443" s="165">
        <v>10</v>
      </c>
      <c r="G443" s="165">
        <v>10</v>
      </c>
      <c r="H443" s="165">
        <v>10</v>
      </c>
      <c r="I443" s="165">
        <v>10</v>
      </c>
      <c r="J443" s="165">
        <v>10</v>
      </c>
      <c r="K443" s="165">
        <v>10</v>
      </c>
      <c r="L443" s="165">
        <v>10</v>
      </c>
      <c r="M443" s="165">
        <v>0</v>
      </c>
      <c r="N443" s="165">
        <v>0</v>
      </c>
      <c r="O443" s="165">
        <v>0</v>
      </c>
      <c r="P443" s="165">
        <v>0</v>
      </c>
      <c r="Q443" s="165">
        <v>0</v>
      </c>
      <c r="R443" s="165">
        <v>0</v>
      </c>
      <c r="S443" s="165">
        <v>0</v>
      </c>
      <c r="T443" s="165">
        <v>0</v>
      </c>
      <c r="U443" s="165">
        <v>0</v>
      </c>
      <c r="V443" s="165">
        <v>0</v>
      </c>
      <c r="W443" s="165">
        <v>0</v>
      </c>
      <c r="X443" s="165">
        <v>0</v>
      </c>
      <c r="Y443" s="165">
        <v>0</v>
      </c>
      <c r="Z443" s="165">
        <v>0</v>
      </c>
      <c r="AA443" s="165">
        <v>0</v>
      </c>
      <c r="AB443" s="165">
        <v>0</v>
      </c>
      <c r="AC443" s="165">
        <v>0</v>
      </c>
      <c r="AD443" s="165">
        <v>0</v>
      </c>
      <c r="AE443" s="165">
        <v>0</v>
      </c>
      <c r="AF443" s="165">
        <v>0</v>
      </c>
      <c r="AG443" s="165">
        <v>0</v>
      </c>
      <c r="AH443" s="165">
        <v>0</v>
      </c>
      <c r="AI443" s="165">
        <v>0</v>
      </c>
      <c r="AJ443" s="165">
        <v>0</v>
      </c>
      <c r="AK443" s="165">
        <v>0</v>
      </c>
      <c r="AL443" s="165">
        <v>0</v>
      </c>
      <c r="AM443" s="165">
        <v>0</v>
      </c>
      <c r="AN443" s="165">
        <v>0</v>
      </c>
      <c r="AO443" s="165">
        <v>0</v>
      </c>
      <c r="AP443" s="165">
        <v>0</v>
      </c>
    </row>
    <row r="444" spans="1:42" x14ac:dyDescent="0.4">
      <c r="A444" s="21" t="s">
        <v>3</v>
      </c>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row>
    <row r="445" spans="1:42" x14ac:dyDescent="0.4">
      <c r="A445" s="22" t="str">
        <f t="shared" ref="A445:A450" si="180">A437</f>
        <v>5-yr MACRS</v>
      </c>
      <c r="B445" s="174">
        <f t="array" ref="B445">SUM(IF(ISNUMBER(C445:AP445),C445:AP445))</f>
        <v>0</v>
      </c>
      <c r="C445" s="119">
        <f>C437/100*$Q$402</f>
        <v>0</v>
      </c>
      <c r="D445" s="119">
        <f t="shared" ref="D445:AP445" si="181">D437/100*$Q$402</f>
        <v>0</v>
      </c>
      <c r="E445" s="119">
        <f t="shared" si="181"/>
        <v>0</v>
      </c>
      <c r="F445" s="119">
        <f t="shared" si="181"/>
        <v>0</v>
      </c>
      <c r="G445" s="119">
        <f t="shared" si="181"/>
        <v>0</v>
      </c>
      <c r="H445" s="119">
        <f t="shared" si="181"/>
        <v>0</v>
      </c>
      <c r="I445" s="119">
        <f t="shared" si="181"/>
        <v>0</v>
      </c>
      <c r="J445" s="119">
        <f t="shared" si="181"/>
        <v>0</v>
      </c>
      <c r="K445" s="119">
        <f t="shared" si="181"/>
        <v>0</v>
      </c>
      <c r="L445" s="119">
        <f t="shared" si="181"/>
        <v>0</v>
      </c>
      <c r="M445" s="119">
        <f t="shared" si="181"/>
        <v>0</v>
      </c>
      <c r="N445" s="119">
        <f t="shared" si="181"/>
        <v>0</v>
      </c>
      <c r="O445" s="119">
        <f t="shared" si="181"/>
        <v>0</v>
      </c>
      <c r="P445" s="119">
        <f t="shared" si="181"/>
        <v>0</v>
      </c>
      <c r="Q445" s="119">
        <f t="shared" si="181"/>
        <v>0</v>
      </c>
      <c r="R445" s="119">
        <f t="shared" si="181"/>
        <v>0</v>
      </c>
      <c r="S445" s="119">
        <f t="shared" si="181"/>
        <v>0</v>
      </c>
      <c r="T445" s="119">
        <f t="shared" si="181"/>
        <v>0</v>
      </c>
      <c r="U445" s="119">
        <f t="shared" si="181"/>
        <v>0</v>
      </c>
      <c r="V445" s="119">
        <f t="shared" si="181"/>
        <v>0</v>
      </c>
      <c r="W445" s="119">
        <f t="shared" si="181"/>
        <v>0</v>
      </c>
      <c r="X445" s="119">
        <f t="shared" si="181"/>
        <v>0</v>
      </c>
      <c r="Y445" s="119">
        <f t="shared" si="181"/>
        <v>0</v>
      </c>
      <c r="Z445" s="119">
        <f t="shared" si="181"/>
        <v>0</v>
      </c>
      <c r="AA445" s="119">
        <f t="shared" si="181"/>
        <v>0</v>
      </c>
      <c r="AB445" s="119" t="e">
        <f t="shared" si="181"/>
        <v>#N/A</v>
      </c>
      <c r="AC445" s="119" t="e">
        <f t="shared" si="181"/>
        <v>#N/A</v>
      </c>
      <c r="AD445" s="119" t="e">
        <f t="shared" si="181"/>
        <v>#N/A</v>
      </c>
      <c r="AE445" s="119" t="e">
        <f t="shared" si="181"/>
        <v>#N/A</v>
      </c>
      <c r="AF445" s="119" t="e">
        <f t="shared" si="181"/>
        <v>#N/A</v>
      </c>
      <c r="AG445" s="119" t="e">
        <f t="shared" si="181"/>
        <v>#N/A</v>
      </c>
      <c r="AH445" s="119" t="e">
        <f t="shared" si="181"/>
        <v>#N/A</v>
      </c>
      <c r="AI445" s="119" t="e">
        <f t="shared" si="181"/>
        <v>#N/A</v>
      </c>
      <c r="AJ445" s="119" t="e">
        <f t="shared" si="181"/>
        <v>#N/A</v>
      </c>
      <c r="AK445" s="119" t="e">
        <f t="shared" si="181"/>
        <v>#N/A</v>
      </c>
      <c r="AL445" s="119" t="e">
        <f t="shared" si="181"/>
        <v>#N/A</v>
      </c>
      <c r="AM445" s="119" t="e">
        <f t="shared" si="181"/>
        <v>#N/A</v>
      </c>
      <c r="AN445" s="119" t="e">
        <f t="shared" si="181"/>
        <v>#N/A</v>
      </c>
      <c r="AO445" s="119" t="e">
        <f t="shared" si="181"/>
        <v>#N/A</v>
      </c>
      <c r="AP445" s="119" t="e">
        <f t="shared" si="181"/>
        <v>#N/A</v>
      </c>
    </row>
    <row r="446" spans="1:42" x14ac:dyDescent="0.4">
      <c r="A446" s="22" t="str">
        <f t="shared" si="180"/>
        <v>15-yr MACRS</v>
      </c>
      <c r="B446" s="174">
        <f t="array" ref="B446">SUM(IF(ISNUMBER(C446:AP446),C446:AP446))</f>
        <v>0</v>
      </c>
      <c r="C446" s="119">
        <f>C438/100*$Q$403</f>
        <v>0</v>
      </c>
      <c r="D446" s="119">
        <f t="shared" ref="D446:AP446" si="182">D438/100*$Q$403</f>
        <v>0</v>
      </c>
      <c r="E446" s="119">
        <f t="shared" si="182"/>
        <v>0</v>
      </c>
      <c r="F446" s="119">
        <f t="shared" si="182"/>
        <v>0</v>
      </c>
      <c r="G446" s="119">
        <f t="shared" si="182"/>
        <v>0</v>
      </c>
      <c r="H446" s="119">
        <f t="shared" si="182"/>
        <v>0</v>
      </c>
      <c r="I446" s="119">
        <f t="shared" si="182"/>
        <v>0</v>
      </c>
      <c r="J446" s="119">
        <f t="shared" si="182"/>
        <v>0</v>
      </c>
      <c r="K446" s="119">
        <f t="shared" si="182"/>
        <v>0</v>
      </c>
      <c r="L446" s="119">
        <f t="shared" si="182"/>
        <v>0</v>
      </c>
      <c r="M446" s="119">
        <f t="shared" si="182"/>
        <v>0</v>
      </c>
      <c r="N446" s="119">
        <f t="shared" si="182"/>
        <v>0</v>
      </c>
      <c r="O446" s="119">
        <f t="shared" si="182"/>
        <v>0</v>
      </c>
      <c r="P446" s="119">
        <f t="shared" si="182"/>
        <v>0</v>
      </c>
      <c r="Q446" s="119">
        <f t="shared" si="182"/>
        <v>0</v>
      </c>
      <c r="R446" s="119">
        <f t="shared" si="182"/>
        <v>0</v>
      </c>
      <c r="S446" s="119">
        <f t="shared" si="182"/>
        <v>0</v>
      </c>
      <c r="T446" s="119">
        <f t="shared" si="182"/>
        <v>0</v>
      </c>
      <c r="U446" s="119">
        <f t="shared" si="182"/>
        <v>0</v>
      </c>
      <c r="V446" s="119">
        <f t="shared" si="182"/>
        <v>0</v>
      </c>
      <c r="W446" s="119">
        <f t="shared" si="182"/>
        <v>0</v>
      </c>
      <c r="X446" s="119">
        <f t="shared" si="182"/>
        <v>0</v>
      </c>
      <c r="Y446" s="119">
        <f t="shared" si="182"/>
        <v>0</v>
      </c>
      <c r="Z446" s="119">
        <f t="shared" si="182"/>
        <v>0</v>
      </c>
      <c r="AA446" s="119">
        <f t="shared" si="182"/>
        <v>0</v>
      </c>
      <c r="AB446" s="119" t="e">
        <f t="shared" si="182"/>
        <v>#N/A</v>
      </c>
      <c r="AC446" s="119" t="e">
        <f t="shared" si="182"/>
        <v>#N/A</v>
      </c>
      <c r="AD446" s="119" t="e">
        <f t="shared" si="182"/>
        <v>#N/A</v>
      </c>
      <c r="AE446" s="119" t="e">
        <f t="shared" si="182"/>
        <v>#N/A</v>
      </c>
      <c r="AF446" s="119" t="e">
        <f t="shared" si="182"/>
        <v>#N/A</v>
      </c>
      <c r="AG446" s="119" t="e">
        <f t="shared" si="182"/>
        <v>#N/A</v>
      </c>
      <c r="AH446" s="119" t="e">
        <f t="shared" si="182"/>
        <v>#N/A</v>
      </c>
      <c r="AI446" s="119" t="e">
        <f t="shared" si="182"/>
        <v>#N/A</v>
      </c>
      <c r="AJ446" s="119" t="e">
        <f t="shared" si="182"/>
        <v>#N/A</v>
      </c>
      <c r="AK446" s="119" t="e">
        <f t="shared" si="182"/>
        <v>#N/A</v>
      </c>
      <c r="AL446" s="119" t="e">
        <f t="shared" si="182"/>
        <v>#N/A</v>
      </c>
      <c r="AM446" s="119" t="e">
        <f t="shared" si="182"/>
        <v>#N/A</v>
      </c>
      <c r="AN446" s="119" t="e">
        <f t="shared" si="182"/>
        <v>#N/A</v>
      </c>
      <c r="AO446" s="119" t="e">
        <f t="shared" si="182"/>
        <v>#N/A</v>
      </c>
      <c r="AP446" s="119" t="e">
        <f t="shared" si="182"/>
        <v>#N/A</v>
      </c>
    </row>
    <row r="447" spans="1:42" x14ac:dyDescent="0.4">
      <c r="A447" s="22" t="str">
        <f t="shared" si="180"/>
        <v>5-yr SL</v>
      </c>
      <c r="B447" s="174">
        <f t="array" ref="B447">SUM(IF(ISNUMBER(C447:AP447),C447:AP447))</f>
        <v>0</v>
      </c>
      <c r="C447" s="119">
        <f>C439/100*$Q$404</f>
        <v>0</v>
      </c>
      <c r="D447" s="119">
        <f t="shared" ref="D447:AP447" si="183">D439/100*$Q$404</f>
        <v>0</v>
      </c>
      <c r="E447" s="119">
        <f t="shared" si="183"/>
        <v>0</v>
      </c>
      <c r="F447" s="119">
        <f t="shared" si="183"/>
        <v>0</v>
      </c>
      <c r="G447" s="119">
        <f t="shared" si="183"/>
        <v>0</v>
      </c>
      <c r="H447" s="119">
        <f t="shared" si="183"/>
        <v>0</v>
      </c>
      <c r="I447" s="119">
        <f t="shared" si="183"/>
        <v>0</v>
      </c>
      <c r="J447" s="119">
        <f t="shared" si="183"/>
        <v>0</v>
      </c>
      <c r="K447" s="119">
        <f t="shared" si="183"/>
        <v>0</v>
      </c>
      <c r="L447" s="119">
        <f t="shared" si="183"/>
        <v>0</v>
      </c>
      <c r="M447" s="119">
        <f t="shared" si="183"/>
        <v>0</v>
      </c>
      <c r="N447" s="119">
        <f t="shared" si="183"/>
        <v>0</v>
      </c>
      <c r="O447" s="119">
        <f t="shared" si="183"/>
        <v>0</v>
      </c>
      <c r="P447" s="119">
        <f t="shared" si="183"/>
        <v>0</v>
      </c>
      <c r="Q447" s="119">
        <f t="shared" si="183"/>
        <v>0</v>
      </c>
      <c r="R447" s="119">
        <f t="shared" si="183"/>
        <v>0</v>
      </c>
      <c r="S447" s="119">
        <f t="shared" si="183"/>
        <v>0</v>
      </c>
      <c r="T447" s="119">
        <f t="shared" si="183"/>
        <v>0</v>
      </c>
      <c r="U447" s="119">
        <f t="shared" si="183"/>
        <v>0</v>
      </c>
      <c r="V447" s="119">
        <f t="shared" si="183"/>
        <v>0</v>
      </c>
      <c r="W447" s="119">
        <f t="shared" si="183"/>
        <v>0</v>
      </c>
      <c r="X447" s="119">
        <f t="shared" si="183"/>
        <v>0</v>
      </c>
      <c r="Y447" s="119">
        <f t="shared" si="183"/>
        <v>0</v>
      </c>
      <c r="Z447" s="119">
        <f t="shared" si="183"/>
        <v>0</v>
      </c>
      <c r="AA447" s="119">
        <f t="shared" si="183"/>
        <v>0</v>
      </c>
      <c r="AB447" s="119" t="e">
        <f t="shared" si="183"/>
        <v>#N/A</v>
      </c>
      <c r="AC447" s="119" t="e">
        <f t="shared" si="183"/>
        <v>#N/A</v>
      </c>
      <c r="AD447" s="119" t="e">
        <f t="shared" si="183"/>
        <v>#N/A</v>
      </c>
      <c r="AE447" s="119" t="e">
        <f t="shared" si="183"/>
        <v>#N/A</v>
      </c>
      <c r="AF447" s="119" t="e">
        <f t="shared" si="183"/>
        <v>#N/A</v>
      </c>
      <c r="AG447" s="119" t="e">
        <f t="shared" si="183"/>
        <v>#N/A</v>
      </c>
      <c r="AH447" s="119" t="e">
        <f t="shared" si="183"/>
        <v>#N/A</v>
      </c>
      <c r="AI447" s="119" t="e">
        <f t="shared" si="183"/>
        <v>#N/A</v>
      </c>
      <c r="AJ447" s="119" t="e">
        <f t="shared" si="183"/>
        <v>#N/A</v>
      </c>
      <c r="AK447" s="119" t="e">
        <f t="shared" si="183"/>
        <v>#N/A</v>
      </c>
      <c r="AL447" s="119" t="e">
        <f t="shared" si="183"/>
        <v>#N/A</v>
      </c>
      <c r="AM447" s="119" t="e">
        <f t="shared" si="183"/>
        <v>#N/A</v>
      </c>
      <c r="AN447" s="119" t="e">
        <f t="shared" si="183"/>
        <v>#N/A</v>
      </c>
      <c r="AO447" s="119" t="e">
        <f t="shared" si="183"/>
        <v>#N/A</v>
      </c>
      <c r="AP447" s="119" t="e">
        <f t="shared" si="183"/>
        <v>#N/A</v>
      </c>
    </row>
    <row r="448" spans="1:42" x14ac:dyDescent="0.4">
      <c r="A448" s="22" t="str">
        <f t="shared" si="180"/>
        <v>15-yr SL</v>
      </c>
      <c r="B448" s="174">
        <f t="array" ref="B448">SUM(IF(ISNUMBER(C448:AP448),C448:AP448))</f>
        <v>0</v>
      </c>
      <c r="C448" s="119">
        <f>C440/100*$Q$405</f>
        <v>0</v>
      </c>
      <c r="D448" s="119">
        <f t="shared" ref="D448:AP448" si="184">D440/100*$Q$405</f>
        <v>0</v>
      </c>
      <c r="E448" s="119">
        <f t="shared" si="184"/>
        <v>0</v>
      </c>
      <c r="F448" s="119">
        <f t="shared" si="184"/>
        <v>0</v>
      </c>
      <c r="G448" s="119">
        <f t="shared" si="184"/>
        <v>0</v>
      </c>
      <c r="H448" s="119">
        <f t="shared" si="184"/>
        <v>0</v>
      </c>
      <c r="I448" s="119">
        <f t="shared" si="184"/>
        <v>0</v>
      </c>
      <c r="J448" s="119">
        <f t="shared" si="184"/>
        <v>0</v>
      </c>
      <c r="K448" s="119">
        <f t="shared" si="184"/>
        <v>0</v>
      </c>
      <c r="L448" s="119">
        <f t="shared" si="184"/>
        <v>0</v>
      </c>
      <c r="M448" s="119">
        <f t="shared" si="184"/>
        <v>0</v>
      </c>
      <c r="N448" s="119">
        <f t="shared" si="184"/>
        <v>0</v>
      </c>
      <c r="O448" s="119">
        <f t="shared" si="184"/>
        <v>0</v>
      </c>
      <c r="P448" s="119">
        <f t="shared" si="184"/>
        <v>0</v>
      </c>
      <c r="Q448" s="119">
        <f t="shared" si="184"/>
        <v>0</v>
      </c>
      <c r="R448" s="119">
        <f t="shared" si="184"/>
        <v>0</v>
      </c>
      <c r="S448" s="119">
        <f t="shared" si="184"/>
        <v>0</v>
      </c>
      <c r="T448" s="119">
        <f t="shared" si="184"/>
        <v>0</v>
      </c>
      <c r="U448" s="119">
        <f t="shared" si="184"/>
        <v>0</v>
      </c>
      <c r="V448" s="119">
        <f t="shared" si="184"/>
        <v>0</v>
      </c>
      <c r="W448" s="119">
        <f t="shared" si="184"/>
        <v>0</v>
      </c>
      <c r="X448" s="119">
        <f t="shared" si="184"/>
        <v>0</v>
      </c>
      <c r="Y448" s="119">
        <f t="shared" si="184"/>
        <v>0</v>
      </c>
      <c r="Z448" s="119">
        <f t="shared" si="184"/>
        <v>0</v>
      </c>
      <c r="AA448" s="119">
        <f t="shared" si="184"/>
        <v>0</v>
      </c>
      <c r="AB448" s="119" t="e">
        <f t="shared" si="184"/>
        <v>#N/A</v>
      </c>
      <c r="AC448" s="119" t="e">
        <f t="shared" si="184"/>
        <v>#N/A</v>
      </c>
      <c r="AD448" s="119" t="e">
        <f t="shared" si="184"/>
        <v>#N/A</v>
      </c>
      <c r="AE448" s="119" t="e">
        <f t="shared" si="184"/>
        <v>#N/A</v>
      </c>
      <c r="AF448" s="119" t="e">
        <f t="shared" si="184"/>
        <v>#N/A</v>
      </c>
      <c r="AG448" s="119" t="e">
        <f t="shared" si="184"/>
        <v>#N/A</v>
      </c>
      <c r="AH448" s="119" t="e">
        <f t="shared" si="184"/>
        <v>#N/A</v>
      </c>
      <c r="AI448" s="119" t="e">
        <f t="shared" si="184"/>
        <v>#N/A</v>
      </c>
      <c r="AJ448" s="119" t="e">
        <f t="shared" si="184"/>
        <v>#N/A</v>
      </c>
      <c r="AK448" s="119" t="e">
        <f t="shared" si="184"/>
        <v>#N/A</v>
      </c>
      <c r="AL448" s="119" t="e">
        <f t="shared" si="184"/>
        <v>#N/A</v>
      </c>
      <c r="AM448" s="119" t="e">
        <f t="shared" si="184"/>
        <v>#N/A</v>
      </c>
      <c r="AN448" s="119" t="e">
        <f t="shared" si="184"/>
        <v>#N/A</v>
      </c>
      <c r="AO448" s="119" t="e">
        <f t="shared" si="184"/>
        <v>#N/A</v>
      </c>
      <c r="AP448" s="119" t="e">
        <f t="shared" si="184"/>
        <v>#N/A</v>
      </c>
    </row>
    <row r="449" spans="1:42" x14ac:dyDescent="0.4">
      <c r="A449" s="22" t="str">
        <f t="shared" si="180"/>
        <v>20-yr SL</v>
      </c>
      <c r="B449" s="174">
        <f t="array" ref="B449">SUM(IF(ISNUMBER(C449:AP449),C449:AP449))</f>
        <v>0</v>
      </c>
      <c r="C449" s="119">
        <f>C441/100*$Q$406</f>
        <v>0</v>
      </c>
      <c r="D449" s="119">
        <f t="shared" ref="D449:AP449" si="185">D441/100*$Q$406</f>
        <v>0</v>
      </c>
      <c r="E449" s="119">
        <f t="shared" si="185"/>
        <v>0</v>
      </c>
      <c r="F449" s="119">
        <f t="shared" si="185"/>
        <v>0</v>
      </c>
      <c r="G449" s="119">
        <f t="shared" si="185"/>
        <v>0</v>
      </c>
      <c r="H449" s="119">
        <f t="shared" si="185"/>
        <v>0</v>
      </c>
      <c r="I449" s="119">
        <f t="shared" si="185"/>
        <v>0</v>
      </c>
      <c r="J449" s="119">
        <f t="shared" si="185"/>
        <v>0</v>
      </c>
      <c r="K449" s="119">
        <f t="shared" si="185"/>
        <v>0</v>
      </c>
      <c r="L449" s="119">
        <f t="shared" si="185"/>
        <v>0</v>
      </c>
      <c r="M449" s="119">
        <f t="shared" si="185"/>
        <v>0</v>
      </c>
      <c r="N449" s="119">
        <f t="shared" si="185"/>
        <v>0</v>
      </c>
      <c r="O449" s="119">
        <f t="shared" si="185"/>
        <v>0</v>
      </c>
      <c r="P449" s="119">
        <f t="shared" si="185"/>
        <v>0</v>
      </c>
      <c r="Q449" s="119">
        <f t="shared" si="185"/>
        <v>0</v>
      </c>
      <c r="R449" s="119">
        <f t="shared" si="185"/>
        <v>0</v>
      </c>
      <c r="S449" s="119">
        <f t="shared" si="185"/>
        <v>0</v>
      </c>
      <c r="T449" s="119">
        <f t="shared" si="185"/>
        <v>0</v>
      </c>
      <c r="U449" s="119">
        <f t="shared" si="185"/>
        <v>0</v>
      </c>
      <c r="V449" s="119">
        <f t="shared" si="185"/>
        <v>0</v>
      </c>
      <c r="W449" s="119">
        <f t="shared" si="185"/>
        <v>0</v>
      </c>
      <c r="X449" s="119">
        <f t="shared" si="185"/>
        <v>0</v>
      </c>
      <c r="Y449" s="119">
        <f t="shared" si="185"/>
        <v>0</v>
      </c>
      <c r="Z449" s="119">
        <f t="shared" si="185"/>
        <v>0</v>
      </c>
      <c r="AA449" s="119">
        <f t="shared" si="185"/>
        <v>0</v>
      </c>
      <c r="AB449" s="119" t="e">
        <f t="shared" si="185"/>
        <v>#N/A</v>
      </c>
      <c r="AC449" s="119" t="e">
        <f t="shared" si="185"/>
        <v>#N/A</v>
      </c>
      <c r="AD449" s="119" t="e">
        <f t="shared" si="185"/>
        <v>#N/A</v>
      </c>
      <c r="AE449" s="119" t="e">
        <f t="shared" si="185"/>
        <v>#N/A</v>
      </c>
      <c r="AF449" s="119" t="e">
        <f t="shared" si="185"/>
        <v>#N/A</v>
      </c>
      <c r="AG449" s="119" t="e">
        <f t="shared" si="185"/>
        <v>#N/A</v>
      </c>
      <c r="AH449" s="119" t="e">
        <f t="shared" si="185"/>
        <v>#N/A</v>
      </c>
      <c r="AI449" s="119" t="e">
        <f t="shared" si="185"/>
        <v>#N/A</v>
      </c>
      <c r="AJ449" s="119" t="e">
        <f t="shared" si="185"/>
        <v>#N/A</v>
      </c>
      <c r="AK449" s="119" t="e">
        <f t="shared" si="185"/>
        <v>#N/A</v>
      </c>
      <c r="AL449" s="119" t="e">
        <f t="shared" si="185"/>
        <v>#N/A</v>
      </c>
      <c r="AM449" s="119" t="e">
        <f t="shared" si="185"/>
        <v>#N/A</v>
      </c>
      <c r="AN449" s="119" t="e">
        <f t="shared" si="185"/>
        <v>#N/A</v>
      </c>
      <c r="AO449" s="119" t="e">
        <f t="shared" si="185"/>
        <v>#N/A</v>
      </c>
      <c r="AP449" s="119" t="e">
        <f t="shared" si="185"/>
        <v>#N/A</v>
      </c>
    </row>
    <row r="450" spans="1:42" x14ac:dyDescent="0.4">
      <c r="A450" s="22" t="str">
        <f t="shared" si="180"/>
        <v>39-yr SL</v>
      </c>
      <c r="B450" s="174">
        <f>SUM(IF(ISNUMBER(C450:AP450),C450:AP450))</f>
        <v>0</v>
      </c>
      <c r="C450" s="119">
        <f>C442/100*$Q$407</f>
        <v>0</v>
      </c>
      <c r="D450" s="119">
        <f t="shared" ref="D450:AP450" si="186">D442/100*$Q$407</f>
        <v>0</v>
      </c>
      <c r="E450" s="119">
        <f t="shared" si="186"/>
        <v>0</v>
      </c>
      <c r="F450" s="119">
        <f t="shared" si="186"/>
        <v>0</v>
      </c>
      <c r="G450" s="119">
        <f t="shared" si="186"/>
        <v>0</v>
      </c>
      <c r="H450" s="119">
        <f t="shared" si="186"/>
        <v>0</v>
      </c>
      <c r="I450" s="119">
        <f t="shared" si="186"/>
        <v>0</v>
      </c>
      <c r="J450" s="119">
        <f t="shared" si="186"/>
        <v>0</v>
      </c>
      <c r="K450" s="119">
        <f t="shared" si="186"/>
        <v>0</v>
      </c>
      <c r="L450" s="119">
        <f t="shared" si="186"/>
        <v>0</v>
      </c>
      <c r="M450" s="119">
        <f t="shared" si="186"/>
        <v>0</v>
      </c>
      <c r="N450" s="119">
        <f t="shared" si="186"/>
        <v>0</v>
      </c>
      <c r="O450" s="119">
        <f t="shared" si="186"/>
        <v>0</v>
      </c>
      <c r="P450" s="119">
        <f t="shared" si="186"/>
        <v>0</v>
      </c>
      <c r="Q450" s="119">
        <f t="shared" si="186"/>
        <v>0</v>
      </c>
      <c r="R450" s="119">
        <f t="shared" si="186"/>
        <v>0</v>
      </c>
      <c r="S450" s="119">
        <f t="shared" si="186"/>
        <v>0</v>
      </c>
      <c r="T450" s="119">
        <f t="shared" si="186"/>
        <v>0</v>
      </c>
      <c r="U450" s="119">
        <f t="shared" si="186"/>
        <v>0</v>
      </c>
      <c r="V450" s="119">
        <f t="shared" si="186"/>
        <v>0</v>
      </c>
      <c r="W450" s="119">
        <f t="shared" si="186"/>
        <v>0</v>
      </c>
      <c r="X450" s="119">
        <f t="shared" si="186"/>
        <v>0</v>
      </c>
      <c r="Y450" s="119">
        <f t="shared" si="186"/>
        <v>0</v>
      </c>
      <c r="Z450" s="119">
        <f t="shared" si="186"/>
        <v>0</v>
      </c>
      <c r="AA450" s="119">
        <f t="shared" si="186"/>
        <v>0</v>
      </c>
      <c r="AB450" s="119" t="e">
        <f t="shared" si="186"/>
        <v>#N/A</v>
      </c>
      <c r="AC450" s="119" t="e">
        <f t="shared" si="186"/>
        <v>#N/A</v>
      </c>
      <c r="AD450" s="119" t="e">
        <f t="shared" si="186"/>
        <v>#N/A</v>
      </c>
      <c r="AE450" s="119" t="e">
        <f t="shared" si="186"/>
        <v>#N/A</v>
      </c>
      <c r="AF450" s="119" t="e">
        <f t="shared" si="186"/>
        <v>#N/A</v>
      </c>
      <c r="AG450" s="119" t="e">
        <f t="shared" si="186"/>
        <v>#N/A</v>
      </c>
      <c r="AH450" s="119" t="e">
        <f t="shared" si="186"/>
        <v>#N/A</v>
      </c>
      <c r="AI450" s="119" t="e">
        <f t="shared" si="186"/>
        <v>#N/A</v>
      </c>
      <c r="AJ450" s="119" t="e">
        <f t="shared" si="186"/>
        <v>#N/A</v>
      </c>
      <c r="AK450" s="119" t="e">
        <f t="shared" si="186"/>
        <v>#N/A</v>
      </c>
      <c r="AL450" s="119" t="e">
        <f t="shared" si="186"/>
        <v>#N/A</v>
      </c>
      <c r="AM450" s="119" t="e">
        <f t="shared" si="186"/>
        <v>#N/A</v>
      </c>
      <c r="AN450" s="119" t="e">
        <f t="shared" si="186"/>
        <v>#N/A</v>
      </c>
      <c r="AO450" s="119" t="e">
        <f t="shared" si="186"/>
        <v>#N/A</v>
      </c>
      <c r="AP450" s="119" t="e">
        <f t="shared" si="186"/>
        <v>#N/A</v>
      </c>
    </row>
    <row r="451" spans="1:42" x14ac:dyDescent="0.4">
      <c r="A451" s="22" t="s">
        <v>286</v>
      </c>
      <c r="B451" s="174">
        <f>SUM(IF(ISNUMBER(C451:AP451),C451:AP451))</f>
        <v>0</v>
      </c>
      <c r="C451" s="119">
        <f t="shared" ref="C451:AP451" si="187">IF(C2&lt;=analysis_period,C443/100*$Q$408,0)</f>
        <v>2773908.1050000004</v>
      </c>
      <c r="D451" s="119">
        <f t="shared" si="187"/>
        <v>2773908.1050000004</v>
      </c>
      <c r="E451" s="119">
        <f t="shared" si="187"/>
        <v>2773908.1050000004</v>
      </c>
      <c r="F451" s="119">
        <f t="shared" si="187"/>
        <v>2773908.1050000004</v>
      </c>
      <c r="G451" s="119">
        <f t="shared" si="187"/>
        <v>2773908.1050000004</v>
      </c>
      <c r="H451" s="119">
        <f t="shared" si="187"/>
        <v>2773908.1050000004</v>
      </c>
      <c r="I451" s="119">
        <f t="shared" si="187"/>
        <v>2773908.1050000004</v>
      </c>
      <c r="J451" s="119">
        <f t="shared" si="187"/>
        <v>2773908.1050000004</v>
      </c>
      <c r="K451" s="119">
        <f t="shared" si="187"/>
        <v>2773908.1050000004</v>
      </c>
      <c r="L451" s="119">
        <f t="shared" si="187"/>
        <v>2773908.1050000004</v>
      </c>
      <c r="M451" s="119">
        <f t="shared" si="187"/>
        <v>0</v>
      </c>
      <c r="N451" s="119">
        <f t="shared" si="187"/>
        <v>0</v>
      </c>
      <c r="O451" s="119">
        <f t="shared" si="187"/>
        <v>0</v>
      </c>
      <c r="P451" s="119">
        <f t="shared" si="187"/>
        <v>0</v>
      </c>
      <c r="Q451" s="119">
        <f t="shared" si="187"/>
        <v>0</v>
      </c>
      <c r="R451" s="119">
        <f t="shared" si="187"/>
        <v>0</v>
      </c>
      <c r="S451" s="119">
        <f t="shared" si="187"/>
        <v>0</v>
      </c>
      <c r="T451" s="119">
        <f t="shared" si="187"/>
        <v>0</v>
      </c>
      <c r="U451" s="119">
        <f t="shared" si="187"/>
        <v>0</v>
      </c>
      <c r="V451" s="119">
        <f t="shared" si="187"/>
        <v>0</v>
      </c>
      <c r="W451" s="119">
        <f t="shared" si="187"/>
        <v>0</v>
      </c>
      <c r="X451" s="119">
        <f t="shared" si="187"/>
        <v>0</v>
      </c>
      <c r="Y451" s="119">
        <f t="shared" si="187"/>
        <v>0</v>
      </c>
      <c r="Z451" s="119">
        <f t="shared" si="187"/>
        <v>0</v>
      </c>
      <c r="AA451" s="119">
        <f t="shared" si="187"/>
        <v>0</v>
      </c>
      <c r="AB451" s="119">
        <f t="shared" si="187"/>
        <v>0</v>
      </c>
      <c r="AC451" s="119">
        <f t="shared" si="187"/>
        <v>0</v>
      </c>
      <c r="AD451" s="119">
        <f t="shared" si="187"/>
        <v>0</v>
      </c>
      <c r="AE451" s="119">
        <f t="shared" si="187"/>
        <v>0</v>
      </c>
      <c r="AF451" s="119">
        <f t="shared" si="187"/>
        <v>0</v>
      </c>
      <c r="AG451" s="119">
        <f t="shared" si="187"/>
        <v>0</v>
      </c>
      <c r="AH451" s="119">
        <f t="shared" si="187"/>
        <v>0</v>
      </c>
      <c r="AI451" s="119">
        <f t="shared" si="187"/>
        <v>0</v>
      </c>
      <c r="AJ451" s="119">
        <f t="shared" si="187"/>
        <v>0</v>
      </c>
      <c r="AK451" s="119">
        <f t="shared" si="187"/>
        <v>0</v>
      </c>
      <c r="AL451" s="119">
        <f t="shared" si="187"/>
        <v>0</v>
      </c>
      <c r="AM451" s="119">
        <f t="shared" si="187"/>
        <v>0</v>
      </c>
      <c r="AN451" s="119">
        <f t="shared" si="187"/>
        <v>0</v>
      </c>
      <c r="AO451" s="119">
        <f t="shared" si="187"/>
        <v>0</v>
      </c>
      <c r="AP451" s="119">
        <f t="shared" si="187"/>
        <v>0</v>
      </c>
    </row>
    <row r="452" spans="1:42" x14ac:dyDescent="0.4">
      <c r="A452" s="22" t="s">
        <v>61</v>
      </c>
      <c r="B452" s="174">
        <f t="array" ref="B452">SUM(IF(ISNUMBER(C452:AP452),C452:AP452))</f>
        <v>0</v>
      </c>
      <c r="C452" s="120">
        <f>P409</f>
        <v>0</v>
      </c>
      <c r="D452" s="120">
        <v>0</v>
      </c>
      <c r="E452" s="120">
        <v>0</v>
      </c>
      <c r="F452" s="120">
        <v>0</v>
      </c>
      <c r="G452" s="120">
        <v>0</v>
      </c>
      <c r="H452" s="120">
        <v>0</v>
      </c>
      <c r="I452" s="120">
        <v>0</v>
      </c>
      <c r="J452" s="120">
        <v>0</v>
      </c>
      <c r="K452" s="120">
        <v>0</v>
      </c>
      <c r="L452" s="120">
        <v>0</v>
      </c>
      <c r="M452" s="120">
        <v>0</v>
      </c>
      <c r="N452" s="120">
        <v>0</v>
      </c>
      <c r="O452" s="120">
        <v>0</v>
      </c>
      <c r="P452" s="120">
        <v>0</v>
      </c>
      <c r="Q452" s="120">
        <v>0</v>
      </c>
      <c r="R452" s="120">
        <v>0</v>
      </c>
      <c r="S452" s="120">
        <v>0</v>
      </c>
      <c r="T452" s="120">
        <v>0</v>
      </c>
      <c r="U452" s="120">
        <v>0</v>
      </c>
      <c r="V452" s="120">
        <v>0</v>
      </c>
      <c r="W452" s="120">
        <v>0</v>
      </c>
      <c r="X452" s="120">
        <v>0</v>
      </c>
      <c r="Y452" s="120">
        <v>0</v>
      </c>
      <c r="Z452" s="120">
        <v>0</v>
      </c>
      <c r="AA452" s="120">
        <v>0</v>
      </c>
      <c r="AB452" s="120">
        <v>0</v>
      </c>
      <c r="AC452" s="120">
        <v>0</v>
      </c>
      <c r="AD452" s="120">
        <v>0</v>
      </c>
      <c r="AE452" s="120">
        <v>0</v>
      </c>
      <c r="AF452" s="120">
        <v>0</v>
      </c>
      <c r="AG452" s="120">
        <v>0</v>
      </c>
      <c r="AH452" s="120">
        <v>0</v>
      </c>
      <c r="AI452" s="120">
        <v>0</v>
      </c>
      <c r="AJ452" s="120">
        <v>0</v>
      </c>
      <c r="AK452" s="120">
        <v>0</v>
      </c>
      <c r="AL452" s="120">
        <v>0</v>
      </c>
      <c r="AM452" s="120">
        <v>0</v>
      </c>
      <c r="AN452" s="120">
        <v>0</v>
      </c>
      <c r="AO452" s="120">
        <v>0</v>
      </c>
      <c r="AP452" s="120">
        <v>0</v>
      </c>
    </row>
    <row r="453" spans="1:42" x14ac:dyDescent="0.4">
      <c r="A453" s="21"/>
      <c r="B453" s="175">
        <f t="array" ref="B453">SUM(IF(ISNUMBER(C453:AP453),C453:AP453))</f>
        <v>27739081.050000004</v>
      </c>
      <c r="C453" s="119">
        <f>SUM(C445:C452)</f>
        <v>2773908.1050000004</v>
      </c>
      <c r="D453" s="119">
        <f t="shared" ref="D453:AP453" si="188">SUM(D445:D452)</f>
        <v>2773908.1050000004</v>
      </c>
      <c r="E453" s="119">
        <f t="shared" si="188"/>
        <v>2773908.1050000004</v>
      </c>
      <c r="F453" s="119">
        <f t="shared" si="188"/>
        <v>2773908.1050000004</v>
      </c>
      <c r="G453" s="119">
        <f t="shared" si="188"/>
        <v>2773908.1050000004</v>
      </c>
      <c r="H453" s="119">
        <f t="shared" si="188"/>
        <v>2773908.1050000004</v>
      </c>
      <c r="I453" s="119">
        <f t="shared" si="188"/>
        <v>2773908.1050000004</v>
      </c>
      <c r="J453" s="119">
        <f t="shared" si="188"/>
        <v>2773908.1050000004</v>
      </c>
      <c r="K453" s="119">
        <f t="shared" si="188"/>
        <v>2773908.1050000004</v>
      </c>
      <c r="L453" s="119">
        <f t="shared" si="188"/>
        <v>2773908.1050000004</v>
      </c>
      <c r="M453" s="119">
        <f t="shared" si="188"/>
        <v>0</v>
      </c>
      <c r="N453" s="119">
        <f t="shared" si="188"/>
        <v>0</v>
      </c>
      <c r="O453" s="119">
        <f t="shared" si="188"/>
        <v>0</v>
      </c>
      <c r="P453" s="119">
        <f t="shared" si="188"/>
        <v>0</v>
      </c>
      <c r="Q453" s="119">
        <f t="shared" si="188"/>
        <v>0</v>
      </c>
      <c r="R453" s="119">
        <f t="shared" si="188"/>
        <v>0</v>
      </c>
      <c r="S453" s="119">
        <f t="shared" si="188"/>
        <v>0</v>
      </c>
      <c r="T453" s="119">
        <f t="shared" si="188"/>
        <v>0</v>
      </c>
      <c r="U453" s="119">
        <f t="shared" si="188"/>
        <v>0</v>
      </c>
      <c r="V453" s="119">
        <f t="shared" si="188"/>
        <v>0</v>
      </c>
      <c r="W453" s="119">
        <f t="shared" si="188"/>
        <v>0</v>
      </c>
      <c r="X453" s="119">
        <f t="shared" si="188"/>
        <v>0</v>
      </c>
      <c r="Y453" s="119">
        <f t="shared" si="188"/>
        <v>0</v>
      </c>
      <c r="Z453" s="119">
        <f t="shared" si="188"/>
        <v>0</v>
      </c>
      <c r="AA453" s="119">
        <f t="shared" si="188"/>
        <v>0</v>
      </c>
      <c r="AB453" s="119" t="e">
        <f t="shared" si="188"/>
        <v>#N/A</v>
      </c>
      <c r="AC453" s="119" t="e">
        <f t="shared" si="188"/>
        <v>#N/A</v>
      </c>
      <c r="AD453" s="119" t="e">
        <f t="shared" si="188"/>
        <v>#N/A</v>
      </c>
      <c r="AE453" s="119" t="e">
        <f t="shared" si="188"/>
        <v>#N/A</v>
      </c>
      <c r="AF453" s="119" t="e">
        <f t="shared" si="188"/>
        <v>#N/A</v>
      </c>
      <c r="AG453" s="119" t="e">
        <f t="shared" si="188"/>
        <v>#N/A</v>
      </c>
      <c r="AH453" s="119" t="e">
        <f t="shared" si="188"/>
        <v>#N/A</v>
      </c>
      <c r="AI453" s="119" t="e">
        <f t="shared" si="188"/>
        <v>#N/A</v>
      </c>
      <c r="AJ453" s="119" t="e">
        <f t="shared" si="188"/>
        <v>#N/A</v>
      </c>
      <c r="AK453" s="119" t="e">
        <f t="shared" si="188"/>
        <v>#N/A</v>
      </c>
      <c r="AL453" s="119" t="e">
        <f t="shared" si="188"/>
        <v>#N/A</v>
      </c>
      <c r="AM453" s="119" t="e">
        <f t="shared" si="188"/>
        <v>#N/A</v>
      </c>
      <c r="AN453" s="119" t="e">
        <f t="shared" si="188"/>
        <v>#N/A</v>
      </c>
      <c r="AO453" s="119" t="e">
        <f t="shared" si="188"/>
        <v>#N/A</v>
      </c>
      <c r="AP453" s="119" t="e">
        <f t="shared" si="188"/>
        <v>#N/A</v>
      </c>
    </row>
    <row r="454" spans="1:42" x14ac:dyDescent="0.4">
      <c r="A454" s="21"/>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row>
    <row r="455" spans="1:42" x14ac:dyDescent="0.4">
      <c r="A455" s="86" t="s">
        <v>410</v>
      </c>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row>
    <row r="456" spans="1:42" x14ac:dyDescent="0.4">
      <c r="A456" s="21" t="s">
        <v>411</v>
      </c>
      <c r="B456" s="24" t="str">
        <f>equip_reserve_depr_fed</f>
        <v>20-yr SL</v>
      </c>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row>
    <row r="457" spans="1:42" x14ac:dyDescent="0.4">
      <c r="A457" s="21" t="s">
        <v>54</v>
      </c>
      <c r="B457" s="170">
        <f t="shared" ref="B457:AP457" si="189">B2</f>
        <v>0</v>
      </c>
      <c r="C457" s="170">
        <f t="shared" si="189"/>
        <v>1</v>
      </c>
      <c r="D457" s="170">
        <f t="shared" si="189"/>
        <v>2</v>
      </c>
      <c r="E457" s="170">
        <f t="shared" si="189"/>
        <v>3</v>
      </c>
      <c r="F457" s="170">
        <f t="shared" si="189"/>
        <v>4</v>
      </c>
      <c r="G457" s="170">
        <f t="shared" si="189"/>
        <v>5</v>
      </c>
      <c r="H457" s="170">
        <f t="shared" si="189"/>
        <v>6</v>
      </c>
      <c r="I457" s="170">
        <f t="shared" si="189"/>
        <v>7</v>
      </c>
      <c r="J457" s="170">
        <f t="shared" si="189"/>
        <v>8</v>
      </c>
      <c r="K457" s="170">
        <f t="shared" si="189"/>
        <v>9</v>
      </c>
      <c r="L457" s="170">
        <f t="shared" si="189"/>
        <v>10</v>
      </c>
      <c r="M457" s="170">
        <f t="shared" si="189"/>
        <v>11</v>
      </c>
      <c r="N457" s="170">
        <f t="shared" si="189"/>
        <v>12</v>
      </c>
      <c r="O457" s="170">
        <f t="shared" si="189"/>
        <v>13</v>
      </c>
      <c r="P457" s="170">
        <f t="shared" si="189"/>
        <v>14</v>
      </c>
      <c r="Q457" s="170">
        <f t="shared" si="189"/>
        <v>15</v>
      </c>
      <c r="R457" s="170">
        <f t="shared" si="189"/>
        <v>16</v>
      </c>
      <c r="S457" s="170">
        <f t="shared" si="189"/>
        <v>17</v>
      </c>
      <c r="T457" s="170">
        <f t="shared" si="189"/>
        <v>18</v>
      </c>
      <c r="U457" s="170">
        <f t="shared" si="189"/>
        <v>19</v>
      </c>
      <c r="V457" s="170">
        <f t="shared" si="189"/>
        <v>20</v>
      </c>
      <c r="W457" s="170">
        <f t="shared" si="189"/>
        <v>21</v>
      </c>
      <c r="X457" s="170">
        <f t="shared" si="189"/>
        <v>22</v>
      </c>
      <c r="Y457" s="170">
        <f t="shared" si="189"/>
        <v>23</v>
      </c>
      <c r="Z457" s="170">
        <f t="shared" si="189"/>
        <v>24</v>
      </c>
      <c r="AA457" s="170">
        <f t="shared" si="189"/>
        <v>25</v>
      </c>
      <c r="AB457" s="170" t="str">
        <f t="shared" si="189"/>
        <v/>
      </c>
      <c r="AC457" s="170" t="str">
        <f t="shared" si="189"/>
        <v/>
      </c>
      <c r="AD457" s="170" t="str">
        <f t="shared" si="189"/>
        <v/>
      </c>
      <c r="AE457" s="170" t="str">
        <f t="shared" si="189"/>
        <v/>
      </c>
      <c r="AF457" s="170" t="str">
        <f t="shared" si="189"/>
        <v/>
      </c>
      <c r="AG457" s="170" t="str">
        <f t="shared" si="189"/>
        <v/>
      </c>
      <c r="AH457" s="170" t="str">
        <f t="shared" si="189"/>
        <v/>
      </c>
      <c r="AI457" s="170" t="str">
        <f t="shared" si="189"/>
        <v/>
      </c>
      <c r="AJ457" s="170" t="str">
        <f t="shared" si="189"/>
        <v/>
      </c>
      <c r="AK457" s="170" t="str">
        <f t="shared" si="189"/>
        <v/>
      </c>
      <c r="AL457" s="170" t="str">
        <f t="shared" si="189"/>
        <v/>
      </c>
      <c r="AM457" s="170" t="str">
        <f t="shared" si="189"/>
        <v/>
      </c>
      <c r="AN457" s="170" t="str">
        <f t="shared" si="189"/>
        <v/>
      </c>
      <c r="AO457" s="170" t="str">
        <f t="shared" si="189"/>
        <v/>
      </c>
      <c r="AP457" s="170" t="str">
        <f t="shared" si="189"/>
        <v/>
      </c>
    </row>
    <row r="458" spans="1:42" x14ac:dyDescent="0.4">
      <c r="A458" s="21" t="s">
        <v>412</v>
      </c>
      <c r="B458" s="169">
        <v>0</v>
      </c>
      <c r="C458" s="165">
        <f t="shared" ref="C458:AP458" si="190">IF($B$456=$A437,C437,0)+IF($B$456=$A438,C438,0)+IF($B$456=$A439,C439,0)+IF($B$456=$A440,C440,0)+IF($B$456=$A441,C441,0)+IF($B$456=$A442,C442,0)</f>
        <v>2.5</v>
      </c>
      <c r="D458" s="165">
        <f t="shared" si="190"/>
        <v>5</v>
      </c>
      <c r="E458" s="165">
        <f t="shared" si="190"/>
        <v>5</v>
      </c>
      <c r="F458" s="165">
        <f t="shared" si="190"/>
        <v>5</v>
      </c>
      <c r="G458" s="165">
        <f t="shared" si="190"/>
        <v>5</v>
      </c>
      <c r="H458" s="165">
        <f t="shared" si="190"/>
        <v>5</v>
      </c>
      <c r="I458" s="165">
        <f t="shared" si="190"/>
        <v>5</v>
      </c>
      <c r="J458" s="165">
        <f t="shared" si="190"/>
        <v>5</v>
      </c>
      <c r="K458" s="165">
        <f t="shared" si="190"/>
        <v>5</v>
      </c>
      <c r="L458" s="165">
        <f t="shared" si="190"/>
        <v>5</v>
      </c>
      <c r="M458" s="165">
        <f t="shared" si="190"/>
        <v>5</v>
      </c>
      <c r="N458" s="165">
        <f t="shared" si="190"/>
        <v>5</v>
      </c>
      <c r="O458" s="165">
        <f t="shared" si="190"/>
        <v>5</v>
      </c>
      <c r="P458" s="165">
        <f t="shared" si="190"/>
        <v>5</v>
      </c>
      <c r="Q458" s="165">
        <f t="shared" si="190"/>
        <v>5</v>
      </c>
      <c r="R458" s="165">
        <f t="shared" si="190"/>
        <v>5</v>
      </c>
      <c r="S458" s="165">
        <f t="shared" si="190"/>
        <v>5</v>
      </c>
      <c r="T458" s="165">
        <f t="shared" si="190"/>
        <v>5</v>
      </c>
      <c r="U458" s="165">
        <f t="shared" si="190"/>
        <v>5</v>
      </c>
      <c r="V458" s="165">
        <f t="shared" si="190"/>
        <v>5</v>
      </c>
      <c r="W458" s="165">
        <f t="shared" si="190"/>
        <v>2.5</v>
      </c>
      <c r="X458" s="165">
        <f t="shared" si="190"/>
        <v>0</v>
      </c>
      <c r="Y458" s="165">
        <f t="shared" si="190"/>
        <v>0</v>
      </c>
      <c r="Z458" s="165">
        <f t="shared" si="190"/>
        <v>0</v>
      </c>
      <c r="AA458" s="165">
        <f t="shared" si="190"/>
        <v>0</v>
      </c>
      <c r="AB458" s="165" t="e">
        <f t="shared" si="190"/>
        <v>#N/A</v>
      </c>
      <c r="AC458" s="165" t="e">
        <f t="shared" si="190"/>
        <v>#N/A</v>
      </c>
      <c r="AD458" s="165" t="e">
        <f t="shared" si="190"/>
        <v>#N/A</v>
      </c>
      <c r="AE458" s="165" t="e">
        <f t="shared" si="190"/>
        <v>#N/A</v>
      </c>
      <c r="AF458" s="165" t="e">
        <f t="shared" si="190"/>
        <v>#N/A</v>
      </c>
      <c r="AG458" s="165" t="e">
        <f t="shared" si="190"/>
        <v>#N/A</v>
      </c>
      <c r="AH458" s="165" t="e">
        <f t="shared" si="190"/>
        <v>#N/A</v>
      </c>
      <c r="AI458" s="165" t="e">
        <f t="shared" si="190"/>
        <v>#N/A</v>
      </c>
      <c r="AJ458" s="165" t="e">
        <f t="shared" si="190"/>
        <v>#N/A</v>
      </c>
      <c r="AK458" s="165" t="e">
        <f t="shared" si="190"/>
        <v>#N/A</v>
      </c>
      <c r="AL458" s="165" t="e">
        <f t="shared" si="190"/>
        <v>#N/A</v>
      </c>
      <c r="AM458" s="165" t="e">
        <f t="shared" si="190"/>
        <v>#N/A</v>
      </c>
      <c r="AN458" s="165" t="e">
        <f t="shared" si="190"/>
        <v>#N/A</v>
      </c>
      <c r="AO458" s="165" t="e">
        <f t="shared" si="190"/>
        <v>#N/A</v>
      </c>
      <c r="AP458" s="165" t="e">
        <f t="shared" si="190"/>
        <v>#N/A</v>
      </c>
    </row>
    <row r="459" spans="1:42" x14ac:dyDescent="0.4">
      <c r="A459" s="17"/>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row>
    <row r="460" spans="1:42" x14ac:dyDescent="0.4">
      <c r="A460" s="21" t="s">
        <v>62</v>
      </c>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row>
    <row r="461" spans="1:42" x14ac:dyDescent="0.4">
      <c r="A461" s="87" t="s">
        <v>53</v>
      </c>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row>
    <row r="462" spans="1:42" x14ac:dyDescent="0.4">
      <c r="A462" s="4">
        <v>1</v>
      </c>
      <c r="C462" s="156">
        <f t="shared" ref="C462:AP462" si="191">C324</f>
        <v>0</v>
      </c>
      <c r="D462" s="156">
        <f t="shared" si="191"/>
        <v>0</v>
      </c>
      <c r="E462" s="156">
        <f t="shared" si="191"/>
        <v>0</v>
      </c>
      <c r="F462" s="156">
        <f t="shared" si="191"/>
        <v>0</v>
      </c>
      <c r="G462" s="156">
        <f t="shared" si="191"/>
        <v>0</v>
      </c>
      <c r="H462" s="156">
        <f t="shared" si="191"/>
        <v>0</v>
      </c>
      <c r="I462" s="156">
        <f t="shared" si="191"/>
        <v>0</v>
      </c>
      <c r="J462" s="156">
        <f t="shared" si="191"/>
        <v>0</v>
      </c>
      <c r="K462" s="156">
        <f t="shared" si="191"/>
        <v>0</v>
      </c>
      <c r="L462" s="156">
        <f t="shared" si="191"/>
        <v>0</v>
      </c>
      <c r="M462" s="156">
        <f t="shared" si="191"/>
        <v>0</v>
      </c>
      <c r="N462" s="156">
        <f t="shared" si="191"/>
        <v>0</v>
      </c>
      <c r="O462" s="156">
        <f t="shared" si="191"/>
        <v>0</v>
      </c>
      <c r="P462" s="156">
        <f t="shared" si="191"/>
        <v>0</v>
      </c>
      <c r="Q462" s="156">
        <f t="shared" si="191"/>
        <v>0</v>
      </c>
      <c r="R462" s="156">
        <f t="shared" si="191"/>
        <v>0</v>
      </c>
      <c r="S462" s="156">
        <f t="shared" si="191"/>
        <v>0</v>
      </c>
      <c r="T462" s="156">
        <f t="shared" si="191"/>
        <v>0</v>
      </c>
      <c r="U462" s="156">
        <f t="shared" si="191"/>
        <v>0</v>
      </c>
      <c r="V462" s="156">
        <f t="shared" si="191"/>
        <v>0</v>
      </c>
      <c r="W462" s="156">
        <f t="shared" si="191"/>
        <v>0</v>
      </c>
      <c r="X462" s="156">
        <f t="shared" si="191"/>
        <v>0</v>
      </c>
      <c r="Y462" s="156">
        <f t="shared" si="191"/>
        <v>0</v>
      </c>
      <c r="Z462" s="156">
        <f t="shared" si="191"/>
        <v>0</v>
      </c>
      <c r="AA462" s="156">
        <f t="shared" si="191"/>
        <v>0</v>
      </c>
      <c r="AB462" s="156">
        <f t="shared" si="191"/>
        <v>0</v>
      </c>
      <c r="AC462" s="156">
        <f t="shared" si="191"/>
        <v>0</v>
      </c>
      <c r="AD462" s="156">
        <f t="shared" si="191"/>
        <v>0</v>
      </c>
      <c r="AE462" s="156">
        <f t="shared" si="191"/>
        <v>0</v>
      </c>
      <c r="AF462" s="156">
        <f t="shared" si="191"/>
        <v>0</v>
      </c>
      <c r="AG462" s="156">
        <f t="shared" si="191"/>
        <v>0</v>
      </c>
      <c r="AH462" s="156">
        <f t="shared" si="191"/>
        <v>0</v>
      </c>
      <c r="AI462" s="156">
        <f t="shared" si="191"/>
        <v>0</v>
      </c>
      <c r="AJ462" s="156">
        <f t="shared" si="191"/>
        <v>0</v>
      </c>
      <c r="AK462" s="156">
        <f t="shared" si="191"/>
        <v>0</v>
      </c>
      <c r="AL462" s="156">
        <f t="shared" si="191"/>
        <v>0</v>
      </c>
      <c r="AM462" s="156">
        <f t="shared" si="191"/>
        <v>0</v>
      </c>
      <c r="AN462" s="156">
        <f t="shared" si="191"/>
        <v>0</v>
      </c>
      <c r="AO462" s="156">
        <f t="shared" si="191"/>
        <v>0</v>
      </c>
      <c r="AP462" s="156">
        <f t="shared" si="191"/>
        <v>0</v>
      </c>
    </row>
    <row r="463" spans="1:42" x14ac:dyDescent="0.4">
      <c r="A463" s="4">
        <f>A462+1</f>
        <v>2</v>
      </c>
      <c r="C463" s="156">
        <f t="shared" ref="C463:AP463" si="192">C325</f>
        <v>0</v>
      </c>
      <c r="D463" s="156">
        <f t="shared" si="192"/>
        <v>0</v>
      </c>
      <c r="E463" s="156">
        <f t="shared" si="192"/>
        <v>0</v>
      </c>
      <c r="F463" s="156">
        <f t="shared" si="192"/>
        <v>0</v>
      </c>
      <c r="G463" s="156">
        <f t="shared" si="192"/>
        <v>0</v>
      </c>
      <c r="H463" s="156">
        <f t="shared" si="192"/>
        <v>0</v>
      </c>
      <c r="I463" s="156">
        <f t="shared" si="192"/>
        <v>0</v>
      </c>
      <c r="J463" s="156">
        <f t="shared" si="192"/>
        <v>0</v>
      </c>
      <c r="K463" s="156">
        <f t="shared" si="192"/>
        <v>0</v>
      </c>
      <c r="L463" s="156">
        <f t="shared" si="192"/>
        <v>0</v>
      </c>
      <c r="M463" s="156">
        <f t="shared" si="192"/>
        <v>0</v>
      </c>
      <c r="N463" s="156">
        <f t="shared" si="192"/>
        <v>0</v>
      </c>
      <c r="O463" s="156">
        <f t="shared" si="192"/>
        <v>0</v>
      </c>
      <c r="P463" s="156">
        <f t="shared" si="192"/>
        <v>0</v>
      </c>
      <c r="Q463" s="156">
        <f t="shared" si="192"/>
        <v>0</v>
      </c>
      <c r="R463" s="156">
        <f t="shared" si="192"/>
        <v>0</v>
      </c>
      <c r="S463" s="156">
        <f t="shared" si="192"/>
        <v>0</v>
      </c>
      <c r="T463" s="156">
        <f t="shared" si="192"/>
        <v>0</v>
      </c>
      <c r="U463" s="156">
        <f t="shared" si="192"/>
        <v>0</v>
      </c>
      <c r="V463" s="156">
        <f t="shared" si="192"/>
        <v>0</v>
      </c>
      <c r="W463" s="156">
        <f t="shared" si="192"/>
        <v>0</v>
      </c>
      <c r="X463" s="156">
        <f t="shared" si="192"/>
        <v>0</v>
      </c>
      <c r="Y463" s="156">
        <f t="shared" si="192"/>
        <v>0</v>
      </c>
      <c r="Z463" s="156">
        <f t="shared" si="192"/>
        <v>0</v>
      </c>
      <c r="AA463" s="156">
        <f t="shared" si="192"/>
        <v>0</v>
      </c>
      <c r="AB463" s="156">
        <f t="shared" si="192"/>
        <v>0</v>
      </c>
      <c r="AC463" s="156">
        <f t="shared" si="192"/>
        <v>0</v>
      </c>
      <c r="AD463" s="156">
        <f t="shared" si="192"/>
        <v>0</v>
      </c>
      <c r="AE463" s="156">
        <f t="shared" si="192"/>
        <v>0</v>
      </c>
      <c r="AF463" s="156">
        <f t="shared" si="192"/>
        <v>0</v>
      </c>
      <c r="AG463" s="156">
        <f t="shared" si="192"/>
        <v>0</v>
      </c>
      <c r="AH463" s="156">
        <f t="shared" si="192"/>
        <v>0</v>
      </c>
      <c r="AI463" s="156">
        <f t="shared" si="192"/>
        <v>0</v>
      </c>
      <c r="AJ463" s="156">
        <f t="shared" si="192"/>
        <v>0</v>
      </c>
      <c r="AK463" s="156">
        <f t="shared" si="192"/>
        <v>0</v>
      </c>
      <c r="AL463" s="156">
        <f t="shared" si="192"/>
        <v>0</v>
      </c>
      <c r="AM463" s="156">
        <f t="shared" si="192"/>
        <v>0</v>
      </c>
      <c r="AN463" s="156">
        <f t="shared" si="192"/>
        <v>0</v>
      </c>
      <c r="AO463" s="156">
        <f t="shared" si="192"/>
        <v>0</v>
      </c>
      <c r="AP463" s="156">
        <f t="shared" si="192"/>
        <v>0</v>
      </c>
    </row>
    <row r="464" spans="1:42" x14ac:dyDescent="0.4">
      <c r="A464" s="4">
        <f t="shared" ref="A464:A469" si="193">A463+1</f>
        <v>3</v>
      </c>
      <c r="C464" s="156">
        <f t="shared" ref="C464:AP464" si="194">C326</f>
        <v>0</v>
      </c>
      <c r="D464" s="156">
        <f t="shared" si="194"/>
        <v>0</v>
      </c>
      <c r="E464" s="156">
        <f t="shared" si="194"/>
        <v>0</v>
      </c>
      <c r="F464" s="156">
        <f t="shared" si="194"/>
        <v>0</v>
      </c>
      <c r="G464" s="156">
        <f t="shared" si="194"/>
        <v>0</v>
      </c>
      <c r="H464" s="156">
        <f t="shared" si="194"/>
        <v>0</v>
      </c>
      <c r="I464" s="156">
        <f t="shared" si="194"/>
        <v>0</v>
      </c>
      <c r="J464" s="156">
        <f t="shared" si="194"/>
        <v>0</v>
      </c>
      <c r="K464" s="156">
        <f t="shared" si="194"/>
        <v>0</v>
      </c>
      <c r="L464" s="156">
        <f t="shared" si="194"/>
        <v>0</v>
      </c>
      <c r="M464" s="156">
        <f t="shared" si="194"/>
        <v>0</v>
      </c>
      <c r="N464" s="156">
        <f t="shared" si="194"/>
        <v>0</v>
      </c>
      <c r="O464" s="156">
        <f t="shared" si="194"/>
        <v>0</v>
      </c>
      <c r="P464" s="156">
        <f t="shared" si="194"/>
        <v>0</v>
      </c>
      <c r="Q464" s="156">
        <f t="shared" si="194"/>
        <v>0</v>
      </c>
      <c r="R464" s="156">
        <f t="shared" si="194"/>
        <v>0</v>
      </c>
      <c r="S464" s="156">
        <f t="shared" si="194"/>
        <v>0</v>
      </c>
      <c r="T464" s="156">
        <f t="shared" si="194"/>
        <v>0</v>
      </c>
      <c r="U464" s="156">
        <f t="shared" si="194"/>
        <v>0</v>
      </c>
      <c r="V464" s="156">
        <f t="shared" si="194"/>
        <v>0</v>
      </c>
      <c r="W464" s="156">
        <f t="shared" si="194"/>
        <v>0</v>
      </c>
      <c r="X464" s="156">
        <f t="shared" si="194"/>
        <v>0</v>
      </c>
      <c r="Y464" s="156">
        <f t="shared" si="194"/>
        <v>0</v>
      </c>
      <c r="Z464" s="156">
        <f t="shared" si="194"/>
        <v>0</v>
      </c>
      <c r="AA464" s="156">
        <f t="shared" si="194"/>
        <v>0</v>
      </c>
      <c r="AB464" s="156">
        <f t="shared" si="194"/>
        <v>0</v>
      </c>
      <c r="AC464" s="156">
        <f t="shared" si="194"/>
        <v>0</v>
      </c>
      <c r="AD464" s="156">
        <f t="shared" si="194"/>
        <v>0</v>
      </c>
      <c r="AE464" s="156">
        <f t="shared" si="194"/>
        <v>0</v>
      </c>
      <c r="AF464" s="156">
        <f t="shared" si="194"/>
        <v>0</v>
      </c>
      <c r="AG464" s="156">
        <f t="shared" si="194"/>
        <v>0</v>
      </c>
      <c r="AH464" s="156">
        <f t="shared" si="194"/>
        <v>0</v>
      </c>
      <c r="AI464" s="156">
        <f t="shared" si="194"/>
        <v>0</v>
      </c>
      <c r="AJ464" s="156">
        <f t="shared" si="194"/>
        <v>0</v>
      </c>
      <c r="AK464" s="156">
        <f t="shared" si="194"/>
        <v>0</v>
      </c>
      <c r="AL464" s="156">
        <f t="shared" si="194"/>
        <v>0</v>
      </c>
      <c r="AM464" s="156">
        <f t="shared" si="194"/>
        <v>0</v>
      </c>
      <c r="AN464" s="156">
        <f t="shared" si="194"/>
        <v>0</v>
      </c>
      <c r="AO464" s="156">
        <f t="shared" si="194"/>
        <v>0</v>
      </c>
      <c r="AP464" s="156">
        <f t="shared" si="194"/>
        <v>0</v>
      </c>
    </row>
    <row r="465" spans="1:42" x14ac:dyDescent="0.4">
      <c r="A465" s="4">
        <f t="shared" si="193"/>
        <v>4</v>
      </c>
      <c r="C465" s="156">
        <f t="shared" ref="C465:AP465" si="195">C327</f>
        <v>0</v>
      </c>
      <c r="D465" s="156">
        <f t="shared" si="195"/>
        <v>0</v>
      </c>
      <c r="E465" s="156">
        <f t="shared" si="195"/>
        <v>0</v>
      </c>
      <c r="F465" s="156">
        <f t="shared" si="195"/>
        <v>0</v>
      </c>
      <c r="G465" s="156">
        <f t="shared" si="195"/>
        <v>0</v>
      </c>
      <c r="H465" s="156">
        <f t="shared" si="195"/>
        <v>0</v>
      </c>
      <c r="I465" s="156">
        <f t="shared" si="195"/>
        <v>0</v>
      </c>
      <c r="J465" s="156">
        <f t="shared" si="195"/>
        <v>0</v>
      </c>
      <c r="K465" s="156">
        <f t="shared" si="195"/>
        <v>0</v>
      </c>
      <c r="L465" s="156">
        <f t="shared" si="195"/>
        <v>0</v>
      </c>
      <c r="M465" s="156">
        <f t="shared" si="195"/>
        <v>0</v>
      </c>
      <c r="N465" s="156">
        <f t="shared" si="195"/>
        <v>0</v>
      </c>
      <c r="O465" s="156">
        <f t="shared" si="195"/>
        <v>0</v>
      </c>
      <c r="P465" s="156">
        <f t="shared" si="195"/>
        <v>0</v>
      </c>
      <c r="Q465" s="156">
        <f t="shared" si="195"/>
        <v>0</v>
      </c>
      <c r="R465" s="156">
        <f t="shared" si="195"/>
        <v>0</v>
      </c>
      <c r="S465" s="156">
        <f t="shared" si="195"/>
        <v>0</v>
      </c>
      <c r="T465" s="156">
        <f t="shared" si="195"/>
        <v>0</v>
      </c>
      <c r="U465" s="156">
        <f t="shared" si="195"/>
        <v>0</v>
      </c>
      <c r="V465" s="156">
        <f t="shared" si="195"/>
        <v>0</v>
      </c>
      <c r="W465" s="156">
        <f t="shared" si="195"/>
        <v>0</v>
      </c>
      <c r="X465" s="156">
        <f t="shared" si="195"/>
        <v>0</v>
      </c>
      <c r="Y465" s="156">
        <f t="shared" si="195"/>
        <v>0</v>
      </c>
      <c r="Z465" s="156">
        <f t="shared" si="195"/>
        <v>0</v>
      </c>
      <c r="AA465" s="156">
        <f t="shared" si="195"/>
        <v>0</v>
      </c>
      <c r="AB465" s="156">
        <f t="shared" si="195"/>
        <v>0</v>
      </c>
      <c r="AC465" s="156">
        <f t="shared" si="195"/>
        <v>0</v>
      </c>
      <c r="AD465" s="156">
        <f t="shared" si="195"/>
        <v>0</v>
      </c>
      <c r="AE465" s="156">
        <f t="shared" si="195"/>
        <v>0</v>
      </c>
      <c r="AF465" s="156">
        <f t="shared" si="195"/>
        <v>0</v>
      </c>
      <c r="AG465" s="156">
        <f t="shared" si="195"/>
        <v>0</v>
      </c>
      <c r="AH465" s="156">
        <f t="shared" si="195"/>
        <v>0</v>
      </c>
      <c r="AI465" s="156">
        <f t="shared" si="195"/>
        <v>0</v>
      </c>
      <c r="AJ465" s="156">
        <f t="shared" si="195"/>
        <v>0</v>
      </c>
      <c r="AK465" s="156">
        <f t="shared" si="195"/>
        <v>0</v>
      </c>
      <c r="AL465" s="156">
        <f t="shared" si="195"/>
        <v>0</v>
      </c>
      <c r="AM465" s="156">
        <f t="shared" si="195"/>
        <v>0</v>
      </c>
      <c r="AN465" s="156">
        <f t="shared" si="195"/>
        <v>0</v>
      </c>
      <c r="AO465" s="156">
        <f t="shared" si="195"/>
        <v>0</v>
      </c>
      <c r="AP465" s="156">
        <f t="shared" si="195"/>
        <v>0</v>
      </c>
    </row>
    <row r="466" spans="1:42" x14ac:dyDescent="0.4">
      <c r="A466" s="4">
        <f t="shared" si="193"/>
        <v>5</v>
      </c>
      <c r="C466" s="156">
        <f t="shared" ref="C466:AP466" si="196">C328</f>
        <v>0</v>
      </c>
      <c r="D466" s="156">
        <f t="shared" si="196"/>
        <v>0</v>
      </c>
      <c r="E466" s="156">
        <f t="shared" si="196"/>
        <v>0</v>
      </c>
      <c r="F466" s="156">
        <f t="shared" si="196"/>
        <v>0</v>
      </c>
      <c r="G466" s="156">
        <f t="shared" si="196"/>
        <v>0</v>
      </c>
      <c r="H466" s="156">
        <f t="shared" si="196"/>
        <v>0</v>
      </c>
      <c r="I466" s="156">
        <f t="shared" si="196"/>
        <v>0</v>
      </c>
      <c r="J466" s="156">
        <f t="shared" si="196"/>
        <v>0</v>
      </c>
      <c r="K466" s="156">
        <f t="shared" si="196"/>
        <v>0</v>
      </c>
      <c r="L466" s="156">
        <f t="shared" si="196"/>
        <v>0</v>
      </c>
      <c r="M466" s="156">
        <f t="shared" si="196"/>
        <v>0</v>
      </c>
      <c r="N466" s="156">
        <f t="shared" si="196"/>
        <v>0</v>
      </c>
      <c r="O466" s="156">
        <f t="shared" si="196"/>
        <v>0</v>
      </c>
      <c r="P466" s="156">
        <f t="shared" si="196"/>
        <v>0</v>
      </c>
      <c r="Q466" s="156">
        <f t="shared" si="196"/>
        <v>0</v>
      </c>
      <c r="R466" s="156">
        <f t="shared" si="196"/>
        <v>0</v>
      </c>
      <c r="S466" s="156">
        <f t="shared" si="196"/>
        <v>0</v>
      </c>
      <c r="T466" s="156">
        <f t="shared" si="196"/>
        <v>0</v>
      </c>
      <c r="U466" s="156">
        <f t="shared" si="196"/>
        <v>0</v>
      </c>
      <c r="V466" s="156">
        <f t="shared" si="196"/>
        <v>0</v>
      </c>
      <c r="W466" s="156">
        <f t="shared" si="196"/>
        <v>0</v>
      </c>
      <c r="X466" s="156">
        <f t="shared" si="196"/>
        <v>0</v>
      </c>
      <c r="Y466" s="156">
        <f t="shared" si="196"/>
        <v>0</v>
      </c>
      <c r="Z466" s="156">
        <f t="shared" si="196"/>
        <v>0</v>
      </c>
      <c r="AA466" s="156">
        <f t="shared" si="196"/>
        <v>0</v>
      </c>
      <c r="AB466" s="156">
        <f t="shared" si="196"/>
        <v>0</v>
      </c>
      <c r="AC466" s="156">
        <f t="shared" si="196"/>
        <v>0</v>
      </c>
      <c r="AD466" s="156">
        <f t="shared" si="196"/>
        <v>0</v>
      </c>
      <c r="AE466" s="156">
        <f t="shared" si="196"/>
        <v>0</v>
      </c>
      <c r="AF466" s="156">
        <f t="shared" si="196"/>
        <v>0</v>
      </c>
      <c r="AG466" s="156">
        <f t="shared" si="196"/>
        <v>0</v>
      </c>
      <c r="AH466" s="156">
        <f t="shared" si="196"/>
        <v>0</v>
      </c>
      <c r="AI466" s="156">
        <f t="shared" si="196"/>
        <v>0</v>
      </c>
      <c r="AJ466" s="156">
        <f t="shared" si="196"/>
        <v>0</v>
      </c>
      <c r="AK466" s="156">
        <f t="shared" si="196"/>
        <v>0</v>
      </c>
      <c r="AL466" s="156">
        <f t="shared" si="196"/>
        <v>0</v>
      </c>
      <c r="AM466" s="156">
        <f t="shared" si="196"/>
        <v>0</v>
      </c>
      <c r="AN466" s="156">
        <f t="shared" si="196"/>
        <v>0</v>
      </c>
      <c r="AO466" s="156">
        <f t="shared" si="196"/>
        <v>0</v>
      </c>
      <c r="AP466" s="156">
        <f t="shared" si="196"/>
        <v>0</v>
      </c>
    </row>
    <row r="467" spans="1:42" x14ac:dyDescent="0.4">
      <c r="A467" s="4">
        <f t="shared" si="193"/>
        <v>6</v>
      </c>
      <c r="C467" s="156">
        <f t="shared" ref="C467:AP467" si="197">C329</f>
        <v>0</v>
      </c>
      <c r="D467" s="156">
        <f t="shared" si="197"/>
        <v>0</v>
      </c>
      <c r="E467" s="156">
        <f t="shared" si="197"/>
        <v>0</v>
      </c>
      <c r="F467" s="156">
        <f t="shared" si="197"/>
        <v>0</v>
      </c>
      <c r="G467" s="156">
        <f t="shared" si="197"/>
        <v>0</v>
      </c>
      <c r="H467" s="156">
        <f t="shared" si="197"/>
        <v>0</v>
      </c>
      <c r="I467" s="156">
        <f t="shared" si="197"/>
        <v>0</v>
      </c>
      <c r="J467" s="156">
        <f t="shared" si="197"/>
        <v>0</v>
      </c>
      <c r="K467" s="156">
        <f t="shared" si="197"/>
        <v>0</v>
      </c>
      <c r="L467" s="156">
        <f t="shared" si="197"/>
        <v>0</v>
      </c>
      <c r="M467" s="156">
        <f t="shared" si="197"/>
        <v>0</v>
      </c>
      <c r="N467" s="156">
        <f t="shared" si="197"/>
        <v>0</v>
      </c>
      <c r="O467" s="156">
        <f t="shared" si="197"/>
        <v>0</v>
      </c>
      <c r="P467" s="156">
        <f t="shared" si="197"/>
        <v>0</v>
      </c>
      <c r="Q467" s="156">
        <f t="shared" si="197"/>
        <v>0</v>
      </c>
      <c r="R467" s="156">
        <f t="shared" si="197"/>
        <v>0</v>
      </c>
      <c r="S467" s="156">
        <f t="shared" si="197"/>
        <v>0</v>
      </c>
      <c r="T467" s="156">
        <f t="shared" si="197"/>
        <v>0</v>
      </c>
      <c r="U467" s="156">
        <f t="shared" si="197"/>
        <v>0</v>
      </c>
      <c r="V467" s="156">
        <f t="shared" si="197"/>
        <v>0</v>
      </c>
      <c r="W467" s="156">
        <f t="shared" si="197"/>
        <v>0</v>
      </c>
      <c r="X467" s="156">
        <f t="shared" si="197"/>
        <v>0</v>
      </c>
      <c r="Y467" s="156">
        <f t="shared" si="197"/>
        <v>0</v>
      </c>
      <c r="Z467" s="156">
        <f t="shared" si="197"/>
        <v>0</v>
      </c>
      <c r="AA467" s="156">
        <f t="shared" si="197"/>
        <v>0</v>
      </c>
      <c r="AB467" s="156">
        <f t="shared" si="197"/>
        <v>0</v>
      </c>
      <c r="AC467" s="156">
        <f t="shared" si="197"/>
        <v>0</v>
      </c>
      <c r="AD467" s="156">
        <f t="shared" si="197"/>
        <v>0</v>
      </c>
      <c r="AE467" s="156">
        <f t="shared" si="197"/>
        <v>0</v>
      </c>
      <c r="AF467" s="156">
        <f t="shared" si="197"/>
        <v>0</v>
      </c>
      <c r="AG467" s="156">
        <f t="shared" si="197"/>
        <v>0</v>
      </c>
      <c r="AH467" s="156">
        <f t="shared" si="197"/>
        <v>0</v>
      </c>
      <c r="AI467" s="156">
        <f t="shared" si="197"/>
        <v>0</v>
      </c>
      <c r="AJ467" s="156">
        <f t="shared" si="197"/>
        <v>0</v>
      </c>
      <c r="AK467" s="156">
        <f t="shared" si="197"/>
        <v>0</v>
      </c>
      <c r="AL467" s="156">
        <f t="shared" si="197"/>
        <v>0</v>
      </c>
      <c r="AM467" s="156">
        <f t="shared" si="197"/>
        <v>0</v>
      </c>
      <c r="AN467" s="156">
        <f t="shared" si="197"/>
        <v>0</v>
      </c>
      <c r="AO467" s="156">
        <f t="shared" si="197"/>
        <v>0</v>
      </c>
      <c r="AP467" s="156">
        <f t="shared" si="197"/>
        <v>0</v>
      </c>
    </row>
    <row r="468" spans="1:42" x14ac:dyDescent="0.4">
      <c r="A468" s="4">
        <f t="shared" si="193"/>
        <v>7</v>
      </c>
      <c r="C468" s="156">
        <f t="shared" ref="C468:AP468" si="198">C330</f>
        <v>0</v>
      </c>
      <c r="D468" s="156">
        <f t="shared" si="198"/>
        <v>0</v>
      </c>
      <c r="E468" s="156">
        <f t="shared" si="198"/>
        <v>0</v>
      </c>
      <c r="F468" s="156">
        <f t="shared" si="198"/>
        <v>0</v>
      </c>
      <c r="G468" s="156">
        <f t="shared" si="198"/>
        <v>0</v>
      </c>
      <c r="H468" s="156">
        <f t="shared" si="198"/>
        <v>0</v>
      </c>
      <c r="I468" s="156">
        <f t="shared" si="198"/>
        <v>0</v>
      </c>
      <c r="J468" s="156">
        <f t="shared" si="198"/>
        <v>0</v>
      </c>
      <c r="K468" s="156">
        <f t="shared" si="198"/>
        <v>0</v>
      </c>
      <c r="L468" s="156">
        <f t="shared" si="198"/>
        <v>0</v>
      </c>
      <c r="M468" s="156">
        <f t="shared" si="198"/>
        <v>0</v>
      </c>
      <c r="N468" s="156">
        <f t="shared" si="198"/>
        <v>0</v>
      </c>
      <c r="O468" s="156">
        <f t="shared" si="198"/>
        <v>0</v>
      </c>
      <c r="P468" s="156">
        <f t="shared" si="198"/>
        <v>0</v>
      </c>
      <c r="Q468" s="156">
        <f t="shared" si="198"/>
        <v>0</v>
      </c>
      <c r="R468" s="156">
        <f t="shared" si="198"/>
        <v>0</v>
      </c>
      <c r="S468" s="156">
        <f t="shared" si="198"/>
        <v>0</v>
      </c>
      <c r="T468" s="156">
        <f t="shared" si="198"/>
        <v>0</v>
      </c>
      <c r="U468" s="156">
        <f t="shared" si="198"/>
        <v>0</v>
      </c>
      <c r="V468" s="156">
        <f t="shared" si="198"/>
        <v>0</v>
      </c>
      <c r="W468" s="156">
        <f t="shared" si="198"/>
        <v>0</v>
      </c>
      <c r="X468" s="156">
        <f t="shared" si="198"/>
        <v>0</v>
      </c>
      <c r="Y468" s="156">
        <f t="shared" si="198"/>
        <v>0</v>
      </c>
      <c r="Z468" s="156">
        <f t="shared" si="198"/>
        <v>0</v>
      </c>
      <c r="AA468" s="156">
        <f t="shared" si="198"/>
        <v>0</v>
      </c>
      <c r="AB468" s="156">
        <f t="shared" si="198"/>
        <v>0</v>
      </c>
      <c r="AC468" s="156">
        <f t="shared" si="198"/>
        <v>0</v>
      </c>
      <c r="AD468" s="156">
        <f t="shared" si="198"/>
        <v>0</v>
      </c>
      <c r="AE468" s="156">
        <f t="shared" si="198"/>
        <v>0</v>
      </c>
      <c r="AF468" s="156">
        <f t="shared" si="198"/>
        <v>0</v>
      </c>
      <c r="AG468" s="156">
        <f t="shared" si="198"/>
        <v>0</v>
      </c>
      <c r="AH468" s="156">
        <f t="shared" si="198"/>
        <v>0</v>
      </c>
      <c r="AI468" s="156">
        <f t="shared" si="198"/>
        <v>0</v>
      </c>
      <c r="AJ468" s="156">
        <f t="shared" si="198"/>
        <v>0</v>
      </c>
      <c r="AK468" s="156">
        <f t="shared" si="198"/>
        <v>0</v>
      </c>
      <c r="AL468" s="156">
        <f t="shared" si="198"/>
        <v>0</v>
      </c>
      <c r="AM468" s="156">
        <f t="shared" si="198"/>
        <v>0</v>
      </c>
      <c r="AN468" s="156">
        <f t="shared" si="198"/>
        <v>0</v>
      </c>
      <c r="AO468" s="156">
        <f t="shared" si="198"/>
        <v>0</v>
      </c>
      <c r="AP468" s="156">
        <f t="shared" si="198"/>
        <v>0</v>
      </c>
    </row>
    <row r="469" spans="1:42" x14ac:dyDescent="0.4">
      <c r="A469" s="4">
        <f t="shared" si="193"/>
        <v>8</v>
      </c>
      <c r="C469" s="156">
        <f t="shared" ref="C469:AP469" si="199">C331</f>
        <v>0</v>
      </c>
      <c r="D469" s="156">
        <f t="shared" si="199"/>
        <v>0</v>
      </c>
      <c r="E469" s="156">
        <f t="shared" si="199"/>
        <v>0</v>
      </c>
      <c r="F469" s="156">
        <f t="shared" si="199"/>
        <v>0</v>
      </c>
      <c r="G469" s="156">
        <f t="shared" si="199"/>
        <v>0</v>
      </c>
      <c r="H469" s="156">
        <f t="shared" si="199"/>
        <v>0</v>
      </c>
      <c r="I469" s="156">
        <f t="shared" si="199"/>
        <v>0</v>
      </c>
      <c r="J469" s="156">
        <f t="shared" si="199"/>
        <v>0</v>
      </c>
      <c r="K469" s="156">
        <f t="shared" si="199"/>
        <v>0</v>
      </c>
      <c r="L469" s="156">
        <f t="shared" si="199"/>
        <v>0</v>
      </c>
      <c r="M469" s="156">
        <f t="shared" si="199"/>
        <v>0</v>
      </c>
      <c r="N469" s="156">
        <f t="shared" si="199"/>
        <v>0</v>
      </c>
      <c r="O469" s="156">
        <f t="shared" si="199"/>
        <v>0</v>
      </c>
      <c r="P469" s="156">
        <f t="shared" si="199"/>
        <v>0</v>
      </c>
      <c r="Q469" s="156">
        <f t="shared" si="199"/>
        <v>0</v>
      </c>
      <c r="R469" s="156">
        <f t="shared" si="199"/>
        <v>0</v>
      </c>
      <c r="S469" s="156">
        <f t="shared" si="199"/>
        <v>0</v>
      </c>
      <c r="T469" s="156">
        <f t="shared" si="199"/>
        <v>0</v>
      </c>
      <c r="U469" s="156">
        <f t="shared" si="199"/>
        <v>0</v>
      </c>
      <c r="V469" s="156">
        <f t="shared" si="199"/>
        <v>0</v>
      </c>
      <c r="W469" s="156">
        <f t="shared" si="199"/>
        <v>0</v>
      </c>
      <c r="X469" s="156">
        <f t="shared" si="199"/>
        <v>0</v>
      </c>
      <c r="Y469" s="156">
        <f t="shared" si="199"/>
        <v>0</v>
      </c>
      <c r="Z469" s="156">
        <f t="shared" si="199"/>
        <v>0</v>
      </c>
      <c r="AA469" s="156">
        <f t="shared" si="199"/>
        <v>0</v>
      </c>
      <c r="AB469" s="156">
        <f t="shared" si="199"/>
        <v>0</v>
      </c>
      <c r="AC469" s="156">
        <f t="shared" si="199"/>
        <v>0</v>
      </c>
      <c r="AD469" s="156">
        <f t="shared" si="199"/>
        <v>0</v>
      </c>
      <c r="AE469" s="156">
        <f t="shared" si="199"/>
        <v>0</v>
      </c>
      <c r="AF469" s="156">
        <f t="shared" si="199"/>
        <v>0</v>
      </c>
      <c r="AG469" s="156">
        <f t="shared" si="199"/>
        <v>0</v>
      </c>
      <c r="AH469" s="156">
        <f t="shared" si="199"/>
        <v>0</v>
      </c>
      <c r="AI469" s="156">
        <f t="shared" si="199"/>
        <v>0</v>
      </c>
      <c r="AJ469" s="156">
        <f t="shared" si="199"/>
        <v>0</v>
      </c>
      <c r="AK469" s="156">
        <f t="shared" si="199"/>
        <v>0</v>
      </c>
      <c r="AL469" s="156">
        <f t="shared" si="199"/>
        <v>0</v>
      </c>
      <c r="AM469" s="156">
        <f t="shared" si="199"/>
        <v>0</v>
      </c>
      <c r="AN469" s="156">
        <f t="shared" si="199"/>
        <v>0</v>
      </c>
      <c r="AO469" s="156">
        <f t="shared" si="199"/>
        <v>0</v>
      </c>
      <c r="AP469" s="156">
        <f t="shared" si="199"/>
        <v>0</v>
      </c>
    </row>
    <row r="470" spans="1:42" x14ac:dyDescent="0.4">
      <c r="A470" s="4">
        <f>A469+1</f>
        <v>9</v>
      </c>
      <c r="C470" s="156">
        <f t="shared" ref="C470:AP470" si="200">C332</f>
        <v>0</v>
      </c>
      <c r="D470" s="156">
        <f t="shared" si="200"/>
        <v>0</v>
      </c>
      <c r="E470" s="156">
        <f t="shared" si="200"/>
        <v>0</v>
      </c>
      <c r="F470" s="156">
        <f t="shared" si="200"/>
        <v>0</v>
      </c>
      <c r="G470" s="156">
        <f t="shared" si="200"/>
        <v>0</v>
      </c>
      <c r="H470" s="156">
        <f t="shared" si="200"/>
        <v>0</v>
      </c>
      <c r="I470" s="156">
        <f t="shared" si="200"/>
        <v>0</v>
      </c>
      <c r="J470" s="156">
        <f t="shared" si="200"/>
        <v>0</v>
      </c>
      <c r="K470" s="156">
        <f t="shared" si="200"/>
        <v>0</v>
      </c>
      <c r="L470" s="156">
        <f t="shared" si="200"/>
        <v>0</v>
      </c>
      <c r="M470" s="156">
        <f t="shared" si="200"/>
        <v>0</v>
      </c>
      <c r="N470" s="156">
        <f t="shared" si="200"/>
        <v>0</v>
      </c>
      <c r="O470" s="156">
        <f t="shared" si="200"/>
        <v>0</v>
      </c>
      <c r="P470" s="156">
        <f t="shared" si="200"/>
        <v>0</v>
      </c>
      <c r="Q470" s="156">
        <f t="shared" si="200"/>
        <v>0</v>
      </c>
      <c r="R470" s="156">
        <f t="shared" si="200"/>
        <v>0</v>
      </c>
      <c r="S470" s="156">
        <f t="shared" si="200"/>
        <v>0</v>
      </c>
      <c r="T470" s="156">
        <f t="shared" si="200"/>
        <v>0</v>
      </c>
      <c r="U470" s="156">
        <f t="shared" si="200"/>
        <v>0</v>
      </c>
      <c r="V470" s="156">
        <f t="shared" si="200"/>
        <v>0</v>
      </c>
      <c r="W470" s="156">
        <f t="shared" si="200"/>
        <v>0</v>
      </c>
      <c r="X470" s="156">
        <f t="shared" si="200"/>
        <v>0</v>
      </c>
      <c r="Y470" s="156">
        <f t="shared" si="200"/>
        <v>0</v>
      </c>
      <c r="Z470" s="156">
        <f t="shared" si="200"/>
        <v>0</v>
      </c>
      <c r="AA470" s="156">
        <f t="shared" si="200"/>
        <v>0</v>
      </c>
      <c r="AB470" s="156">
        <f t="shared" si="200"/>
        <v>0</v>
      </c>
      <c r="AC470" s="156">
        <f t="shared" si="200"/>
        <v>0</v>
      </c>
      <c r="AD470" s="156">
        <f t="shared" si="200"/>
        <v>0</v>
      </c>
      <c r="AE470" s="156">
        <f t="shared" si="200"/>
        <v>0</v>
      </c>
      <c r="AF470" s="156">
        <f t="shared" si="200"/>
        <v>0</v>
      </c>
      <c r="AG470" s="156">
        <f t="shared" si="200"/>
        <v>0</v>
      </c>
      <c r="AH470" s="156">
        <f t="shared" si="200"/>
        <v>0</v>
      </c>
      <c r="AI470" s="156">
        <f t="shared" si="200"/>
        <v>0</v>
      </c>
      <c r="AJ470" s="156">
        <f t="shared" si="200"/>
        <v>0</v>
      </c>
      <c r="AK470" s="156">
        <f t="shared" si="200"/>
        <v>0</v>
      </c>
      <c r="AL470" s="156">
        <f t="shared" si="200"/>
        <v>0</v>
      </c>
      <c r="AM470" s="156">
        <f t="shared" si="200"/>
        <v>0</v>
      </c>
      <c r="AN470" s="156">
        <f t="shared" si="200"/>
        <v>0</v>
      </c>
      <c r="AO470" s="156">
        <f t="shared" si="200"/>
        <v>0</v>
      </c>
      <c r="AP470" s="156">
        <f t="shared" si="200"/>
        <v>0</v>
      </c>
    </row>
    <row r="471" spans="1:42" x14ac:dyDescent="0.4">
      <c r="A471" s="4">
        <f t="shared" ref="A471" si="201">A470+1</f>
        <v>10</v>
      </c>
      <c r="C471" s="156">
        <f t="shared" ref="C471:AP471" si="202">C333</f>
        <v>0</v>
      </c>
      <c r="D471" s="156">
        <f t="shared" si="202"/>
        <v>0</v>
      </c>
      <c r="E471" s="156">
        <f t="shared" si="202"/>
        <v>0</v>
      </c>
      <c r="F471" s="156">
        <f t="shared" si="202"/>
        <v>0</v>
      </c>
      <c r="G471" s="156">
        <f t="shared" si="202"/>
        <v>0</v>
      </c>
      <c r="H471" s="156">
        <f t="shared" si="202"/>
        <v>0</v>
      </c>
      <c r="I471" s="156">
        <f t="shared" si="202"/>
        <v>0</v>
      </c>
      <c r="J471" s="156">
        <f t="shared" si="202"/>
        <v>0</v>
      </c>
      <c r="K471" s="156">
        <f t="shared" si="202"/>
        <v>0</v>
      </c>
      <c r="L471" s="156">
        <f t="shared" si="202"/>
        <v>0</v>
      </c>
      <c r="M471" s="156">
        <f t="shared" si="202"/>
        <v>0</v>
      </c>
      <c r="N471" s="156">
        <f t="shared" si="202"/>
        <v>0</v>
      </c>
      <c r="O471" s="156">
        <f t="shared" si="202"/>
        <v>0</v>
      </c>
      <c r="P471" s="156">
        <f t="shared" si="202"/>
        <v>0</v>
      </c>
      <c r="Q471" s="156">
        <f t="shared" si="202"/>
        <v>0</v>
      </c>
      <c r="R471" s="156">
        <f t="shared" si="202"/>
        <v>0</v>
      </c>
      <c r="S471" s="156">
        <f t="shared" si="202"/>
        <v>0</v>
      </c>
      <c r="T471" s="156">
        <f t="shared" si="202"/>
        <v>0</v>
      </c>
      <c r="U471" s="156">
        <f t="shared" si="202"/>
        <v>0</v>
      </c>
      <c r="V471" s="156">
        <f t="shared" si="202"/>
        <v>0</v>
      </c>
      <c r="W471" s="156">
        <f t="shared" si="202"/>
        <v>0</v>
      </c>
      <c r="X471" s="156">
        <f t="shared" si="202"/>
        <v>0</v>
      </c>
      <c r="Y471" s="156">
        <f t="shared" si="202"/>
        <v>0</v>
      </c>
      <c r="Z471" s="156">
        <f t="shared" si="202"/>
        <v>0</v>
      </c>
      <c r="AA471" s="156">
        <f t="shared" si="202"/>
        <v>0</v>
      </c>
      <c r="AB471" s="156">
        <f t="shared" si="202"/>
        <v>0</v>
      </c>
      <c r="AC471" s="156">
        <f t="shared" si="202"/>
        <v>0</v>
      </c>
      <c r="AD471" s="156">
        <f t="shared" si="202"/>
        <v>0</v>
      </c>
      <c r="AE471" s="156">
        <f t="shared" si="202"/>
        <v>0</v>
      </c>
      <c r="AF471" s="156">
        <f t="shared" si="202"/>
        <v>0</v>
      </c>
      <c r="AG471" s="156">
        <f t="shared" si="202"/>
        <v>0</v>
      </c>
      <c r="AH471" s="156">
        <f t="shared" si="202"/>
        <v>0</v>
      </c>
      <c r="AI471" s="156">
        <f t="shared" si="202"/>
        <v>0</v>
      </c>
      <c r="AJ471" s="156">
        <f t="shared" si="202"/>
        <v>0</v>
      </c>
      <c r="AK471" s="156">
        <f t="shared" si="202"/>
        <v>0</v>
      </c>
      <c r="AL471" s="156">
        <f t="shared" si="202"/>
        <v>0</v>
      </c>
      <c r="AM471" s="156">
        <f t="shared" si="202"/>
        <v>0</v>
      </c>
      <c r="AN471" s="156">
        <f t="shared" si="202"/>
        <v>0</v>
      </c>
      <c r="AO471" s="156">
        <f t="shared" si="202"/>
        <v>0</v>
      </c>
      <c r="AP471" s="156">
        <f t="shared" si="202"/>
        <v>0</v>
      </c>
    </row>
    <row r="472" spans="1:42" x14ac:dyDescent="0.4">
      <c r="A472" s="21"/>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row>
    <row r="473" spans="1:42" x14ac:dyDescent="0.4">
      <c r="A473" s="87" t="s">
        <v>3</v>
      </c>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row>
    <row r="474" spans="1:42" x14ac:dyDescent="0.4">
      <c r="A474" s="4">
        <v>1</v>
      </c>
      <c r="B474" s="331">
        <f t="shared" ref="B474:B483" si="203">SUM(C474:AP474)</f>
        <v>0</v>
      </c>
      <c r="C474" s="156">
        <f t="shared" ref="C474:AP474" si="204">LOOKUP(C462,$B$457:$AP$457,$B$458:$AP$458)*$B661/100</f>
        <v>0</v>
      </c>
      <c r="D474" s="156">
        <f t="shared" si="204"/>
        <v>0</v>
      </c>
      <c r="E474" s="156">
        <f t="shared" si="204"/>
        <v>0</v>
      </c>
      <c r="F474" s="156">
        <f t="shared" si="204"/>
        <v>0</v>
      </c>
      <c r="G474" s="156">
        <f t="shared" si="204"/>
        <v>0</v>
      </c>
      <c r="H474" s="156">
        <f t="shared" si="204"/>
        <v>0</v>
      </c>
      <c r="I474" s="156">
        <f t="shared" si="204"/>
        <v>0</v>
      </c>
      <c r="J474" s="156">
        <f t="shared" si="204"/>
        <v>0</v>
      </c>
      <c r="K474" s="156">
        <f t="shared" si="204"/>
        <v>0</v>
      </c>
      <c r="L474" s="156">
        <f t="shared" si="204"/>
        <v>0</v>
      </c>
      <c r="M474" s="156">
        <f t="shared" si="204"/>
        <v>0</v>
      </c>
      <c r="N474" s="156">
        <f t="shared" si="204"/>
        <v>0</v>
      </c>
      <c r="O474" s="156">
        <f t="shared" si="204"/>
        <v>0</v>
      </c>
      <c r="P474" s="156">
        <f t="shared" si="204"/>
        <v>0</v>
      </c>
      <c r="Q474" s="156">
        <f t="shared" si="204"/>
        <v>0</v>
      </c>
      <c r="R474" s="156">
        <f t="shared" si="204"/>
        <v>0</v>
      </c>
      <c r="S474" s="156">
        <f t="shared" si="204"/>
        <v>0</v>
      </c>
      <c r="T474" s="156">
        <f t="shared" si="204"/>
        <v>0</v>
      </c>
      <c r="U474" s="156">
        <f t="shared" si="204"/>
        <v>0</v>
      </c>
      <c r="V474" s="156">
        <f t="shared" si="204"/>
        <v>0</v>
      </c>
      <c r="W474" s="156">
        <f t="shared" si="204"/>
        <v>0</v>
      </c>
      <c r="X474" s="156">
        <f t="shared" si="204"/>
        <v>0</v>
      </c>
      <c r="Y474" s="156">
        <f t="shared" si="204"/>
        <v>0</v>
      </c>
      <c r="Z474" s="156">
        <f t="shared" si="204"/>
        <v>0</v>
      </c>
      <c r="AA474" s="156">
        <f t="shared" si="204"/>
        <v>0</v>
      </c>
      <c r="AB474" s="156">
        <f t="shared" si="204"/>
        <v>0</v>
      </c>
      <c r="AC474" s="156">
        <f t="shared" si="204"/>
        <v>0</v>
      </c>
      <c r="AD474" s="156">
        <f t="shared" si="204"/>
        <v>0</v>
      </c>
      <c r="AE474" s="156">
        <f t="shared" si="204"/>
        <v>0</v>
      </c>
      <c r="AF474" s="156">
        <f t="shared" si="204"/>
        <v>0</v>
      </c>
      <c r="AG474" s="156">
        <f t="shared" si="204"/>
        <v>0</v>
      </c>
      <c r="AH474" s="156">
        <f t="shared" si="204"/>
        <v>0</v>
      </c>
      <c r="AI474" s="156">
        <f t="shared" si="204"/>
        <v>0</v>
      </c>
      <c r="AJ474" s="156">
        <f t="shared" si="204"/>
        <v>0</v>
      </c>
      <c r="AK474" s="156">
        <f t="shared" si="204"/>
        <v>0</v>
      </c>
      <c r="AL474" s="156">
        <f t="shared" si="204"/>
        <v>0</v>
      </c>
      <c r="AM474" s="156">
        <f t="shared" si="204"/>
        <v>0</v>
      </c>
      <c r="AN474" s="156">
        <f t="shared" si="204"/>
        <v>0</v>
      </c>
      <c r="AO474" s="156">
        <f t="shared" si="204"/>
        <v>0</v>
      </c>
      <c r="AP474" s="156">
        <f t="shared" si="204"/>
        <v>0</v>
      </c>
    </row>
    <row r="475" spans="1:42" x14ac:dyDescent="0.4">
      <c r="A475" s="4">
        <f>A474+1</f>
        <v>2</v>
      </c>
      <c r="B475" s="331">
        <f t="shared" si="203"/>
        <v>0</v>
      </c>
      <c r="C475" s="156">
        <f t="shared" ref="C475:AP475" si="205">LOOKUP(C463,$B$457:$AP$457,$B$458:$AP$458)*$B662/100</f>
        <v>0</v>
      </c>
      <c r="D475" s="156">
        <f t="shared" si="205"/>
        <v>0</v>
      </c>
      <c r="E475" s="156">
        <f t="shared" si="205"/>
        <v>0</v>
      </c>
      <c r="F475" s="156">
        <f t="shared" si="205"/>
        <v>0</v>
      </c>
      <c r="G475" s="156">
        <f t="shared" si="205"/>
        <v>0</v>
      </c>
      <c r="H475" s="156">
        <f t="shared" si="205"/>
        <v>0</v>
      </c>
      <c r="I475" s="156">
        <f t="shared" si="205"/>
        <v>0</v>
      </c>
      <c r="J475" s="156">
        <f t="shared" si="205"/>
        <v>0</v>
      </c>
      <c r="K475" s="156">
        <f t="shared" si="205"/>
        <v>0</v>
      </c>
      <c r="L475" s="156">
        <f t="shared" si="205"/>
        <v>0</v>
      </c>
      <c r="M475" s="156">
        <f t="shared" si="205"/>
        <v>0</v>
      </c>
      <c r="N475" s="156">
        <f t="shared" si="205"/>
        <v>0</v>
      </c>
      <c r="O475" s="156">
        <f t="shared" si="205"/>
        <v>0</v>
      </c>
      <c r="P475" s="156">
        <f t="shared" si="205"/>
        <v>0</v>
      </c>
      <c r="Q475" s="156">
        <f t="shared" si="205"/>
        <v>0</v>
      </c>
      <c r="R475" s="156">
        <f t="shared" si="205"/>
        <v>0</v>
      </c>
      <c r="S475" s="156">
        <f t="shared" si="205"/>
        <v>0</v>
      </c>
      <c r="T475" s="156">
        <f t="shared" si="205"/>
        <v>0</v>
      </c>
      <c r="U475" s="156">
        <f t="shared" si="205"/>
        <v>0</v>
      </c>
      <c r="V475" s="156">
        <f t="shared" si="205"/>
        <v>0</v>
      </c>
      <c r="W475" s="156">
        <f t="shared" si="205"/>
        <v>0</v>
      </c>
      <c r="X475" s="156">
        <f t="shared" si="205"/>
        <v>0</v>
      </c>
      <c r="Y475" s="156">
        <f t="shared" si="205"/>
        <v>0</v>
      </c>
      <c r="Z475" s="156">
        <f t="shared" si="205"/>
        <v>0</v>
      </c>
      <c r="AA475" s="156">
        <f t="shared" si="205"/>
        <v>0</v>
      </c>
      <c r="AB475" s="156">
        <f t="shared" si="205"/>
        <v>0</v>
      </c>
      <c r="AC475" s="156">
        <f t="shared" si="205"/>
        <v>0</v>
      </c>
      <c r="AD475" s="156">
        <f t="shared" si="205"/>
        <v>0</v>
      </c>
      <c r="AE475" s="156">
        <f t="shared" si="205"/>
        <v>0</v>
      </c>
      <c r="AF475" s="156">
        <f t="shared" si="205"/>
        <v>0</v>
      </c>
      <c r="AG475" s="156">
        <f t="shared" si="205"/>
        <v>0</v>
      </c>
      <c r="AH475" s="156">
        <f t="shared" si="205"/>
        <v>0</v>
      </c>
      <c r="AI475" s="156">
        <f t="shared" si="205"/>
        <v>0</v>
      </c>
      <c r="AJ475" s="156">
        <f t="shared" si="205"/>
        <v>0</v>
      </c>
      <c r="AK475" s="156">
        <f t="shared" si="205"/>
        <v>0</v>
      </c>
      <c r="AL475" s="156">
        <f t="shared" si="205"/>
        <v>0</v>
      </c>
      <c r="AM475" s="156">
        <f t="shared" si="205"/>
        <v>0</v>
      </c>
      <c r="AN475" s="156">
        <f t="shared" si="205"/>
        <v>0</v>
      </c>
      <c r="AO475" s="156">
        <f t="shared" si="205"/>
        <v>0</v>
      </c>
      <c r="AP475" s="156">
        <f t="shared" si="205"/>
        <v>0</v>
      </c>
    </row>
    <row r="476" spans="1:42" x14ac:dyDescent="0.4">
      <c r="A476" s="4">
        <f t="shared" ref="A476:A481" si="206">A475+1</f>
        <v>3</v>
      </c>
      <c r="B476" s="331">
        <f t="shared" si="203"/>
        <v>0</v>
      </c>
      <c r="C476" s="156">
        <f t="shared" ref="C476:AP476" si="207">LOOKUP(C464,$B$457:$AP$457,$B$458:$AP$458)*$B663/100</f>
        <v>0</v>
      </c>
      <c r="D476" s="156">
        <f t="shared" si="207"/>
        <v>0</v>
      </c>
      <c r="E476" s="156">
        <f t="shared" si="207"/>
        <v>0</v>
      </c>
      <c r="F476" s="156">
        <f t="shared" si="207"/>
        <v>0</v>
      </c>
      <c r="G476" s="156">
        <f t="shared" si="207"/>
        <v>0</v>
      </c>
      <c r="H476" s="156">
        <f t="shared" si="207"/>
        <v>0</v>
      </c>
      <c r="I476" s="156">
        <f t="shared" si="207"/>
        <v>0</v>
      </c>
      <c r="J476" s="156">
        <f t="shared" si="207"/>
        <v>0</v>
      </c>
      <c r="K476" s="156">
        <f t="shared" si="207"/>
        <v>0</v>
      </c>
      <c r="L476" s="156">
        <f t="shared" si="207"/>
        <v>0</v>
      </c>
      <c r="M476" s="156">
        <f t="shared" si="207"/>
        <v>0</v>
      </c>
      <c r="N476" s="156">
        <f t="shared" si="207"/>
        <v>0</v>
      </c>
      <c r="O476" s="156">
        <f t="shared" si="207"/>
        <v>0</v>
      </c>
      <c r="P476" s="156">
        <f t="shared" si="207"/>
        <v>0</v>
      </c>
      <c r="Q476" s="156">
        <f t="shared" si="207"/>
        <v>0</v>
      </c>
      <c r="R476" s="156">
        <f t="shared" si="207"/>
        <v>0</v>
      </c>
      <c r="S476" s="156">
        <f t="shared" si="207"/>
        <v>0</v>
      </c>
      <c r="T476" s="156">
        <f t="shared" si="207"/>
        <v>0</v>
      </c>
      <c r="U476" s="156">
        <f t="shared" si="207"/>
        <v>0</v>
      </c>
      <c r="V476" s="156">
        <f t="shared" si="207"/>
        <v>0</v>
      </c>
      <c r="W476" s="156">
        <f t="shared" si="207"/>
        <v>0</v>
      </c>
      <c r="X476" s="156">
        <f t="shared" si="207"/>
        <v>0</v>
      </c>
      <c r="Y476" s="156">
        <f t="shared" si="207"/>
        <v>0</v>
      </c>
      <c r="Z476" s="156">
        <f t="shared" si="207"/>
        <v>0</v>
      </c>
      <c r="AA476" s="156">
        <f t="shared" si="207"/>
        <v>0</v>
      </c>
      <c r="AB476" s="156">
        <f t="shared" si="207"/>
        <v>0</v>
      </c>
      <c r="AC476" s="156">
        <f t="shared" si="207"/>
        <v>0</v>
      </c>
      <c r="AD476" s="156">
        <f t="shared" si="207"/>
        <v>0</v>
      </c>
      <c r="AE476" s="156">
        <f t="shared" si="207"/>
        <v>0</v>
      </c>
      <c r="AF476" s="156">
        <f t="shared" si="207"/>
        <v>0</v>
      </c>
      <c r="AG476" s="156">
        <f t="shared" si="207"/>
        <v>0</v>
      </c>
      <c r="AH476" s="156">
        <f t="shared" si="207"/>
        <v>0</v>
      </c>
      <c r="AI476" s="156">
        <f t="shared" si="207"/>
        <v>0</v>
      </c>
      <c r="AJ476" s="156">
        <f t="shared" si="207"/>
        <v>0</v>
      </c>
      <c r="AK476" s="156">
        <f t="shared" si="207"/>
        <v>0</v>
      </c>
      <c r="AL476" s="156">
        <f t="shared" si="207"/>
        <v>0</v>
      </c>
      <c r="AM476" s="156">
        <f t="shared" si="207"/>
        <v>0</v>
      </c>
      <c r="AN476" s="156">
        <f t="shared" si="207"/>
        <v>0</v>
      </c>
      <c r="AO476" s="156">
        <f t="shared" si="207"/>
        <v>0</v>
      </c>
      <c r="AP476" s="156">
        <f t="shared" si="207"/>
        <v>0</v>
      </c>
    </row>
    <row r="477" spans="1:42" x14ac:dyDescent="0.4">
      <c r="A477" s="4">
        <f t="shared" si="206"/>
        <v>4</v>
      </c>
      <c r="B477" s="331">
        <f t="shared" si="203"/>
        <v>0</v>
      </c>
      <c r="C477" s="156">
        <f t="shared" ref="C477:AP477" si="208">LOOKUP(C465,$B$457:$AP$457,$B$458:$AP$458)*$B664/100</f>
        <v>0</v>
      </c>
      <c r="D477" s="156">
        <f t="shared" si="208"/>
        <v>0</v>
      </c>
      <c r="E477" s="156">
        <f t="shared" si="208"/>
        <v>0</v>
      </c>
      <c r="F477" s="156">
        <f t="shared" si="208"/>
        <v>0</v>
      </c>
      <c r="G477" s="156">
        <f t="shared" si="208"/>
        <v>0</v>
      </c>
      <c r="H477" s="156">
        <f t="shared" si="208"/>
        <v>0</v>
      </c>
      <c r="I477" s="156">
        <f t="shared" si="208"/>
        <v>0</v>
      </c>
      <c r="J477" s="156">
        <f t="shared" si="208"/>
        <v>0</v>
      </c>
      <c r="K477" s="156">
        <f t="shared" si="208"/>
        <v>0</v>
      </c>
      <c r="L477" s="156">
        <f t="shared" si="208"/>
        <v>0</v>
      </c>
      <c r="M477" s="156">
        <f t="shared" si="208"/>
        <v>0</v>
      </c>
      <c r="N477" s="156">
        <f t="shared" si="208"/>
        <v>0</v>
      </c>
      <c r="O477" s="156">
        <f t="shared" si="208"/>
        <v>0</v>
      </c>
      <c r="P477" s="156">
        <f t="shared" si="208"/>
        <v>0</v>
      </c>
      <c r="Q477" s="156">
        <f t="shared" si="208"/>
        <v>0</v>
      </c>
      <c r="R477" s="156">
        <f t="shared" si="208"/>
        <v>0</v>
      </c>
      <c r="S477" s="156">
        <f t="shared" si="208"/>
        <v>0</v>
      </c>
      <c r="T477" s="156">
        <f t="shared" si="208"/>
        <v>0</v>
      </c>
      <c r="U477" s="156">
        <f t="shared" si="208"/>
        <v>0</v>
      </c>
      <c r="V477" s="156">
        <f t="shared" si="208"/>
        <v>0</v>
      </c>
      <c r="W477" s="156">
        <f t="shared" si="208"/>
        <v>0</v>
      </c>
      <c r="X477" s="156">
        <f t="shared" si="208"/>
        <v>0</v>
      </c>
      <c r="Y477" s="156">
        <f t="shared" si="208"/>
        <v>0</v>
      </c>
      <c r="Z477" s="156">
        <f t="shared" si="208"/>
        <v>0</v>
      </c>
      <c r="AA477" s="156">
        <f t="shared" si="208"/>
        <v>0</v>
      </c>
      <c r="AB477" s="156">
        <f t="shared" si="208"/>
        <v>0</v>
      </c>
      <c r="AC477" s="156">
        <f t="shared" si="208"/>
        <v>0</v>
      </c>
      <c r="AD477" s="156">
        <f t="shared" si="208"/>
        <v>0</v>
      </c>
      <c r="AE477" s="156">
        <f t="shared" si="208"/>
        <v>0</v>
      </c>
      <c r="AF477" s="156">
        <f t="shared" si="208"/>
        <v>0</v>
      </c>
      <c r="AG477" s="156">
        <f t="shared" si="208"/>
        <v>0</v>
      </c>
      <c r="AH477" s="156">
        <f t="shared" si="208"/>
        <v>0</v>
      </c>
      <c r="AI477" s="156">
        <f t="shared" si="208"/>
        <v>0</v>
      </c>
      <c r="AJ477" s="156">
        <f t="shared" si="208"/>
        <v>0</v>
      </c>
      <c r="AK477" s="156">
        <f t="shared" si="208"/>
        <v>0</v>
      </c>
      <c r="AL477" s="156">
        <f t="shared" si="208"/>
        <v>0</v>
      </c>
      <c r="AM477" s="156">
        <f t="shared" si="208"/>
        <v>0</v>
      </c>
      <c r="AN477" s="156">
        <f t="shared" si="208"/>
        <v>0</v>
      </c>
      <c r="AO477" s="156">
        <f t="shared" si="208"/>
        <v>0</v>
      </c>
      <c r="AP477" s="156">
        <f t="shared" si="208"/>
        <v>0</v>
      </c>
    </row>
    <row r="478" spans="1:42" x14ac:dyDescent="0.4">
      <c r="A478" s="4">
        <f t="shared" si="206"/>
        <v>5</v>
      </c>
      <c r="B478" s="331">
        <f t="shared" si="203"/>
        <v>0</v>
      </c>
      <c r="C478" s="156">
        <f t="shared" ref="C478:AP478" si="209">LOOKUP(C466,$B$457:$AP$457,$B$458:$AP$458)*$B665/100</f>
        <v>0</v>
      </c>
      <c r="D478" s="156">
        <f t="shared" si="209"/>
        <v>0</v>
      </c>
      <c r="E478" s="156">
        <f t="shared" si="209"/>
        <v>0</v>
      </c>
      <c r="F478" s="156">
        <f t="shared" si="209"/>
        <v>0</v>
      </c>
      <c r="G478" s="156">
        <f t="shared" si="209"/>
        <v>0</v>
      </c>
      <c r="H478" s="156">
        <f t="shared" si="209"/>
        <v>0</v>
      </c>
      <c r="I478" s="156">
        <f t="shared" si="209"/>
        <v>0</v>
      </c>
      <c r="J478" s="156">
        <f t="shared" si="209"/>
        <v>0</v>
      </c>
      <c r="K478" s="156">
        <f t="shared" si="209"/>
        <v>0</v>
      </c>
      <c r="L478" s="156">
        <f t="shared" si="209"/>
        <v>0</v>
      </c>
      <c r="M478" s="156">
        <f t="shared" si="209"/>
        <v>0</v>
      </c>
      <c r="N478" s="156">
        <f t="shared" si="209"/>
        <v>0</v>
      </c>
      <c r="O478" s="156">
        <f t="shared" si="209"/>
        <v>0</v>
      </c>
      <c r="P478" s="156">
        <f t="shared" si="209"/>
        <v>0</v>
      </c>
      <c r="Q478" s="156">
        <f t="shared" si="209"/>
        <v>0</v>
      </c>
      <c r="R478" s="156">
        <f t="shared" si="209"/>
        <v>0</v>
      </c>
      <c r="S478" s="156">
        <f t="shared" si="209"/>
        <v>0</v>
      </c>
      <c r="T478" s="156">
        <f t="shared" si="209"/>
        <v>0</v>
      </c>
      <c r="U478" s="156">
        <f t="shared" si="209"/>
        <v>0</v>
      </c>
      <c r="V478" s="156">
        <f t="shared" si="209"/>
        <v>0</v>
      </c>
      <c r="W478" s="156">
        <f t="shared" si="209"/>
        <v>0</v>
      </c>
      <c r="X478" s="156">
        <f t="shared" si="209"/>
        <v>0</v>
      </c>
      <c r="Y478" s="156">
        <f t="shared" si="209"/>
        <v>0</v>
      </c>
      <c r="Z478" s="156">
        <f t="shared" si="209"/>
        <v>0</v>
      </c>
      <c r="AA478" s="156">
        <f t="shared" si="209"/>
        <v>0</v>
      </c>
      <c r="AB478" s="156">
        <f t="shared" si="209"/>
        <v>0</v>
      </c>
      <c r="AC478" s="156">
        <f t="shared" si="209"/>
        <v>0</v>
      </c>
      <c r="AD478" s="156">
        <f t="shared" si="209"/>
        <v>0</v>
      </c>
      <c r="AE478" s="156">
        <f t="shared" si="209"/>
        <v>0</v>
      </c>
      <c r="AF478" s="156">
        <f t="shared" si="209"/>
        <v>0</v>
      </c>
      <c r="AG478" s="156">
        <f t="shared" si="209"/>
        <v>0</v>
      </c>
      <c r="AH478" s="156">
        <f t="shared" si="209"/>
        <v>0</v>
      </c>
      <c r="AI478" s="156">
        <f t="shared" si="209"/>
        <v>0</v>
      </c>
      <c r="AJ478" s="156">
        <f t="shared" si="209"/>
        <v>0</v>
      </c>
      <c r="AK478" s="156">
        <f t="shared" si="209"/>
        <v>0</v>
      </c>
      <c r="AL478" s="156">
        <f t="shared" si="209"/>
        <v>0</v>
      </c>
      <c r="AM478" s="156">
        <f t="shared" si="209"/>
        <v>0</v>
      </c>
      <c r="AN478" s="156">
        <f t="shared" si="209"/>
        <v>0</v>
      </c>
      <c r="AO478" s="156">
        <f t="shared" si="209"/>
        <v>0</v>
      </c>
      <c r="AP478" s="156">
        <f t="shared" si="209"/>
        <v>0</v>
      </c>
    </row>
    <row r="479" spans="1:42" x14ac:dyDescent="0.4">
      <c r="A479" s="4">
        <f t="shared" si="206"/>
        <v>6</v>
      </c>
      <c r="B479" s="331">
        <f t="shared" si="203"/>
        <v>0</v>
      </c>
      <c r="C479" s="156">
        <f t="shared" ref="C479:AP479" si="210">LOOKUP(C467,$B$457:$AP$457,$B$458:$AP$458)*$B666/100</f>
        <v>0</v>
      </c>
      <c r="D479" s="156">
        <f t="shared" si="210"/>
        <v>0</v>
      </c>
      <c r="E479" s="156">
        <f t="shared" si="210"/>
        <v>0</v>
      </c>
      <c r="F479" s="156">
        <f t="shared" si="210"/>
        <v>0</v>
      </c>
      <c r="G479" s="156">
        <f t="shared" si="210"/>
        <v>0</v>
      </c>
      <c r="H479" s="156">
        <f t="shared" si="210"/>
        <v>0</v>
      </c>
      <c r="I479" s="156">
        <f t="shared" si="210"/>
        <v>0</v>
      </c>
      <c r="J479" s="156">
        <f t="shared" si="210"/>
        <v>0</v>
      </c>
      <c r="K479" s="156">
        <f t="shared" si="210"/>
        <v>0</v>
      </c>
      <c r="L479" s="156">
        <f t="shared" si="210"/>
        <v>0</v>
      </c>
      <c r="M479" s="156">
        <f t="shared" si="210"/>
        <v>0</v>
      </c>
      <c r="N479" s="156">
        <f t="shared" si="210"/>
        <v>0</v>
      </c>
      <c r="O479" s="156">
        <f t="shared" si="210"/>
        <v>0</v>
      </c>
      <c r="P479" s="156">
        <f t="shared" si="210"/>
        <v>0</v>
      </c>
      <c r="Q479" s="156">
        <f t="shared" si="210"/>
        <v>0</v>
      </c>
      <c r="R479" s="156">
        <f t="shared" si="210"/>
        <v>0</v>
      </c>
      <c r="S479" s="156">
        <f t="shared" si="210"/>
        <v>0</v>
      </c>
      <c r="T479" s="156">
        <f t="shared" si="210"/>
        <v>0</v>
      </c>
      <c r="U479" s="156">
        <f t="shared" si="210"/>
        <v>0</v>
      </c>
      <c r="V479" s="156">
        <f t="shared" si="210"/>
        <v>0</v>
      </c>
      <c r="W479" s="156">
        <f t="shared" si="210"/>
        <v>0</v>
      </c>
      <c r="X479" s="156">
        <f t="shared" si="210"/>
        <v>0</v>
      </c>
      <c r="Y479" s="156">
        <f t="shared" si="210"/>
        <v>0</v>
      </c>
      <c r="Z479" s="156">
        <f t="shared" si="210"/>
        <v>0</v>
      </c>
      <c r="AA479" s="156">
        <f t="shared" si="210"/>
        <v>0</v>
      </c>
      <c r="AB479" s="156">
        <f t="shared" si="210"/>
        <v>0</v>
      </c>
      <c r="AC479" s="156">
        <f t="shared" si="210"/>
        <v>0</v>
      </c>
      <c r="AD479" s="156">
        <f t="shared" si="210"/>
        <v>0</v>
      </c>
      <c r="AE479" s="156">
        <f t="shared" si="210"/>
        <v>0</v>
      </c>
      <c r="AF479" s="156">
        <f t="shared" si="210"/>
        <v>0</v>
      </c>
      <c r="AG479" s="156">
        <f t="shared" si="210"/>
        <v>0</v>
      </c>
      <c r="AH479" s="156">
        <f t="shared" si="210"/>
        <v>0</v>
      </c>
      <c r="AI479" s="156">
        <f t="shared" si="210"/>
        <v>0</v>
      </c>
      <c r="AJ479" s="156">
        <f t="shared" si="210"/>
        <v>0</v>
      </c>
      <c r="AK479" s="156">
        <f t="shared" si="210"/>
        <v>0</v>
      </c>
      <c r="AL479" s="156">
        <f t="shared" si="210"/>
        <v>0</v>
      </c>
      <c r="AM479" s="156">
        <f t="shared" si="210"/>
        <v>0</v>
      </c>
      <c r="AN479" s="156">
        <f t="shared" si="210"/>
        <v>0</v>
      </c>
      <c r="AO479" s="156">
        <f t="shared" si="210"/>
        <v>0</v>
      </c>
      <c r="AP479" s="156">
        <f t="shared" si="210"/>
        <v>0</v>
      </c>
    </row>
    <row r="480" spans="1:42" x14ac:dyDescent="0.4">
      <c r="A480" s="4">
        <f t="shared" si="206"/>
        <v>7</v>
      </c>
      <c r="B480" s="331">
        <f t="shared" si="203"/>
        <v>0</v>
      </c>
      <c r="C480" s="156">
        <f t="shared" ref="C480:AP480" si="211">LOOKUP(C468,$B$457:$AP$457,$B$458:$AP$458)*$B667/100</f>
        <v>0</v>
      </c>
      <c r="D480" s="156">
        <f t="shared" si="211"/>
        <v>0</v>
      </c>
      <c r="E480" s="156">
        <f t="shared" si="211"/>
        <v>0</v>
      </c>
      <c r="F480" s="156">
        <f t="shared" si="211"/>
        <v>0</v>
      </c>
      <c r="G480" s="156">
        <f t="shared" si="211"/>
        <v>0</v>
      </c>
      <c r="H480" s="156">
        <f t="shared" si="211"/>
        <v>0</v>
      </c>
      <c r="I480" s="156">
        <f t="shared" si="211"/>
        <v>0</v>
      </c>
      <c r="J480" s="156">
        <f t="shared" si="211"/>
        <v>0</v>
      </c>
      <c r="K480" s="156">
        <f t="shared" si="211"/>
        <v>0</v>
      </c>
      <c r="L480" s="156">
        <f t="shared" si="211"/>
        <v>0</v>
      </c>
      <c r="M480" s="156">
        <f t="shared" si="211"/>
        <v>0</v>
      </c>
      <c r="N480" s="156">
        <f t="shared" si="211"/>
        <v>0</v>
      </c>
      <c r="O480" s="156">
        <f t="shared" si="211"/>
        <v>0</v>
      </c>
      <c r="P480" s="156">
        <f t="shared" si="211"/>
        <v>0</v>
      </c>
      <c r="Q480" s="156">
        <f t="shared" si="211"/>
        <v>0</v>
      </c>
      <c r="R480" s="156">
        <f t="shared" si="211"/>
        <v>0</v>
      </c>
      <c r="S480" s="156">
        <f t="shared" si="211"/>
        <v>0</v>
      </c>
      <c r="T480" s="156">
        <f t="shared" si="211"/>
        <v>0</v>
      </c>
      <c r="U480" s="156">
        <f t="shared" si="211"/>
        <v>0</v>
      </c>
      <c r="V480" s="156">
        <f t="shared" si="211"/>
        <v>0</v>
      </c>
      <c r="W480" s="156">
        <f t="shared" si="211"/>
        <v>0</v>
      </c>
      <c r="X480" s="156">
        <f t="shared" si="211"/>
        <v>0</v>
      </c>
      <c r="Y480" s="156">
        <f t="shared" si="211"/>
        <v>0</v>
      </c>
      <c r="Z480" s="156">
        <f t="shared" si="211"/>
        <v>0</v>
      </c>
      <c r="AA480" s="156">
        <f t="shared" si="211"/>
        <v>0</v>
      </c>
      <c r="AB480" s="156">
        <f t="shared" si="211"/>
        <v>0</v>
      </c>
      <c r="AC480" s="156">
        <f t="shared" si="211"/>
        <v>0</v>
      </c>
      <c r="AD480" s="156">
        <f t="shared" si="211"/>
        <v>0</v>
      </c>
      <c r="AE480" s="156">
        <f t="shared" si="211"/>
        <v>0</v>
      </c>
      <c r="AF480" s="156">
        <f t="shared" si="211"/>
        <v>0</v>
      </c>
      <c r="AG480" s="156">
        <f t="shared" si="211"/>
        <v>0</v>
      </c>
      <c r="AH480" s="156">
        <f t="shared" si="211"/>
        <v>0</v>
      </c>
      <c r="AI480" s="156">
        <f t="shared" si="211"/>
        <v>0</v>
      </c>
      <c r="AJ480" s="156">
        <f t="shared" si="211"/>
        <v>0</v>
      </c>
      <c r="AK480" s="156">
        <f t="shared" si="211"/>
        <v>0</v>
      </c>
      <c r="AL480" s="156">
        <f t="shared" si="211"/>
        <v>0</v>
      </c>
      <c r="AM480" s="156">
        <f t="shared" si="211"/>
        <v>0</v>
      </c>
      <c r="AN480" s="156">
        <f t="shared" si="211"/>
        <v>0</v>
      </c>
      <c r="AO480" s="156">
        <f t="shared" si="211"/>
        <v>0</v>
      </c>
      <c r="AP480" s="156">
        <f t="shared" si="211"/>
        <v>0</v>
      </c>
    </row>
    <row r="481" spans="1:42" x14ac:dyDescent="0.4">
      <c r="A481" s="4">
        <f t="shared" si="206"/>
        <v>8</v>
      </c>
      <c r="B481" s="331">
        <f t="shared" si="203"/>
        <v>0</v>
      </c>
      <c r="C481" s="156">
        <f t="shared" ref="C481:AP481" si="212">LOOKUP(C469,$B$457:$AP$457,$B$458:$AP$458)*$B668/100</f>
        <v>0</v>
      </c>
      <c r="D481" s="156">
        <f t="shared" si="212"/>
        <v>0</v>
      </c>
      <c r="E481" s="156">
        <f t="shared" si="212"/>
        <v>0</v>
      </c>
      <c r="F481" s="156">
        <f t="shared" si="212"/>
        <v>0</v>
      </c>
      <c r="G481" s="156">
        <f t="shared" si="212"/>
        <v>0</v>
      </c>
      <c r="H481" s="156">
        <f t="shared" si="212"/>
        <v>0</v>
      </c>
      <c r="I481" s="156">
        <f t="shared" si="212"/>
        <v>0</v>
      </c>
      <c r="J481" s="156">
        <f t="shared" si="212"/>
        <v>0</v>
      </c>
      <c r="K481" s="156">
        <f t="shared" si="212"/>
        <v>0</v>
      </c>
      <c r="L481" s="156">
        <f t="shared" si="212"/>
        <v>0</v>
      </c>
      <c r="M481" s="156">
        <f t="shared" si="212"/>
        <v>0</v>
      </c>
      <c r="N481" s="156">
        <f t="shared" si="212"/>
        <v>0</v>
      </c>
      <c r="O481" s="156">
        <f t="shared" si="212"/>
        <v>0</v>
      </c>
      <c r="P481" s="156">
        <f t="shared" si="212"/>
        <v>0</v>
      </c>
      <c r="Q481" s="156">
        <f t="shared" si="212"/>
        <v>0</v>
      </c>
      <c r="R481" s="156">
        <f t="shared" si="212"/>
        <v>0</v>
      </c>
      <c r="S481" s="156">
        <f t="shared" si="212"/>
        <v>0</v>
      </c>
      <c r="T481" s="156">
        <f t="shared" si="212"/>
        <v>0</v>
      </c>
      <c r="U481" s="156">
        <f t="shared" si="212"/>
        <v>0</v>
      </c>
      <c r="V481" s="156">
        <f t="shared" si="212"/>
        <v>0</v>
      </c>
      <c r="W481" s="156">
        <f t="shared" si="212"/>
        <v>0</v>
      </c>
      <c r="X481" s="156">
        <f t="shared" si="212"/>
        <v>0</v>
      </c>
      <c r="Y481" s="156">
        <f t="shared" si="212"/>
        <v>0</v>
      </c>
      <c r="Z481" s="156">
        <f t="shared" si="212"/>
        <v>0</v>
      </c>
      <c r="AA481" s="156">
        <f t="shared" si="212"/>
        <v>0</v>
      </c>
      <c r="AB481" s="156">
        <f t="shared" si="212"/>
        <v>0</v>
      </c>
      <c r="AC481" s="156">
        <f t="shared" si="212"/>
        <v>0</v>
      </c>
      <c r="AD481" s="156">
        <f t="shared" si="212"/>
        <v>0</v>
      </c>
      <c r="AE481" s="156">
        <f t="shared" si="212"/>
        <v>0</v>
      </c>
      <c r="AF481" s="156">
        <f t="shared" si="212"/>
        <v>0</v>
      </c>
      <c r="AG481" s="156">
        <f t="shared" si="212"/>
        <v>0</v>
      </c>
      <c r="AH481" s="156">
        <f t="shared" si="212"/>
        <v>0</v>
      </c>
      <c r="AI481" s="156">
        <f t="shared" si="212"/>
        <v>0</v>
      </c>
      <c r="AJ481" s="156">
        <f t="shared" si="212"/>
        <v>0</v>
      </c>
      <c r="AK481" s="156">
        <f t="shared" si="212"/>
        <v>0</v>
      </c>
      <c r="AL481" s="156">
        <f t="shared" si="212"/>
        <v>0</v>
      </c>
      <c r="AM481" s="156">
        <f t="shared" si="212"/>
        <v>0</v>
      </c>
      <c r="AN481" s="156">
        <f t="shared" si="212"/>
        <v>0</v>
      </c>
      <c r="AO481" s="156">
        <f t="shared" si="212"/>
        <v>0</v>
      </c>
      <c r="AP481" s="156">
        <f t="shared" si="212"/>
        <v>0</v>
      </c>
    </row>
    <row r="482" spans="1:42" x14ac:dyDescent="0.4">
      <c r="A482" s="4">
        <f>A481+1</f>
        <v>9</v>
      </c>
      <c r="B482" s="331">
        <f t="shared" si="203"/>
        <v>0</v>
      </c>
      <c r="C482" s="156">
        <f t="shared" ref="C482:AP482" si="213">LOOKUP(C470,$B$457:$AP$457,$B$458:$AP$458)*$B669/100</f>
        <v>0</v>
      </c>
      <c r="D482" s="156">
        <f t="shared" si="213"/>
        <v>0</v>
      </c>
      <c r="E482" s="156">
        <f t="shared" si="213"/>
        <v>0</v>
      </c>
      <c r="F482" s="156">
        <f t="shared" si="213"/>
        <v>0</v>
      </c>
      <c r="G482" s="156">
        <f t="shared" si="213"/>
        <v>0</v>
      </c>
      <c r="H482" s="156">
        <f t="shared" si="213"/>
        <v>0</v>
      </c>
      <c r="I482" s="156">
        <f t="shared" si="213"/>
        <v>0</v>
      </c>
      <c r="J482" s="156">
        <f t="shared" si="213"/>
        <v>0</v>
      </c>
      <c r="K482" s="156">
        <f t="shared" si="213"/>
        <v>0</v>
      </c>
      <c r="L482" s="156">
        <f t="shared" si="213"/>
        <v>0</v>
      </c>
      <c r="M482" s="156">
        <f t="shared" si="213"/>
        <v>0</v>
      </c>
      <c r="N482" s="156">
        <f t="shared" si="213"/>
        <v>0</v>
      </c>
      <c r="O482" s="156">
        <f t="shared" si="213"/>
        <v>0</v>
      </c>
      <c r="P482" s="156">
        <f t="shared" si="213"/>
        <v>0</v>
      </c>
      <c r="Q482" s="156">
        <f t="shared" si="213"/>
        <v>0</v>
      </c>
      <c r="R482" s="156">
        <f t="shared" si="213"/>
        <v>0</v>
      </c>
      <c r="S482" s="156">
        <f t="shared" si="213"/>
        <v>0</v>
      </c>
      <c r="T482" s="156">
        <f t="shared" si="213"/>
        <v>0</v>
      </c>
      <c r="U482" s="156">
        <f t="shared" si="213"/>
        <v>0</v>
      </c>
      <c r="V482" s="156">
        <f t="shared" si="213"/>
        <v>0</v>
      </c>
      <c r="W482" s="156">
        <f t="shared" si="213"/>
        <v>0</v>
      </c>
      <c r="X482" s="156">
        <f t="shared" si="213"/>
        <v>0</v>
      </c>
      <c r="Y482" s="156">
        <f t="shared" si="213"/>
        <v>0</v>
      </c>
      <c r="Z482" s="156">
        <f t="shared" si="213"/>
        <v>0</v>
      </c>
      <c r="AA482" s="156">
        <f t="shared" si="213"/>
        <v>0</v>
      </c>
      <c r="AB482" s="156">
        <f t="shared" si="213"/>
        <v>0</v>
      </c>
      <c r="AC482" s="156">
        <f t="shared" si="213"/>
        <v>0</v>
      </c>
      <c r="AD482" s="156">
        <f t="shared" si="213"/>
        <v>0</v>
      </c>
      <c r="AE482" s="156">
        <f t="shared" si="213"/>
        <v>0</v>
      </c>
      <c r="AF482" s="156">
        <f t="shared" si="213"/>
        <v>0</v>
      </c>
      <c r="AG482" s="156">
        <f t="shared" si="213"/>
        <v>0</v>
      </c>
      <c r="AH482" s="156">
        <f t="shared" si="213"/>
        <v>0</v>
      </c>
      <c r="AI482" s="156">
        <f t="shared" si="213"/>
        <v>0</v>
      </c>
      <c r="AJ482" s="156">
        <f t="shared" si="213"/>
        <v>0</v>
      </c>
      <c r="AK482" s="156">
        <f t="shared" si="213"/>
        <v>0</v>
      </c>
      <c r="AL482" s="156">
        <f t="shared" si="213"/>
        <v>0</v>
      </c>
      <c r="AM482" s="156">
        <f t="shared" si="213"/>
        <v>0</v>
      </c>
      <c r="AN482" s="156">
        <f t="shared" si="213"/>
        <v>0</v>
      </c>
      <c r="AO482" s="156">
        <f t="shared" si="213"/>
        <v>0</v>
      </c>
      <c r="AP482" s="156">
        <f t="shared" si="213"/>
        <v>0</v>
      </c>
    </row>
    <row r="483" spans="1:42" x14ac:dyDescent="0.4">
      <c r="A483" s="4">
        <f t="shared" ref="A483" si="214">A482+1</f>
        <v>10</v>
      </c>
      <c r="B483" s="331">
        <f t="shared" si="203"/>
        <v>0</v>
      </c>
      <c r="C483" s="156">
        <f t="shared" ref="C483:AP483" si="215">LOOKUP(C471,$B$457:$AP$457,$B$458:$AP$458)*$B670/100</f>
        <v>0</v>
      </c>
      <c r="D483" s="156">
        <f t="shared" si="215"/>
        <v>0</v>
      </c>
      <c r="E483" s="156">
        <f t="shared" si="215"/>
        <v>0</v>
      </c>
      <c r="F483" s="156">
        <f t="shared" si="215"/>
        <v>0</v>
      </c>
      <c r="G483" s="156">
        <f t="shared" si="215"/>
        <v>0</v>
      </c>
      <c r="H483" s="156">
        <f t="shared" si="215"/>
        <v>0</v>
      </c>
      <c r="I483" s="156">
        <f t="shared" si="215"/>
        <v>0</v>
      </c>
      <c r="J483" s="156">
        <f t="shared" si="215"/>
        <v>0</v>
      </c>
      <c r="K483" s="156">
        <f t="shared" si="215"/>
        <v>0</v>
      </c>
      <c r="L483" s="156">
        <f t="shared" si="215"/>
        <v>0</v>
      </c>
      <c r="M483" s="156">
        <f t="shared" si="215"/>
        <v>0</v>
      </c>
      <c r="N483" s="156">
        <f t="shared" si="215"/>
        <v>0</v>
      </c>
      <c r="O483" s="156">
        <f t="shared" si="215"/>
        <v>0</v>
      </c>
      <c r="P483" s="156">
        <f t="shared" si="215"/>
        <v>0</v>
      </c>
      <c r="Q483" s="156">
        <f t="shared" si="215"/>
        <v>0</v>
      </c>
      <c r="R483" s="156">
        <f t="shared" si="215"/>
        <v>0</v>
      </c>
      <c r="S483" s="156">
        <f t="shared" si="215"/>
        <v>0</v>
      </c>
      <c r="T483" s="156">
        <f t="shared" si="215"/>
        <v>0</v>
      </c>
      <c r="U483" s="156">
        <f t="shared" si="215"/>
        <v>0</v>
      </c>
      <c r="V483" s="156">
        <f t="shared" si="215"/>
        <v>0</v>
      </c>
      <c r="W483" s="156">
        <f t="shared" si="215"/>
        <v>0</v>
      </c>
      <c r="X483" s="156">
        <f t="shared" si="215"/>
        <v>0</v>
      </c>
      <c r="Y483" s="156">
        <f t="shared" si="215"/>
        <v>0</v>
      </c>
      <c r="Z483" s="156">
        <f t="shared" si="215"/>
        <v>0</v>
      </c>
      <c r="AA483" s="156">
        <f t="shared" si="215"/>
        <v>0</v>
      </c>
      <c r="AB483" s="156">
        <f t="shared" si="215"/>
        <v>0</v>
      </c>
      <c r="AC483" s="156">
        <f t="shared" si="215"/>
        <v>0</v>
      </c>
      <c r="AD483" s="156">
        <f t="shared" si="215"/>
        <v>0</v>
      </c>
      <c r="AE483" s="156">
        <f t="shared" si="215"/>
        <v>0</v>
      </c>
      <c r="AF483" s="156">
        <f t="shared" si="215"/>
        <v>0</v>
      </c>
      <c r="AG483" s="156">
        <f t="shared" si="215"/>
        <v>0</v>
      </c>
      <c r="AH483" s="156">
        <f t="shared" si="215"/>
        <v>0</v>
      </c>
      <c r="AI483" s="156">
        <f t="shared" si="215"/>
        <v>0</v>
      </c>
      <c r="AJ483" s="156">
        <f t="shared" si="215"/>
        <v>0</v>
      </c>
      <c r="AK483" s="156">
        <f t="shared" si="215"/>
        <v>0</v>
      </c>
      <c r="AL483" s="156">
        <f t="shared" si="215"/>
        <v>0</v>
      </c>
      <c r="AM483" s="156">
        <f t="shared" si="215"/>
        <v>0</v>
      </c>
      <c r="AN483" s="156">
        <f t="shared" si="215"/>
        <v>0</v>
      </c>
      <c r="AO483" s="156">
        <f t="shared" si="215"/>
        <v>0</v>
      </c>
      <c r="AP483" s="156">
        <f t="shared" si="215"/>
        <v>0</v>
      </c>
    </row>
    <row r="484" spans="1:42" x14ac:dyDescent="0.4">
      <c r="A484" s="24" t="s">
        <v>13</v>
      </c>
      <c r="B484" s="14"/>
      <c r="C484" s="320">
        <f>SUM(C474:C483)</f>
        <v>0</v>
      </c>
      <c r="D484" s="320">
        <f t="shared" ref="D484:AP484" si="216">SUM(D474:D483)</f>
        <v>0</v>
      </c>
      <c r="E484" s="320">
        <f t="shared" si="216"/>
        <v>0</v>
      </c>
      <c r="F484" s="320">
        <f t="shared" si="216"/>
        <v>0</v>
      </c>
      <c r="G484" s="320">
        <f t="shared" si="216"/>
        <v>0</v>
      </c>
      <c r="H484" s="320">
        <f t="shared" si="216"/>
        <v>0</v>
      </c>
      <c r="I484" s="320">
        <f t="shared" si="216"/>
        <v>0</v>
      </c>
      <c r="J484" s="320">
        <f t="shared" si="216"/>
        <v>0</v>
      </c>
      <c r="K484" s="320">
        <f t="shared" si="216"/>
        <v>0</v>
      </c>
      <c r="L484" s="320">
        <f t="shared" si="216"/>
        <v>0</v>
      </c>
      <c r="M484" s="320">
        <f t="shared" si="216"/>
        <v>0</v>
      </c>
      <c r="N484" s="320">
        <f t="shared" si="216"/>
        <v>0</v>
      </c>
      <c r="O484" s="320">
        <f t="shared" si="216"/>
        <v>0</v>
      </c>
      <c r="P484" s="320">
        <f t="shared" si="216"/>
        <v>0</v>
      </c>
      <c r="Q484" s="320">
        <f t="shared" si="216"/>
        <v>0</v>
      </c>
      <c r="R484" s="320">
        <f t="shared" si="216"/>
        <v>0</v>
      </c>
      <c r="S484" s="320">
        <f t="shared" si="216"/>
        <v>0</v>
      </c>
      <c r="T484" s="320">
        <f t="shared" si="216"/>
        <v>0</v>
      </c>
      <c r="U484" s="320">
        <f t="shared" si="216"/>
        <v>0</v>
      </c>
      <c r="V484" s="320">
        <f t="shared" si="216"/>
        <v>0</v>
      </c>
      <c r="W484" s="320">
        <f t="shared" si="216"/>
        <v>0</v>
      </c>
      <c r="X484" s="320">
        <f t="shared" si="216"/>
        <v>0</v>
      </c>
      <c r="Y484" s="320">
        <f t="shared" si="216"/>
        <v>0</v>
      </c>
      <c r="Z484" s="320">
        <f t="shared" si="216"/>
        <v>0</v>
      </c>
      <c r="AA484" s="320">
        <f t="shared" si="216"/>
        <v>0</v>
      </c>
      <c r="AB484" s="320">
        <f t="shared" si="216"/>
        <v>0</v>
      </c>
      <c r="AC484" s="320">
        <f t="shared" si="216"/>
        <v>0</v>
      </c>
      <c r="AD484" s="320">
        <f t="shared" si="216"/>
        <v>0</v>
      </c>
      <c r="AE484" s="320">
        <f t="shared" si="216"/>
        <v>0</v>
      </c>
      <c r="AF484" s="320">
        <f t="shared" si="216"/>
        <v>0</v>
      </c>
      <c r="AG484" s="320">
        <f t="shared" si="216"/>
        <v>0</v>
      </c>
      <c r="AH484" s="320">
        <f t="shared" si="216"/>
        <v>0</v>
      </c>
      <c r="AI484" s="320">
        <f t="shared" si="216"/>
        <v>0</v>
      </c>
      <c r="AJ484" s="320">
        <f t="shared" si="216"/>
        <v>0</v>
      </c>
      <c r="AK484" s="320">
        <f t="shared" si="216"/>
        <v>0</v>
      </c>
      <c r="AL484" s="320">
        <f t="shared" si="216"/>
        <v>0</v>
      </c>
      <c r="AM484" s="320">
        <f t="shared" si="216"/>
        <v>0</v>
      </c>
      <c r="AN484" s="320">
        <f t="shared" si="216"/>
        <v>0</v>
      </c>
      <c r="AO484" s="320">
        <f t="shared" si="216"/>
        <v>0</v>
      </c>
      <c r="AP484" s="320">
        <f t="shared" si="216"/>
        <v>0</v>
      </c>
    </row>
    <row r="485" spans="1:42" x14ac:dyDescent="0.4">
      <c r="A485" s="24"/>
      <c r="B485" s="14"/>
      <c r="C485" s="156"/>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row>
    <row r="486" spans="1:42" x14ac:dyDescent="0.4">
      <c r="A486" s="21" t="s">
        <v>63</v>
      </c>
      <c r="C486" s="156"/>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row>
    <row r="487" spans="1:42" x14ac:dyDescent="0.4">
      <c r="A487" s="87" t="s">
        <v>53</v>
      </c>
      <c r="C487" s="156"/>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row>
    <row r="488" spans="1:42" x14ac:dyDescent="0.4">
      <c r="A488" s="4">
        <v>1</v>
      </c>
      <c r="C488" s="156">
        <f t="shared" ref="C488:AP488" si="217">C349</f>
        <v>0</v>
      </c>
      <c r="D488" s="156">
        <f t="shared" si="217"/>
        <v>0</v>
      </c>
      <c r="E488" s="156">
        <f t="shared" si="217"/>
        <v>0</v>
      </c>
      <c r="F488" s="156">
        <f t="shared" si="217"/>
        <v>0</v>
      </c>
      <c r="G488" s="156">
        <f t="shared" si="217"/>
        <v>0</v>
      </c>
      <c r="H488" s="156">
        <f t="shared" si="217"/>
        <v>0</v>
      </c>
      <c r="I488" s="156">
        <f t="shared" si="217"/>
        <v>0</v>
      </c>
      <c r="J488" s="156">
        <f t="shared" si="217"/>
        <v>0</v>
      </c>
      <c r="K488" s="156">
        <f t="shared" si="217"/>
        <v>0</v>
      </c>
      <c r="L488" s="156">
        <f t="shared" si="217"/>
        <v>0</v>
      </c>
      <c r="M488" s="156">
        <f t="shared" si="217"/>
        <v>0</v>
      </c>
      <c r="N488" s="156">
        <f t="shared" si="217"/>
        <v>0</v>
      </c>
      <c r="O488" s="156">
        <f t="shared" si="217"/>
        <v>0</v>
      </c>
      <c r="P488" s="156">
        <f t="shared" si="217"/>
        <v>0</v>
      </c>
      <c r="Q488" s="156">
        <f t="shared" si="217"/>
        <v>0</v>
      </c>
      <c r="R488" s="156">
        <f t="shared" si="217"/>
        <v>0</v>
      </c>
      <c r="S488" s="156">
        <f t="shared" si="217"/>
        <v>0</v>
      </c>
      <c r="T488" s="156">
        <f t="shared" si="217"/>
        <v>0</v>
      </c>
      <c r="U488" s="156">
        <f t="shared" si="217"/>
        <v>0</v>
      </c>
      <c r="V488" s="156">
        <f t="shared" si="217"/>
        <v>0</v>
      </c>
      <c r="W488" s="156">
        <f t="shared" si="217"/>
        <v>0</v>
      </c>
      <c r="X488" s="156">
        <f t="shared" si="217"/>
        <v>0</v>
      </c>
      <c r="Y488" s="156">
        <f t="shared" si="217"/>
        <v>0</v>
      </c>
      <c r="Z488" s="156">
        <f t="shared" si="217"/>
        <v>0</v>
      </c>
      <c r="AA488" s="156">
        <f t="shared" si="217"/>
        <v>0</v>
      </c>
      <c r="AB488" s="156">
        <f t="shared" si="217"/>
        <v>0</v>
      </c>
      <c r="AC488" s="156">
        <f t="shared" si="217"/>
        <v>0</v>
      </c>
      <c r="AD488" s="156">
        <f t="shared" si="217"/>
        <v>0</v>
      </c>
      <c r="AE488" s="156">
        <f t="shared" si="217"/>
        <v>0</v>
      </c>
      <c r="AF488" s="156">
        <f t="shared" si="217"/>
        <v>0</v>
      </c>
      <c r="AG488" s="156">
        <f t="shared" si="217"/>
        <v>0</v>
      </c>
      <c r="AH488" s="156">
        <f t="shared" si="217"/>
        <v>0</v>
      </c>
      <c r="AI488" s="156">
        <f t="shared" si="217"/>
        <v>0</v>
      </c>
      <c r="AJ488" s="156">
        <f t="shared" si="217"/>
        <v>0</v>
      </c>
      <c r="AK488" s="156">
        <f t="shared" si="217"/>
        <v>0</v>
      </c>
      <c r="AL488" s="156">
        <f t="shared" si="217"/>
        <v>0</v>
      </c>
      <c r="AM488" s="156">
        <f t="shared" si="217"/>
        <v>0</v>
      </c>
      <c r="AN488" s="156">
        <f t="shared" si="217"/>
        <v>0</v>
      </c>
      <c r="AO488" s="156">
        <f t="shared" si="217"/>
        <v>0</v>
      </c>
      <c r="AP488" s="156">
        <f t="shared" si="217"/>
        <v>0</v>
      </c>
    </row>
    <row r="489" spans="1:42" x14ac:dyDescent="0.4">
      <c r="A489" s="4">
        <f>A488+1</f>
        <v>2</v>
      </c>
      <c r="C489" s="156">
        <f t="shared" ref="C489:AP489" si="218">C350</f>
        <v>0</v>
      </c>
      <c r="D489" s="156">
        <f t="shared" si="218"/>
        <v>0</v>
      </c>
      <c r="E489" s="156">
        <f t="shared" si="218"/>
        <v>0</v>
      </c>
      <c r="F489" s="156">
        <f t="shared" si="218"/>
        <v>0</v>
      </c>
      <c r="G489" s="156">
        <f t="shared" si="218"/>
        <v>0</v>
      </c>
      <c r="H489" s="156">
        <f t="shared" si="218"/>
        <v>0</v>
      </c>
      <c r="I489" s="156">
        <f t="shared" si="218"/>
        <v>0</v>
      </c>
      <c r="J489" s="156">
        <f t="shared" si="218"/>
        <v>0</v>
      </c>
      <c r="K489" s="156">
        <f t="shared" si="218"/>
        <v>0</v>
      </c>
      <c r="L489" s="156">
        <f t="shared" si="218"/>
        <v>0</v>
      </c>
      <c r="M489" s="156">
        <f t="shared" si="218"/>
        <v>0</v>
      </c>
      <c r="N489" s="156">
        <f t="shared" si="218"/>
        <v>0</v>
      </c>
      <c r="O489" s="156">
        <f t="shared" si="218"/>
        <v>0</v>
      </c>
      <c r="P489" s="156">
        <f t="shared" si="218"/>
        <v>0</v>
      </c>
      <c r="Q489" s="156">
        <f t="shared" si="218"/>
        <v>0</v>
      </c>
      <c r="R489" s="156">
        <f t="shared" si="218"/>
        <v>0</v>
      </c>
      <c r="S489" s="156">
        <f t="shared" si="218"/>
        <v>0</v>
      </c>
      <c r="T489" s="156">
        <f t="shared" si="218"/>
        <v>0</v>
      </c>
      <c r="U489" s="156">
        <f t="shared" si="218"/>
        <v>0</v>
      </c>
      <c r="V489" s="156">
        <f t="shared" si="218"/>
        <v>0</v>
      </c>
      <c r="W489" s="156">
        <f t="shared" si="218"/>
        <v>0</v>
      </c>
      <c r="X489" s="156">
        <f t="shared" si="218"/>
        <v>0</v>
      </c>
      <c r="Y489" s="156">
        <f t="shared" si="218"/>
        <v>0</v>
      </c>
      <c r="Z489" s="156">
        <f t="shared" si="218"/>
        <v>0</v>
      </c>
      <c r="AA489" s="156">
        <f t="shared" si="218"/>
        <v>0</v>
      </c>
      <c r="AB489" s="156">
        <f t="shared" si="218"/>
        <v>0</v>
      </c>
      <c r="AC489" s="156">
        <f t="shared" si="218"/>
        <v>0</v>
      </c>
      <c r="AD489" s="156">
        <f t="shared" si="218"/>
        <v>0</v>
      </c>
      <c r="AE489" s="156">
        <f t="shared" si="218"/>
        <v>0</v>
      </c>
      <c r="AF489" s="156">
        <f t="shared" si="218"/>
        <v>0</v>
      </c>
      <c r="AG489" s="156">
        <f t="shared" si="218"/>
        <v>0</v>
      </c>
      <c r="AH489" s="156">
        <f t="shared" si="218"/>
        <v>0</v>
      </c>
      <c r="AI489" s="156">
        <f t="shared" si="218"/>
        <v>0</v>
      </c>
      <c r="AJ489" s="156">
        <f t="shared" si="218"/>
        <v>0</v>
      </c>
      <c r="AK489" s="156">
        <f t="shared" si="218"/>
        <v>0</v>
      </c>
      <c r="AL489" s="156">
        <f t="shared" si="218"/>
        <v>0</v>
      </c>
      <c r="AM489" s="156">
        <f t="shared" si="218"/>
        <v>0</v>
      </c>
      <c r="AN489" s="156">
        <f t="shared" si="218"/>
        <v>0</v>
      </c>
      <c r="AO489" s="156">
        <f t="shared" si="218"/>
        <v>0</v>
      </c>
      <c r="AP489" s="156">
        <f t="shared" si="218"/>
        <v>0</v>
      </c>
    </row>
    <row r="490" spans="1:42" x14ac:dyDescent="0.4">
      <c r="A490" s="4">
        <f t="shared" ref="A490:A495" si="219">A489+1</f>
        <v>3</v>
      </c>
      <c r="C490" s="156">
        <f t="shared" ref="C490:AP490" si="220">C351</f>
        <v>0</v>
      </c>
      <c r="D490" s="156">
        <f t="shared" si="220"/>
        <v>0</v>
      </c>
      <c r="E490" s="156">
        <f t="shared" si="220"/>
        <v>0</v>
      </c>
      <c r="F490" s="156">
        <f t="shared" si="220"/>
        <v>0</v>
      </c>
      <c r="G490" s="156">
        <f t="shared" si="220"/>
        <v>0</v>
      </c>
      <c r="H490" s="156">
        <f t="shared" si="220"/>
        <v>0</v>
      </c>
      <c r="I490" s="156">
        <f t="shared" si="220"/>
        <v>0</v>
      </c>
      <c r="J490" s="156">
        <f t="shared" si="220"/>
        <v>0</v>
      </c>
      <c r="K490" s="156">
        <f t="shared" si="220"/>
        <v>0</v>
      </c>
      <c r="L490" s="156">
        <f t="shared" si="220"/>
        <v>0</v>
      </c>
      <c r="M490" s="156">
        <f t="shared" si="220"/>
        <v>0</v>
      </c>
      <c r="N490" s="156">
        <f t="shared" si="220"/>
        <v>0</v>
      </c>
      <c r="O490" s="156">
        <f t="shared" si="220"/>
        <v>0</v>
      </c>
      <c r="P490" s="156">
        <f t="shared" si="220"/>
        <v>0</v>
      </c>
      <c r="Q490" s="156">
        <f t="shared" si="220"/>
        <v>0</v>
      </c>
      <c r="R490" s="156">
        <f t="shared" si="220"/>
        <v>0</v>
      </c>
      <c r="S490" s="156">
        <f t="shared" si="220"/>
        <v>0</v>
      </c>
      <c r="T490" s="156">
        <f t="shared" si="220"/>
        <v>0</v>
      </c>
      <c r="U490" s="156">
        <f t="shared" si="220"/>
        <v>0</v>
      </c>
      <c r="V490" s="156">
        <f t="shared" si="220"/>
        <v>0</v>
      </c>
      <c r="W490" s="156">
        <f t="shared" si="220"/>
        <v>0</v>
      </c>
      <c r="X490" s="156">
        <f t="shared" si="220"/>
        <v>0</v>
      </c>
      <c r="Y490" s="156">
        <f t="shared" si="220"/>
        <v>0</v>
      </c>
      <c r="Z490" s="156">
        <f t="shared" si="220"/>
        <v>0</v>
      </c>
      <c r="AA490" s="156">
        <f t="shared" si="220"/>
        <v>0</v>
      </c>
      <c r="AB490" s="156">
        <f t="shared" si="220"/>
        <v>0</v>
      </c>
      <c r="AC490" s="156">
        <f t="shared" si="220"/>
        <v>0</v>
      </c>
      <c r="AD490" s="156">
        <f t="shared" si="220"/>
        <v>0</v>
      </c>
      <c r="AE490" s="156">
        <f t="shared" si="220"/>
        <v>0</v>
      </c>
      <c r="AF490" s="156">
        <f t="shared" si="220"/>
        <v>0</v>
      </c>
      <c r="AG490" s="156">
        <f t="shared" si="220"/>
        <v>0</v>
      </c>
      <c r="AH490" s="156">
        <f t="shared" si="220"/>
        <v>0</v>
      </c>
      <c r="AI490" s="156">
        <f t="shared" si="220"/>
        <v>0</v>
      </c>
      <c r="AJ490" s="156">
        <f t="shared" si="220"/>
        <v>0</v>
      </c>
      <c r="AK490" s="156">
        <f t="shared" si="220"/>
        <v>0</v>
      </c>
      <c r="AL490" s="156">
        <f t="shared" si="220"/>
        <v>0</v>
      </c>
      <c r="AM490" s="156">
        <f t="shared" si="220"/>
        <v>0</v>
      </c>
      <c r="AN490" s="156">
        <f t="shared" si="220"/>
        <v>0</v>
      </c>
      <c r="AO490" s="156">
        <f t="shared" si="220"/>
        <v>0</v>
      </c>
      <c r="AP490" s="156">
        <f t="shared" si="220"/>
        <v>0</v>
      </c>
    </row>
    <row r="491" spans="1:42" x14ac:dyDescent="0.4">
      <c r="A491" s="4">
        <f t="shared" si="219"/>
        <v>4</v>
      </c>
      <c r="C491" s="156">
        <f t="shared" ref="C491:AP491" si="221">C352</f>
        <v>0</v>
      </c>
      <c r="D491" s="156">
        <f t="shared" si="221"/>
        <v>0</v>
      </c>
      <c r="E491" s="156">
        <f t="shared" si="221"/>
        <v>0</v>
      </c>
      <c r="F491" s="156">
        <f t="shared" si="221"/>
        <v>0</v>
      </c>
      <c r="G491" s="156">
        <f t="shared" si="221"/>
        <v>0</v>
      </c>
      <c r="H491" s="156">
        <f t="shared" si="221"/>
        <v>0</v>
      </c>
      <c r="I491" s="156">
        <f t="shared" si="221"/>
        <v>0</v>
      </c>
      <c r="J491" s="156">
        <f t="shared" si="221"/>
        <v>0</v>
      </c>
      <c r="K491" s="156">
        <f t="shared" si="221"/>
        <v>0</v>
      </c>
      <c r="L491" s="156">
        <f t="shared" si="221"/>
        <v>0</v>
      </c>
      <c r="M491" s="156">
        <f t="shared" si="221"/>
        <v>0</v>
      </c>
      <c r="N491" s="156">
        <f t="shared" si="221"/>
        <v>0</v>
      </c>
      <c r="O491" s="156">
        <f t="shared" si="221"/>
        <v>0</v>
      </c>
      <c r="P491" s="156">
        <f t="shared" si="221"/>
        <v>0</v>
      </c>
      <c r="Q491" s="156">
        <f t="shared" si="221"/>
        <v>0</v>
      </c>
      <c r="R491" s="156">
        <f t="shared" si="221"/>
        <v>0</v>
      </c>
      <c r="S491" s="156">
        <f t="shared" si="221"/>
        <v>0</v>
      </c>
      <c r="T491" s="156">
        <f t="shared" si="221"/>
        <v>0</v>
      </c>
      <c r="U491" s="156">
        <f t="shared" si="221"/>
        <v>0</v>
      </c>
      <c r="V491" s="156">
        <f t="shared" si="221"/>
        <v>0</v>
      </c>
      <c r="W491" s="156">
        <f t="shared" si="221"/>
        <v>0</v>
      </c>
      <c r="X491" s="156">
        <f t="shared" si="221"/>
        <v>0</v>
      </c>
      <c r="Y491" s="156">
        <f t="shared" si="221"/>
        <v>0</v>
      </c>
      <c r="Z491" s="156">
        <f t="shared" si="221"/>
        <v>0</v>
      </c>
      <c r="AA491" s="156">
        <f t="shared" si="221"/>
        <v>0</v>
      </c>
      <c r="AB491" s="156">
        <f t="shared" si="221"/>
        <v>0</v>
      </c>
      <c r="AC491" s="156">
        <f t="shared" si="221"/>
        <v>0</v>
      </c>
      <c r="AD491" s="156">
        <f t="shared" si="221"/>
        <v>0</v>
      </c>
      <c r="AE491" s="156">
        <f t="shared" si="221"/>
        <v>0</v>
      </c>
      <c r="AF491" s="156">
        <f t="shared" si="221"/>
        <v>0</v>
      </c>
      <c r="AG491" s="156">
        <f t="shared" si="221"/>
        <v>0</v>
      </c>
      <c r="AH491" s="156">
        <f t="shared" si="221"/>
        <v>0</v>
      </c>
      <c r="AI491" s="156">
        <f t="shared" si="221"/>
        <v>0</v>
      </c>
      <c r="AJ491" s="156">
        <f t="shared" si="221"/>
        <v>0</v>
      </c>
      <c r="AK491" s="156">
        <f t="shared" si="221"/>
        <v>0</v>
      </c>
      <c r="AL491" s="156">
        <f t="shared" si="221"/>
        <v>0</v>
      </c>
      <c r="AM491" s="156">
        <f t="shared" si="221"/>
        <v>0</v>
      </c>
      <c r="AN491" s="156">
        <f t="shared" si="221"/>
        <v>0</v>
      </c>
      <c r="AO491" s="156">
        <f t="shared" si="221"/>
        <v>0</v>
      </c>
      <c r="AP491" s="156">
        <f t="shared" si="221"/>
        <v>0</v>
      </c>
    </row>
    <row r="492" spans="1:42" x14ac:dyDescent="0.4">
      <c r="A492" s="4">
        <f t="shared" si="219"/>
        <v>5</v>
      </c>
      <c r="C492" s="156">
        <f t="shared" ref="C492:AP492" si="222">C353</f>
        <v>0</v>
      </c>
      <c r="D492" s="156">
        <f t="shared" si="222"/>
        <v>0</v>
      </c>
      <c r="E492" s="156">
        <f t="shared" si="222"/>
        <v>0</v>
      </c>
      <c r="F492" s="156">
        <f t="shared" si="222"/>
        <v>0</v>
      </c>
      <c r="G492" s="156">
        <f t="shared" si="222"/>
        <v>0</v>
      </c>
      <c r="H492" s="156">
        <f t="shared" si="222"/>
        <v>0</v>
      </c>
      <c r="I492" s="156">
        <f t="shared" si="222"/>
        <v>0</v>
      </c>
      <c r="J492" s="156">
        <f t="shared" si="222"/>
        <v>0</v>
      </c>
      <c r="K492" s="156">
        <f t="shared" si="222"/>
        <v>0</v>
      </c>
      <c r="L492" s="156">
        <f t="shared" si="222"/>
        <v>0</v>
      </c>
      <c r="M492" s="156">
        <f t="shared" si="222"/>
        <v>0</v>
      </c>
      <c r="N492" s="156">
        <f t="shared" si="222"/>
        <v>0</v>
      </c>
      <c r="O492" s="156">
        <f t="shared" si="222"/>
        <v>0</v>
      </c>
      <c r="P492" s="156">
        <f t="shared" si="222"/>
        <v>0</v>
      </c>
      <c r="Q492" s="156">
        <f t="shared" si="222"/>
        <v>0</v>
      </c>
      <c r="R492" s="156">
        <f t="shared" si="222"/>
        <v>0</v>
      </c>
      <c r="S492" s="156">
        <f t="shared" si="222"/>
        <v>0</v>
      </c>
      <c r="T492" s="156">
        <f t="shared" si="222"/>
        <v>0</v>
      </c>
      <c r="U492" s="156">
        <f t="shared" si="222"/>
        <v>0</v>
      </c>
      <c r="V492" s="156">
        <f t="shared" si="222"/>
        <v>0</v>
      </c>
      <c r="W492" s="156">
        <f t="shared" si="222"/>
        <v>0</v>
      </c>
      <c r="X492" s="156">
        <f t="shared" si="222"/>
        <v>0</v>
      </c>
      <c r="Y492" s="156">
        <f t="shared" si="222"/>
        <v>0</v>
      </c>
      <c r="Z492" s="156">
        <f t="shared" si="222"/>
        <v>0</v>
      </c>
      <c r="AA492" s="156">
        <f t="shared" si="222"/>
        <v>0</v>
      </c>
      <c r="AB492" s="156">
        <f t="shared" si="222"/>
        <v>0</v>
      </c>
      <c r="AC492" s="156">
        <f t="shared" si="222"/>
        <v>0</v>
      </c>
      <c r="AD492" s="156">
        <f t="shared" si="222"/>
        <v>0</v>
      </c>
      <c r="AE492" s="156">
        <f t="shared" si="222"/>
        <v>0</v>
      </c>
      <c r="AF492" s="156">
        <f t="shared" si="222"/>
        <v>0</v>
      </c>
      <c r="AG492" s="156">
        <f t="shared" si="222"/>
        <v>0</v>
      </c>
      <c r="AH492" s="156">
        <f t="shared" si="222"/>
        <v>0</v>
      </c>
      <c r="AI492" s="156">
        <f t="shared" si="222"/>
        <v>0</v>
      </c>
      <c r="AJ492" s="156">
        <f t="shared" si="222"/>
        <v>0</v>
      </c>
      <c r="AK492" s="156">
        <f t="shared" si="222"/>
        <v>0</v>
      </c>
      <c r="AL492" s="156">
        <f t="shared" si="222"/>
        <v>0</v>
      </c>
      <c r="AM492" s="156">
        <f t="shared" si="222"/>
        <v>0</v>
      </c>
      <c r="AN492" s="156">
        <f t="shared" si="222"/>
        <v>0</v>
      </c>
      <c r="AO492" s="156">
        <f t="shared" si="222"/>
        <v>0</v>
      </c>
      <c r="AP492" s="156">
        <f t="shared" si="222"/>
        <v>0</v>
      </c>
    </row>
    <row r="493" spans="1:42" x14ac:dyDescent="0.4">
      <c r="A493" s="4">
        <f t="shared" si="219"/>
        <v>6</v>
      </c>
      <c r="C493" s="156">
        <f t="shared" ref="C493:AP493" si="223">C354</f>
        <v>0</v>
      </c>
      <c r="D493" s="156">
        <f t="shared" si="223"/>
        <v>0</v>
      </c>
      <c r="E493" s="156">
        <f t="shared" si="223"/>
        <v>0</v>
      </c>
      <c r="F493" s="156">
        <f t="shared" si="223"/>
        <v>0</v>
      </c>
      <c r="G493" s="156">
        <f t="shared" si="223"/>
        <v>0</v>
      </c>
      <c r="H493" s="156">
        <f t="shared" si="223"/>
        <v>0</v>
      </c>
      <c r="I493" s="156">
        <f t="shared" si="223"/>
        <v>0</v>
      </c>
      <c r="J493" s="156">
        <f t="shared" si="223"/>
        <v>0</v>
      </c>
      <c r="K493" s="156">
        <f t="shared" si="223"/>
        <v>0</v>
      </c>
      <c r="L493" s="156">
        <f t="shared" si="223"/>
        <v>0</v>
      </c>
      <c r="M493" s="156">
        <f t="shared" si="223"/>
        <v>0</v>
      </c>
      <c r="N493" s="156">
        <f t="shared" si="223"/>
        <v>0</v>
      </c>
      <c r="O493" s="156">
        <f t="shared" si="223"/>
        <v>0</v>
      </c>
      <c r="P493" s="156">
        <f t="shared" si="223"/>
        <v>0</v>
      </c>
      <c r="Q493" s="156">
        <f t="shared" si="223"/>
        <v>0</v>
      </c>
      <c r="R493" s="156">
        <f t="shared" si="223"/>
        <v>0</v>
      </c>
      <c r="S493" s="156">
        <f t="shared" si="223"/>
        <v>0</v>
      </c>
      <c r="T493" s="156">
        <f t="shared" si="223"/>
        <v>0</v>
      </c>
      <c r="U493" s="156">
        <f t="shared" si="223"/>
        <v>0</v>
      </c>
      <c r="V493" s="156">
        <f t="shared" si="223"/>
        <v>0</v>
      </c>
      <c r="W493" s="156">
        <f t="shared" si="223"/>
        <v>0</v>
      </c>
      <c r="X493" s="156">
        <f t="shared" si="223"/>
        <v>0</v>
      </c>
      <c r="Y493" s="156">
        <f t="shared" si="223"/>
        <v>0</v>
      </c>
      <c r="Z493" s="156">
        <f t="shared" si="223"/>
        <v>0</v>
      </c>
      <c r="AA493" s="156">
        <f t="shared" si="223"/>
        <v>0</v>
      </c>
      <c r="AB493" s="156">
        <f t="shared" si="223"/>
        <v>0</v>
      </c>
      <c r="AC493" s="156">
        <f t="shared" si="223"/>
        <v>0</v>
      </c>
      <c r="AD493" s="156">
        <f t="shared" si="223"/>
        <v>0</v>
      </c>
      <c r="AE493" s="156">
        <f t="shared" si="223"/>
        <v>0</v>
      </c>
      <c r="AF493" s="156">
        <f t="shared" si="223"/>
        <v>0</v>
      </c>
      <c r="AG493" s="156">
        <f t="shared" si="223"/>
        <v>0</v>
      </c>
      <c r="AH493" s="156">
        <f t="shared" si="223"/>
        <v>0</v>
      </c>
      <c r="AI493" s="156">
        <f t="shared" si="223"/>
        <v>0</v>
      </c>
      <c r="AJ493" s="156">
        <f t="shared" si="223"/>
        <v>0</v>
      </c>
      <c r="AK493" s="156">
        <f t="shared" si="223"/>
        <v>0</v>
      </c>
      <c r="AL493" s="156">
        <f t="shared" si="223"/>
        <v>0</v>
      </c>
      <c r="AM493" s="156">
        <f t="shared" si="223"/>
        <v>0</v>
      </c>
      <c r="AN493" s="156">
        <f t="shared" si="223"/>
        <v>0</v>
      </c>
      <c r="AO493" s="156">
        <f t="shared" si="223"/>
        <v>0</v>
      </c>
      <c r="AP493" s="156">
        <f t="shared" si="223"/>
        <v>0</v>
      </c>
    </row>
    <row r="494" spans="1:42" x14ac:dyDescent="0.4">
      <c r="A494" s="4">
        <f t="shared" si="219"/>
        <v>7</v>
      </c>
      <c r="C494" s="156">
        <f t="shared" ref="C494:AP494" si="224">C355</f>
        <v>0</v>
      </c>
      <c r="D494" s="156">
        <f t="shared" si="224"/>
        <v>0</v>
      </c>
      <c r="E494" s="156">
        <f t="shared" si="224"/>
        <v>0</v>
      </c>
      <c r="F494" s="156">
        <f t="shared" si="224"/>
        <v>0</v>
      </c>
      <c r="G494" s="156">
        <f t="shared" si="224"/>
        <v>0</v>
      </c>
      <c r="H494" s="156">
        <f t="shared" si="224"/>
        <v>0</v>
      </c>
      <c r="I494" s="156">
        <f t="shared" si="224"/>
        <v>0</v>
      </c>
      <c r="J494" s="156">
        <f t="shared" si="224"/>
        <v>0</v>
      </c>
      <c r="K494" s="156">
        <f t="shared" si="224"/>
        <v>0</v>
      </c>
      <c r="L494" s="156">
        <f t="shared" si="224"/>
        <v>0</v>
      </c>
      <c r="M494" s="156">
        <f t="shared" si="224"/>
        <v>0</v>
      </c>
      <c r="N494" s="156">
        <f t="shared" si="224"/>
        <v>0</v>
      </c>
      <c r="O494" s="156">
        <f t="shared" si="224"/>
        <v>0</v>
      </c>
      <c r="P494" s="156">
        <f t="shared" si="224"/>
        <v>0</v>
      </c>
      <c r="Q494" s="156">
        <f t="shared" si="224"/>
        <v>0</v>
      </c>
      <c r="R494" s="156">
        <f t="shared" si="224"/>
        <v>0</v>
      </c>
      <c r="S494" s="156">
        <f t="shared" si="224"/>
        <v>0</v>
      </c>
      <c r="T494" s="156">
        <f t="shared" si="224"/>
        <v>0</v>
      </c>
      <c r="U494" s="156">
        <f t="shared" si="224"/>
        <v>0</v>
      </c>
      <c r="V494" s="156">
        <f t="shared" si="224"/>
        <v>0</v>
      </c>
      <c r="W494" s="156">
        <f t="shared" si="224"/>
        <v>0</v>
      </c>
      <c r="X494" s="156">
        <f t="shared" si="224"/>
        <v>0</v>
      </c>
      <c r="Y494" s="156">
        <f t="shared" si="224"/>
        <v>0</v>
      </c>
      <c r="Z494" s="156">
        <f t="shared" si="224"/>
        <v>0</v>
      </c>
      <c r="AA494" s="156">
        <f t="shared" si="224"/>
        <v>0</v>
      </c>
      <c r="AB494" s="156">
        <f t="shared" si="224"/>
        <v>0</v>
      </c>
      <c r="AC494" s="156">
        <f t="shared" si="224"/>
        <v>0</v>
      </c>
      <c r="AD494" s="156">
        <f t="shared" si="224"/>
        <v>0</v>
      </c>
      <c r="AE494" s="156">
        <f t="shared" si="224"/>
        <v>0</v>
      </c>
      <c r="AF494" s="156">
        <f t="shared" si="224"/>
        <v>0</v>
      </c>
      <c r="AG494" s="156">
        <f t="shared" si="224"/>
        <v>0</v>
      </c>
      <c r="AH494" s="156">
        <f t="shared" si="224"/>
        <v>0</v>
      </c>
      <c r="AI494" s="156">
        <f t="shared" si="224"/>
        <v>0</v>
      </c>
      <c r="AJ494" s="156">
        <f t="shared" si="224"/>
        <v>0</v>
      </c>
      <c r="AK494" s="156">
        <f t="shared" si="224"/>
        <v>0</v>
      </c>
      <c r="AL494" s="156">
        <f t="shared" si="224"/>
        <v>0</v>
      </c>
      <c r="AM494" s="156">
        <f t="shared" si="224"/>
        <v>0</v>
      </c>
      <c r="AN494" s="156">
        <f t="shared" si="224"/>
        <v>0</v>
      </c>
      <c r="AO494" s="156">
        <f t="shared" si="224"/>
        <v>0</v>
      </c>
      <c r="AP494" s="156">
        <f t="shared" si="224"/>
        <v>0</v>
      </c>
    </row>
    <row r="495" spans="1:42" x14ac:dyDescent="0.4">
      <c r="A495" s="4">
        <f t="shared" si="219"/>
        <v>8</v>
      </c>
      <c r="C495" s="156">
        <f t="shared" ref="C495:AP495" si="225">C356</f>
        <v>0</v>
      </c>
      <c r="D495" s="156">
        <f t="shared" si="225"/>
        <v>0</v>
      </c>
      <c r="E495" s="156">
        <f t="shared" si="225"/>
        <v>0</v>
      </c>
      <c r="F495" s="156">
        <f t="shared" si="225"/>
        <v>0</v>
      </c>
      <c r="G495" s="156">
        <f t="shared" si="225"/>
        <v>0</v>
      </c>
      <c r="H495" s="156">
        <f t="shared" si="225"/>
        <v>0</v>
      </c>
      <c r="I495" s="156">
        <f t="shared" si="225"/>
        <v>0</v>
      </c>
      <c r="J495" s="156">
        <f t="shared" si="225"/>
        <v>0</v>
      </c>
      <c r="K495" s="156">
        <f t="shared" si="225"/>
        <v>0</v>
      </c>
      <c r="L495" s="156">
        <f t="shared" si="225"/>
        <v>0</v>
      </c>
      <c r="M495" s="156">
        <f t="shared" si="225"/>
        <v>0</v>
      </c>
      <c r="N495" s="156">
        <f t="shared" si="225"/>
        <v>0</v>
      </c>
      <c r="O495" s="156">
        <f t="shared" si="225"/>
        <v>0</v>
      </c>
      <c r="P495" s="156">
        <f t="shared" si="225"/>
        <v>0</v>
      </c>
      <c r="Q495" s="156">
        <f t="shared" si="225"/>
        <v>0</v>
      </c>
      <c r="R495" s="156">
        <f t="shared" si="225"/>
        <v>0</v>
      </c>
      <c r="S495" s="156">
        <f t="shared" si="225"/>
        <v>0</v>
      </c>
      <c r="T495" s="156">
        <f t="shared" si="225"/>
        <v>0</v>
      </c>
      <c r="U495" s="156">
        <f t="shared" si="225"/>
        <v>0</v>
      </c>
      <c r="V495" s="156">
        <f t="shared" si="225"/>
        <v>0</v>
      </c>
      <c r="W495" s="156">
        <f t="shared" si="225"/>
        <v>0</v>
      </c>
      <c r="X495" s="156">
        <f t="shared" si="225"/>
        <v>0</v>
      </c>
      <c r="Y495" s="156">
        <f t="shared" si="225"/>
        <v>0</v>
      </c>
      <c r="Z495" s="156">
        <f t="shared" si="225"/>
        <v>0</v>
      </c>
      <c r="AA495" s="156">
        <f t="shared" si="225"/>
        <v>0</v>
      </c>
      <c r="AB495" s="156">
        <f t="shared" si="225"/>
        <v>0</v>
      </c>
      <c r="AC495" s="156">
        <f t="shared" si="225"/>
        <v>0</v>
      </c>
      <c r="AD495" s="156">
        <f t="shared" si="225"/>
        <v>0</v>
      </c>
      <c r="AE495" s="156">
        <f t="shared" si="225"/>
        <v>0</v>
      </c>
      <c r="AF495" s="156">
        <f t="shared" si="225"/>
        <v>0</v>
      </c>
      <c r="AG495" s="156">
        <f t="shared" si="225"/>
        <v>0</v>
      </c>
      <c r="AH495" s="156">
        <f t="shared" si="225"/>
        <v>0</v>
      </c>
      <c r="AI495" s="156">
        <f t="shared" si="225"/>
        <v>0</v>
      </c>
      <c r="AJ495" s="156">
        <f t="shared" si="225"/>
        <v>0</v>
      </c>
      <c r="AK495" s="156">
        <f t="shared" si="225"/>
        <v>0</v>
      </c>
      <c r="AL495" s="156">
        <f t="shared" si="225"/>
        <v>0</v>
      </c>
      <c r="AM495" s="156">
        <f t="shared" si="225"/>
        <v>0</v>
      </c>
      <c r="AN495" s="156">
        <f t="shared" si="225"/>
        <v>0</v>
      </c>
      <c r="AO495" s="156">
        <f t="shared" si="225"/>
        <v>0</v>
      </c>
      <c r="AP495" s="156">
        <f t="shared" si="225"/>
        <v>0</v>
      </c>
    </row>
    <row r="496" spans="1:42" x14ac:dyDescent="0.4">
      <c r="A496" s="4">
        <f>A495+1</f>
        <v>9</v>
      </c>
      <c r="C496" s="156">
        <f t="shared" ref="C496:AP496" si="226">C357</f>
        <v>0</v>
      </c>
      <c r="D496" s="156">
        <f t="shared" si="226"/>
        <v>0</v>
      </c>
      <c r="E496" s="156">
        <f t="shared" si="226"/>
        <v>0</v>
      </c>
      <c r="F496" s="156">
        <f t="shared" si="226"/>
        <v>0</v>
      </c>
      <c r="G496" s="156">
        <f t="shared" si="226"/>
        <v>0</v>
      </c>
      <c r="H496" s="156">
        <f t="shared" si="226"/>
        <v>0</v>
      </c>
      <c r="I496" s="156">
        <f t="shared" si="226"/>
        <v>0</v>
      </c>
      <c r="J496" s="156">
        <f t="shared" si="226"/>
        <v>0</v>
      </c>
      <c r="K496" s="156">
        <f t="shared" si="226"/>
        <v>0</v>
      </c>
      <c r="L496" s="156">
        <f t="shared" si="226"/>
        <v>0</v>
      </c>
      <c r="M496" s="156">
        <f t="shared" si="226"/>
        <v>0</v>
      </c>
      <c r="N496" s="156">
        <f t="shared" si="226"/>
        <v>0</v>
      </c>
      <c r="O496" s="156">
        <f t="shared" si="226"/>
        <v>0</v>
      </c>
      <c r="P496" s="156">
        <f t="shared" si="226"/>
        <v>0</v>
      </c>
      <c r="Q496" s="156">
        <f t="shared" si="226"/>
        <v>0</v>
      </c>
      <c r="R496" s="156">
        <f t="shared" si="226"/>
        <v>0</v>
      </c>
      <c r="S496" s="156">
        <f t="shared" si="226"/>
        <v>0</v>
      </c>
      <c r="T496" s="156">
        <f t="shared" si="226"/>
        <v>0</v>
      </c>
      <c r="U496" s="156">
        <f t="shared" si="226"/>
        <v>0</v>
      </c>
      <c r="V496" s="156">
        <f t="shared" si="226"/>
        <v>0</v>
      </c>
      <c r="W496" s="156">
        <f t="shared" si="226"/>
        <v>0</v>
      </c>
      <c r="X496" s="156">
        <f t="shared" si="226"/>
        <v>0</v>
      </c>
      <c r="Y496" s="156">
        <f t="shared" si="226"/>
        <v>0</v>
      </c>
      <c r="Z496" s="156">
        <f t="shared" si="226"/>
        <v>0</v>
      </c>
      <c r="AA496" s="156">
        <f t="shared" si="226"/>
        <v>0</v>
      </c>
      <c r="AB496" s="156">
        <f t="shared" si="226"/>
        <v>0</v>
      </c>
      <c r="AC496" s="156">
        <f t="shared" si="226"/>
        <v>0</v>
      </c>
      <c r="AD496" s="156">
        <f t="shared" si="226"/>
        <v>0</v>
      </c>
      <c r="AE496" s="156">
        <f t="shared" si="226"/>
        <v>0</v>
      </c>
      <c r="AF496" s="156">
        <f t="shared" si="226"/>
        <v>0</v>
      </c>
      <c r="AG496" s="156">
        <f t="shared" si="226"/>
        <v>0</v>
      </c>
      <c r="AH496" s="156">
        <f t="shared" si="226"/>
        <v>0</v>
      </c>
      <c r="AI496" s="156">
        <f t="shared" si="226"/>
        <v>0</v>
      </c>
      <c r="AJ496" s="156">
        <f t="shared" si="226"/>
        <v>0</v>
      </c>
      <c r="AK496" s="156">
        <f t="shared" si="226"/>
        <v>0</v>
      </c>
      <c r="AL496" s="156">
        <f t="shared" si="226"/>
        <v>0</v>
      </c>
      <c r="AM496" s="156">
        <f t="shared" si="226"/>
        <v>0</v>
      </c>
      <c r="AN496" s="156">
        <f t="shared" si="226"/>
        <v>0</v>
      </c>
      <c r="AO496" s="156">
        <f t="shared" si="226"/>
        <v>0</v>
      </c>
      <c r="AP496" s="156">
        <f t="shared" si="226"/>
        <v>0</v>
      </c>
    </row>
    <row r="497" spans="1:42" x14ac:dyDescent="0.4">
      <c r="A497" s="4">
        <f t="shared" ref="A497" si="227">A496+1</f>
        <v>10</v>
      </c>
      <c r="C497" s="156">
        <f t="shared" ref="C497:AP497" si="228">C358</f>
        <v>0</v>
      </c>
      <c r="D497" s="156">
        <f t="shared" si="228"/>
        <v>0</v>
      </c>
      <c r="E497" s="156">
        <f t="shared" si="228"/>
        <v>0</v>
      </c>
      <c r="F497" s="156">
        <f t="shared" si="228"/>
        <v>0</v>
      </c>
      <c r="G497" s="156">
        <f t="shared" si="228"/>
        <v>0</v>
      </c>
      <c r="H497" s="156">
        <f t="shared" si="228"/>
        <v>0</v>
      </c>
      <c r="I497" s="156">
        <f t="shared" si="228"/>
        <v>0</v>
      </c>
      <c r="J497" s="156">
        <f t="shared" si="228"/>
        <v>0</v>
      </c>
      <c r="K497" s="156">
        <f t="shared" si="228"/>
        <v>0</v>
      </c>
      <c r="L497" s="156">
        <f t="shared" si="228"/>
        <v>0</v>
      </c>
      <c r="M497" s="156">
        <f t="shared" si="228"/>
        <v>0</v>
      </c>
      <c r="N497" s="156">
        <f t="shared" si="228"/>
        <v>0</v>
      </c>
      <c r="O497" s="156">
        <f t="shared" si="228"/>
        <v>0</v>
      </c>
      <c r="P497" s="156">
        <f t="shared" si="228"/>
        <v>0</v>
      </c>
      <c r="Q497" s="156">
        <f t="shared" si="228"/>
        <v>0</v>
      </c>
      <c r="R497" s="156">
        <f t="shared" si="228"/>
        <v>0</v>
      </c>
      <c r="S497" s="156">
        <f t="shared" si="228"/>
        <v>0</v>
      </c>
      <c r="T497" s="156">
        <f t="shared" si="228"/>
        <v>0</v>
      </c>
      <c r="U497" s="156">
        <f t="shared" si="228"/>
        <v>0</v>
      </c>
      <c r="V497" s="156">
        <f t="shared" si="228"/>
        <v>0</v>
      </c>
      <c r="W497" s="156">
        <f t="shared" si="228"/>
        <v>0</v>
      </c>
      <c r="X497" s="156">
        <f t="shared" si="228"/>
        <v>0</v>
      </c>
      <c r="Y497" s="156">
        <f t="shared" si="228"/>
        <v>0</v>
      </c>
      <c r="Z497" s="156">
        <f t="shared" si="228"/>
        <v>0</v>
      </c>
      <c r="AA497" s="156">
        <f t="shared" si="228"/>
        <v>0</v>
      </c>
      <c r="AB497" s="156">
        <f t="shared" si="228"/>
        <v>0</v>
      </c>
      <c r="AC497" s="156">
        <f t="shared" si="228"/>
        <v>0</v>
      </c>
      <c r="AD497" s="156">
        <f t="shared" si="228"/>
        <v>0</v>
      </c>
      <c r="AE497" s="156">
        <f t="shared" si="228"/>
        <v>0</v>
      </c>
      <c r="AF497" s="156">
        <f t="shared" si="228"/>
        <v>0</v>
      </c>
      <c r="AG497" s="156">
        <f t="shared" si="228"/>
        <v>0</v>
      </c>
      <c r="AH497" s="156">
        <f t="shared" si="228"/>
        <v>0</v>
      </c>
      <c r="AI497" s="156">
        <f t="shared" si="228"/>
        <v>0</v>
      </c>
      <c r="AJ497" s="156">
        <f t="shared" si="228"/>
        <v>0</v>
      </c>
      <c r="AK497" s="156">
        <f t="shared" si="228"/>
        <v>0</v>
      </c>
      <c r="AL497" s="156">
        <f t="shared" si="228"/>
        <v>0</v>
      </c>
      <c r="AM497" s="156">
        <f t="shared" si="228"/>
        <v>0</v>
      </c>
      <c r="AN497" s="156">
        <f t="shared" si="228"/>
        <v>0</v>
      </c>
      <c r="AO497" s="156">
        <f t="shared" si="228"/>
        <v>0</v>
      </c>
      <c r="AP497" s="156">
        <f t="shared" si="228"/>
        <v>0</v>
      </c>
    </row>
    <row r="498" spans="1:42" x14ac:dyDescent="0.4">
      <c r="A498" s="21"/>
      <c r="C498" s="156"/>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row>
    <row r="499" spans="1:42" x14ac:dyDescent="0.4">
      <c r="A499" s="87" t="s">
        <v>3</v>
      </c>
      <c r="C499" s="156"/>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row>
    <row r="500" spans="1:42" x14ac:dyDescent="0.4">
      <c r="A500" s="4">
        <v>1</v>
      </c>
      <c r="B500" s="146">
        <f t="shared" ref="B500:B509" si="229">SUM(C500:AP500)</f>
        <v>0</v>
      </c>
      <c r="C500" s="156">
        <f t="shared" ref="C500:AP500" si="230">LOOKUP(C488,$B$457:$AP$457,$B$458:$AP$458)*$B693/100</f>
        <v>0</v>
      </c>
      <c r="D500" s="156">
        <f t="shared" si="230"/>
        <v>0</v>
      </c>
      <c r="E500" s="156">
        <f t="shared" si="230"/>
        <v>0</v>
      </c>
      <c r="F500" s="156">
        <f t="shared" si="230"/>
        <v>0</v>
      </c>
      <c r="G500" s="156">
        <f t="shared" si="230"/>
        <v>0</v>
      </c>
      <c r="H500" s="156">
        <f t="shared" si="230"/>
        <v>0</v>
      </c>
      <c r="I500" s="156">
        <f t="shared" si="230"/>
        <v>0</v>
      </c>
      <c r="J500" s="156">
        <f t="shared" si="230"/>
        <v>0</v>
      </c>
      <c r="K500" s="156">
        <f t="shared" si="230"/>
        <v>0</v>
      </c>
      <c r="L500" s="156">
        <f t="shared" si="230"/>
        <v>0</v>
      </c>
      <c r="M500" s="156">
        <f t="shared" si="230"/>
        <v>0</v>
      </c>
      <c r="N500" s="156">
        <f t="shared" si="230"/>
        <v>0</v>
      </c>
      <c r="O500" s="156">
        <f t="shared" si="230"/>
        <v>0</v>
      </c>
      <c r="P500" s="156">
        <f t="shared" si="230"/>
        <v>0</v>
      </c>
      <c r="Q500" s="156">
        <f t="shared" si="230"/>
        <v>0</v>
      </c>
      <c r="R500" s="156">
        <f t="shared" si="230"/>
        <v>0</v>
      </c>
      <c r="S500" s="156">
        <f t="shared" si="230"/>
        <v>0</v>
      </c>
      <c r="T500" s="156">
        <f t="shared" si="230"/>
        <v>0</v>
      </c>
      <c r="U500" s="156">
        <f t="shared" si="230"/>
        <v>0</v>
      </c>
      <c r="V500" s="156">
        <f t="shared" si="230"/>
        <v>0</v>
      </c>
      <c r="W500" s="156">
        <f t="shared" si="230"/>
        <v>0</v>
      </c>
      <c r="X500" s="156">
        <f t="shared" si="230"/>
        <v>0</v>
      </c>
      <c r="Y500" s="156">
        <f t="shared" si="230"/>
        <v>0</v>
      </c>
      <c r="Z500" s="156">
        <f t="shared" si="230"/>
        <v>0</v>
      </c>
      <c r="AA500" s="156">
        <f t="shared" si="230"/>
        <v>0</v>
      </c>
      <c r="AB500" s="156">
        <f t="shared" si="230"/>
        <v>0</v>
      </c>
      <c r="AC500" s="156">
        <f t="shared" si="230"/>
        <v>0</v>
      </c>
      <c r="AD500" s="156">
        <f t="shared" si="230"/>
        <v>0</v>
      </c>
      <c r="AE500" s="156">
        <f t="shared" si="230"/>
        <v>0</v>
      </c>
      <c r="AF500" s="156">
        <f t="shared" si="230"/>
        <v>0</v>
      </c>
      <c r="AG500" s="156">
        <f t="shared" si="230"/>
        <v>0</v>
      </c>
      <c r="AH500" s="156">
        <f t="shared" si="230"/>
        <v>0</v>
      </c>
      <c r="AI500" s="156">
        <f t="shared" si="230"/>
        <v>0</v>
      </c>
      <c r="AJ500" s="156">
        <f t="shared" si="230"/>
        <v>0</v>
      </c>
      <c r="AK500" s="156">
        <f t="shared" si="230"/>
        <v>0</v>
      </c>
      <c r="AL500" s="156">
        <f t="shared" si="230"/>
        <v>0</v>
      </c>
      <c r="AM500" s="156">
        <f t="shared" si="230"/>
        <v>0</v>
      </c>
      <c r="AN500" s="156">
        <f t="shared" si="230"/>
        <v>0</v>
      </c>
      <c r="AO500" s="156">
        <f t="shared" si="230"/>
        <v>0</v>
      </c>
      <c r="AP500" s="156">
        <f t="shared" si="230"/>
        <v>0</v>
      </c>
    </row>
    <row r="501" spans="1:42" x14ac:dyDescent="0.4">
      <c r="A501" s="4">
        <f>A500+1</f>
        <v>2</v>
      </c>
      <c r="B501" s="146">
        <f t="shared" si="229"/>
        <v>0</v>
      </c>
      <c r="C501" s="156">
        <f t="shared" ref="C501:AP501" si="231">LOOKUP(C489,$B$457:$AP$457,$B$458:$AP$458)*$B694/100</f>
        <v>0</v>
      </c>
      <c r="D501" s="156">
        <f t="shared" si="231"/>
        <v>0</v>
      </c>
      <c r="E501" s="156">
        <f t="shared" si="231"/>
        <v>0</v>
      </c>
      <c r="F501" s="156">
        <f t="shared" si="231"/>
        <v>0</v>
      </c>
      <c r="G501" s="156">
        <f t="shared" si="231"/>
        <v>0</v>
      </c>
      <c r="H501" s="156">
        <f t="shared" si="231"/>
        <v>0</v>
      </c>
      <c r="I501" s="156">
        <f t="shared" si="231"/>
        <v>0</v>
      </c>
      <c r="J501" s="156">
        <f t="shared" si="231"/>
        <v>0</v>
      </c>
      <c r="K501" s="156">
        <f t="shared" si="231"/>
        <v>0</v>
      </c>
      <c r="L501" s="156">
        <f t="shared" si="231"/>
        <v>0</v>
      </c>
      <c r="M501" s="156">
        <f t="shared" si="231"/>
        <v>0</v>
      </c>
      <c r="N501" s="156">
        <f t="shared" si="231"/>
        <v>0</v>
      </c>
      <c r="O501" s="156">
        <f t="shared" si="231"/>
        <v>0</v>
      </c>
      <c r="P501" s="156">
        <f t="shared" si="231"/>
        <v>0</v>
      </c>
      <c r="Q501" s="156">
        <f t="shared" si="231"/>
        <v>0</v>
      </c>
      <c r="R501" s="156">
        <f t="shared" si="231"/>
        <v>0</v>
      </c>
      <c r="S501" s="156">
        <f t="shared" si="231"/>
        <v>0</v>
      </c>
      <c r="T501" s="156">
        <f t="shared" si="231"/>
        <v>0</v>
      </c>
      <c r="U501" s="156">
        <f t="shared" si="231"/>
        <v>0</v>
      </c>
      <c r="V501" s="156">
        <f t="shared" si="231"/>
        <v>0</v>
      </c>
      <c r="W501" s="156">
        <f t="shared" si="231"/>
        <v>0</v>
      </c>
      <c r="X501" s="156">
        <f t="shared" si="231"/>
        <v>0</v>
      </c>
      <c r="Y501" s="156">
        <f t="shared" si="231"/>
        <v>0</v>
      </c>
      <c r="Z501" s="156">
        <f t="shared" si="231"/>
        <v>0</v>
      </c>
      <c r="AA501" s="156">
        <f t="shared" si="231"/>
        <v>0</v>
      </c>
      <c r="AB501" s="156">
        <f t="shared" si="231"/>
        <v>0</v>
      </c>
      <c r="AC501" s="156">
        <f t="shared" si="231"/>
        <v>0</v>
      </c>
      <c r="AD501" s="156">
        <f t="shared" si="231"/>
        <v>0</v>
      </c>
      <c r="AE501" s="156">
        <f t="shared" si="231"/>
        <v>0</v>
      </c>
      <c r="AF501" s="156">
        <f t="shared" si="231"/>
        <v>0</v>
      </c>
      <c r="AG501" s="156">
        <f t="shared" si="231"/>
        <v>0</v>
      </c>
      <c r="AH501" s="156">
        <f t="shared" si="231"/>
        <v>0</v>
      </c>
      <c r="AI501" s="156">
        <f t="shared" si="231"/>
        <v>0</v>
      </c>
      <c r="AJ501" s="156">
        <f t="shared" si="231"/>
        <v>0</v>
      </c>
      <c r="AK501" s="156">
        <f t="shared" si="231"/>
        <v>0</v>
      </c>
      <c r="AL501" s="156">
        <f t="shared" si="231"/>
        <v>0</v>
      </c>
      <c r="AM501" s="156">
        <f t="shared" si="231"/>
        <v>0</v>
      </c>
      <c r="AN501" s="156">
        <f t="shared" si="231"/>
        <v>0</v>
      </c>
      <c r="AO501" s="156">
        <f t="shared" si="231"/>
        <v>0</v>
      </c>
      <c r="AP501" s="156">
        <f t="shared" si="231"/>
        <v>0</v>
      </c>
    </row>
    <row r="502" spans="1:42" x14ac:dyDescent="0.4">
      <c r="A502" s="4">
        <f t="shared" ref="A502:A507" si="232">A501+1</f>
        <v>3</v>
      </c>
      <c r="B502" s="146">
        <f t="shared" si="229"/>
        <v>0</v>
      </c>
      <c r="C502" s="156">
        <f t="shared" ref="C502:AP502" si="233">LOOKUP(C490,$B$457:$AP$457,$B$458:$AP$458)*$B695/100</f>
        <v>0</v>
      </c>
      <c r="D502" s="156">
        <f t="shared" si="233"/>
        <v>0</v>
      </c>
      <c r="E502" s="156">
        <f t="shared" si="233"/>
        <v>0</v>
      </c>
      <c r="F502" s="156">
        <f t="shared" si="233"/>
        <v>0</v>
      </c>
      <c r="G502" s="156">
        <f t="shared" si="233"/>
        <v>0</v>
      </c>
      <c r="H502" s="156">
        <f t="shared" si="233"/>
        <v>0</v>
      </c>
      <c r="I502" s="156">
        <f t="shared" si="233"/>
        <v>0</v>
      </c>
      <c r="J502" s="156">
        <f t="shared" si="233"/>
        <v>0</v>
      </c>
      <c r="K502" s="156">
        <f t="shared" si="233"/>
        <v>0</v>
      </c>
      <c r="L502" s="156">
        <f t="shared" si="233"/>
        <v>0</v>
      </c>
      <c r="M502" s="156">
        <f t="shared" si="233"/>
        <v>0</v>
      </c>
      <c r="N502" s="156">
        <f t="shared" si="233"/>
        <v>0</v>
      </c>
      <c r="O502" s="156">
        <f t="shared" si="233"/>
        <v>0</v>
      </c>
      <c r="P502" s="156">
        <f t="shared" si="233"/>
        <v>0</v>
      </c>
      <c r="Q502" s="156">
        <f t="shared" si="233"/>
        <v>0</v>
      </c>
      <c r="R502" s="156">
        <f t="shared" si="233"/>
        <v>0</v>
      </c>
      <c r="S502" s="156">
        <f t="shared" si="233"/>
        <v>0</v>
      </c>
      <c r="T502" s="156">
        <f t="shared" si="233"/>
        <v>0</v>
      </c>
      <c r="U502" s="156">
        <f t="shared" si="233"/>
        <v>0</v>
      </c>
      <c r="V502" s="156">
        <f t="shared" si="233"/>
        <v>0</v>
      </c>
      <c r="W502" s="156">
        <f t="shared" si="233"/>
        <v>0</v>
      </c>
      <c r="X502" s="156">
        <f t="shared" si="233"/>
        <v>0</v>
      </c>
      <c r="Y502" s="156">
        <f t="shared" si="233"/>
        <v>0</v>
      </c>
      <c r="Z502" s="156">
        <f t="shared" si="233"/>
        <v>0</v>
      </c>
      <c r="AA502" s="156">
        <f t="shared" si="233"/>
        <v>0</v>
      </c>
      <c r="AB502" s="156">
        <f t="shared" si="233"/>
        <v>0</v>
      </c>
      <c r="AC502" s="156">
        <f t="shared" si="233"/>
        <v>0</v>
      </c>
      <c r="AD502" s="156">
        <f t="shared" si="233"/>
        <v>0</v>
      </c>
      <c r="AE502" s="156">
        <f t="shared" si="233"/>
        <v>0</v>
      </c>
      <c r="AF502" s="156">
        <f t="shared" si="233"/>
        <v>0</v>
      </c>
      <c r="AG502" s="156">
        <f t="shared" si="233"/>
        <v>0</v>
      </c>
      <c r="AH502" s="156">
        <f t="shared" si="233"/>
        <v>0</v>
      </c>
      <c r="AI502" s="156">
        <f t="shared" si="233"/>
        <v>0</v>
      </c>
      <c r="AJ502" s="156">
        <f t="shared" si="233"/>
        <v>0</v>
      </c>
      <c r="AK502" s="156">
        <f t="shared" si="233"/>
        <v>0</v>
      </c>
      <c r="AL502" s="156">
        <f t="shared" si="233"/>
        <v>0</v>
      </c>
      <c r="AM502" s="156">
        <f t="shared" si="233"/>
        <v>0</v>
      </c>
      <c r="AN502" s="156">
        <f t="shared" si="233"/>
        <v>0</v>
      </c>
      <c r="AO502" s="156">
        <f t="shared" si="233"/>
        <v>0</v>
      </c>
      <c r="AP502" s="156">
        <f t="shared" si="233"/>
        <v>0</v>
      </c>
    </row>
    <row r="503" spans="1:42" x14ac:dyDescent="0.4">
      <c r="A503" s="4">
        <f t="shared" si="232"/>
        <v>4</v>
      </c>
      <c r="B503" s="146">
        <f t="shared" si="229"/>
        <v>0</v>
      </c>
      <c r="C503" s="156">
        <f t="shared" ref="C503:AP503" si="234">LOOKUP(C491,$B$457:$AP$457,$B$458:$AP$458)*$B696/100</f>
        <v>0</v>
      </c>
      <c r="D503" s="156">
        <f t="shared" si="234"/>
        <v>0</v>
      </c>
      <c r="E503" s="156">
        <f t="shared" si="234"/>
        <v>0</v>
      </c>
      <c r="F503" s="156">
        <f t="shared" si="234"/>
        <v>0</v>
      </c>
      <c r="G503" s="156">
        <f t="shared" si="234"/>
        <v>0</v>
      </c>
      <c r="H503" s="156">
        <f t="shared" si="234"/>
        <v>0</v>
      </c>
      <c r="I503" s="156">
        <f t="shared" si="234"/>
        <v>0</v>
      </c>
      <c r="J503" s="156">
        <f t="shared" si="234"/>
        <v>0</v>
      </c>
      <c r="K503" s="156">
        <f t="shared" si="234"/>
        <v>0</v>
      </c>
      <c r="L503" s="156">
        <f t="shared" si="234"/>
        <v>0</v>
      </c>
      <c r="M503" s="156">
        <f t="shared" si="234"/>
        <v>0</v>
      </c>
      <c r="N503" s="156">
        <f t="shared" si="234"/>
        <v>0</v>
      </c>
      <c r="O503" s="156">
        <f t="shared" si="234"/>
        <v>0</v>
      </c>
      <c r="P503" s="156">
        <f t="shared" si="234"/>
        <v>0</v>
      </c>
      <c r="Q503" s="156">
        <f t="shared" si="234"/>
        <v>0</v>
      </c>
      <c r="R503" s="156">
        <f t="shared" si="234"/>
        <v>0</v>
      </c>
      <c r="S503" s="156">
        <f t="shared" si="234"/>
        <v>0</v>
      </c>
      <c r="T503" s="156">
        <f t="shared" si="234"/>
        <v>0</v>
      </c>
      <c r="U503" s="156">
        <f t="shared" si="234"/>
        <v>0</v>
      </c>
      <c r="V503" s="156">
        <f t="shared" si="234"/>
        <v>0</v>
      </c>
      <c r="W503" s="156">
        <f t="shared" si="234"/>
        <v>0</v>
      </c>
      <c r="X503" s="156">
        <f t="shared" si="234"/>
        <v>0</v>
      </c>
      <c r="Y503" s="156">
        <f t="shared" si="234"/>
        <v>0</v>
      </c>
      <c r="Z503" s="156">
        <f t="shared" si="234"/>
        <v>0</v>
      </c>
      <c r="AA503" s="156">
        <f t="shared" si="234"/>
        <v>0</v>
      </c>
      <c r="AB503" s="156">
        <f t="shared" si="234"/>
        <v>0</v>
      </c>
      <c r="AC503" s="156">
        <f t="shared" si="234"/>
        <v>0</v>
      </c>
      <c r="AD503" s="156">
        <f t="shared" si="234"/>
        <v>0</v>
      </c>
      <c r="AE503" s="156">
        <f t="shared" si="234"/>
        <v>0</v>
      </c>
      <c r="AF503" s="156">
        <f t="shared" si="234"/>
        <v>0</v>
      </c>
      <c r="AG503" s="156">
        <f t="shared" si="234"/>
        <v>0</v>
      </c>
      <c r="AH503" s="156">
        <f t="shared" si="234"/>
        <v>0</v>
      </c>
      <c r="AI503" s="156">
        <f t="shared" si="234"/>
        <v>0</v>
      </c>
      <c r="AJ503" s="156">
        <f t="shared" si="234"/>
        <v>0</v>
      </c>
      <c r="AK503" s="156">
        <f t="shared" si="234"/>
        <v>0</v>
      </c>
      <c r="AL503" s="156">
        <f t="shared" si="234"/>
        <v>0</v>
      </c>
      <c r="AM503" s="156">
        <f t="shared" si="234"/>
        <v>0</v>
      </c>
      <c r="AN503" s="156">
        <f t="shared" si="234"/>
        <v>0</v>
      </c>
      <c r="AO503" s="156">
        <f t="shared" si="234"/>
        <v>0</v>
      </c>
      <c r="AP503" s="156">
        <f t="shared" si="234"/>
        <v>0</v>
      </c>
    </row>
    <row r="504" spans="1:42" x14ac:dyDescent="0.4">
      <c r="A504" s="4">
        <f t="shared" si="232"/>
        <v>5</v>
      </c>
      <c r="B504" s="146">
        <f t="shared" si="229"/>
        <v>0</v>
      </c>
      <c r="C504" s="156">
        <f t="shared" ref="C504:AP504" si="235">LOOKUP(C492,$B$457:$AP$457,$B$458:$AP$458)*$B697/100</f>
        <v>0</v>
      </c>
      <c r="D504" s="156">
        <f t="shared" si="235"/>
        <v>0</v>
      </c>
      <c r="E504" s="156">
        <f t="shared" si="235"/>
        <v>0</v>
      </c>
      <c r="F504" s="156">
        <f t="shared" si="235"/>
        <v>0</v>
      </c>
      <c r="G504" s="156">
        <f t="shared" si="235"/>
        <v>0</v>
      </c>
      <c r="H504" s="156">
        <f t="shared" si="235"/>
        <v>0</v>
      </c>
      <c r="I504" s="156">
        <f t="shared" si="235"/>
        <v>0</v>
      </c>
      <c r="J504" s="156">
        <f t="shared" si="235"/>
        <v>0</v>
      </c>
      <c r="K504" s="156">
        <f t="shared" si="235"/>
        <v>0</v>
      </c>
      <c r="L504" s="156">
        <f t="shared" si="235"/>
        <v>0</v>
      </c>
      <c r="M504" s="156">
        <f t="shared" si="235"/>
        <v>0</v>
      </c>
      <c r="N504" s="156">
        <f t="shared" si="235"/>
        <v>0</v>
      </c>
      <c r="O504" s="156">
        <f t="shared" si="235"/>
        <v>0</v>
      </c>
      <c r="P504" s="156">
        <f t="shared" si="235"/>
        <v>0</v>
      </c>
      <c r="Q504" s="156">
        <f t="shared" si="235"/>
        <v>0</v>
      </c>
      <c r="R504" s="156">
        <f t="shared" si="235"/>
        <v>0</v>
      </c>
      <c r="S504" s="156">
        <f t="shared" si="235"/>
        <v>0</v>
      </c>
      <c r="T504" s="156">
        <f t="shared" si="235"/>
        <v>0</v>
      </c>
      <c r="U504" s="156">
        <f t="shared" si="235"/>
        <v>0</v>
      </c>
      <c r="V504" s="156">
        <f t="shared" si="235"/>
        <v>0</v>
      </c>
      <c r="W504" s="156">
        <f t="shared" si="235"/>
        <v>0</v>
      </c>
      <c r="X504" s="156">
        <f t="shared" si="235"/>
        <v>0</v>
      </c>
      <c r="Y504" s="156">
        <f t="shared" si="235"/>
        <v>0</v>
      </c>
      <c r="Z504" s="156">
        <f t="shared" si="235"/>
        <v>0</v>
      </c>
      <c r="AA504" s="156">
        <f t="shared" si="235"/>
        <v>0</v>
      </c>
      <c r="AB504" s="156">
        <f t="shared" si="235"/>
        <v>0</v>
      </c>
      <c r="AC504" s="156">
        <f t="shared" si="235"/>
        <v>0</v>
      </c>
      <c r="AD504" s="156">
        <f t="shared" si="235"/>
        <v>0</v>
      </c>
      <c r="AE504" s="156">
        <f t="shared" si="235"/>
        <v>0</v>
      </c>
      <c r="AF504" s="156">
        <f t="shared" si="235"/>
        <v>0</v>
      </c>
      <c r="AG504" s="156">
        <f t="shared" si="235"/>
        <v>0</v>
      </c>
      <c r="AH504" s="156">
        <f t="shared" si="235"/>
        <v>0</v>
      </c>
      <c r="AI504" s="156">
        <f t="shared" si="235"/>
        <v>0</v>
      </c>
      <c r="AJ504" s="156">
        <f t="shared" si="235"/>
        <v>0</v>
      </c>
      <c r="AK504" s="156">
        <f t="shared" si="235"/>
        <v>0</v>
      </c>
      <c r="AL504" s="156">
        <f t="shared" si="235"/>
        <v>0</v>
      </c>
      <c r="AM504" s="156">
        <f t="shared" si="235"/>
        <v>0</v>
      </c>
      <c r="AN504" s="156">
        <f t="shared" si="235"/>
        <v>0</v>
      </c>
      <c r="AO504" s="156">
        <f t="shared" si="235"/>
        <v>0</v>
      </c>
      <c r="AP504" s="156">
        <f t="shared" si="235"/>
        <v>0</v>
      </c>
    </row>
    <row r="505" spans="1:42" x14ac:dyDescent="0.4">
      <c r="A505" s="4">
        <f t="shared" si="232"/>
        <v>6</v>
      </c>
      <c r="B505" s="146">
        <f t="shared" si="229"/>
        <v>0</v>
      </c>
      <c r="C505" s="156">
        <f t="shared" ref="C505:AP505" si="236">LOOKUP(C493,$B$457:$AP$457,$B$458:$AP$458)*$B698/100</f>
        <v>0</v>
      </c>
      <c r="D505" s="156">
        <f t="shared" si="236"/>
        <v>0</v>
      </c>
      <c r="E505" s="156">
        <f t="shared" si="236"/>
        <v>0</v>
      </c>
      <c r="F505" s="156">
        <f t="shared" si="236"/>
        <v>0</v>
      </c>
      <c r="G505" s="156">
        <f t="shared" si="236"/>
        <v>0</v>
      </c>
      <c r="H505" s="156">
        <f t="shared" si="236"/>
        <v>0</v>
      </c>
      <c r="I505" s="156">
        <f t="shared" si="236"/>
        <v>0</v>
      </c>
      <c r="J505" s="156">
        <f t="shared" si="236"/>
        <v>0</v>
      </c>
      <c r="K505" s="156">
        <f t="shared" si="236"/>
        <v>0</v>
      </c>
      <c r="L505" s="156">
        <f t="shared" si="236"/>
        <v>0</v>
      </c>
      <c r="M505" s="156">
        <f t="shared" si="236"/>
        <v>0</v>
      </c>
      <c r="N505" s="156">
        <f t="shared" si="236"/>
        <v>0</v>
      </c>
      <c r="O505" s="156">
        <f t="shared" si="236"/>
        <v>0</v>
      </c>
      <c r="P505" s="156">
        <f t="shared" si="236"/>
        <v>0</v>
      </c>
      <c r="Q505" s="156">
        <f t="shared" si="236"/>
        <v>0</v>
      </c>
      <c r="R505" s="156">
        <f t="shared" si="236"/>
        <v>0</v>
      </c>
      <c r="S505" s="156">
        <f t="shared" si="236"/>
        <v>0</v>
      </c>
      <c r="T505" s="156">
        <f t="shared" si="236"/>
        <v>0</v>
      </c>
      <c r="U505" s="156">
        <f t="shared" si="236"/>
        <v>0</v>
      </c>
      <c r="V505" s="156">
        <f t="shared" si="236"/>
        <v>0</v>
      </c>
      <c r="W505" s="156">
        <f t="shared" si="236"/>
        <v>0</v>
      </c>
      <c r="X505" s="156">
        <f t="shared" si="236"/>
        <v>0</v>
      </c>
      <c r="Y505" s="156">
        <f t="shared" si="236"/>
        <v>0</v>
      </c>
      <c r="Z505" s="156">
        <f t="shared" si="236"/>
        <v>0</v>
      </c>
      <c r="AA505" s="156">
        <f t="shared" si="236"/>
        <v>0</v>
      </c>
      <c r="AB505" s="156">
        <f t="shared" si="236"/>
        <v>0</v>
      </c>
      <c r="AC505" s="156">
        <f t="shared" si="236"/>
        <v>0</v>
      </c>
      <c r="AD505" s="156">
        <f t="shared" si="236"/>
        <v>0</v>
      </c>
      <c r="AE505" s="156">
        <f t="shared" si="236"/>
        <v>0</v>
      </c>
      <c r="AF505" s="156">
        <f t="shared" si="236"/>
        <v>0</v>
      </c>
      <c r="AG505" s="156">
        <f t="shared" si="236"/>
        <v>0</v>
      </c>
      <c r="AH505" s="156">
        <f t="shared" si="236"/>
        <v>0</v>
      </c>
      <c r="AI505" s="156">
        <f t="shared" si="236"/>
        <v>0</v>
      </c>
      <c r="AJ505" s="156">
        <f t="shared" si="236"/>
        <v>0</v>
      </c>
      <c r="AK505" s="156">
        <f t="shared" si="236"/>
        <v>0</v>
      </c>
      <c r="AL505" s="156">
        <f t="shared" si="236"/>
        <v>0</v>
      </c>
      <c r="AM505" s="156">
        <f t="shared" si="236"/>
        <v>0</v>
      </c>
      <c r="AN505" s="156">
        <f t="shared" si="236"/>
        <v>0</v>
      </c>
      <c r="AO505" s="156">
        <f t="shared" si="236"/>
        <v>0</v>
      </c>
      <c r="AP505" s="156">
        <f t="shared" si="236"/>
        <v>0</v>
      </c>
    </row>
    <row r="506" spans="1:42" x14ac:dyDescent="0.4">
      <c r="A506" s="4">
        <f t="shared" si="232"/>
        <v>7</v>
      </c>
      <c r="B506" s="146">
        <f t="shared" si="229"/>
        <v>0</v>
      </c>
      <c r="C506" s="156">
        <f t="shared" ref="C506:AP506" si="237">LOOKUP(C494,$B$457:$AP$457,$B$458:$AP$458)*$B699/100</f>
        <v>0</v>
      </c>
      <c r="D506" s="156">
        <f t="shared" si="237"/>
        <v>0</v>
      </c>
      <c r="E506" s="156">
        <f t="shared" si="237"/>
        <v>0</v>
      </c>
      <c r="F506" s="156">
        <f t="shared" si="237"/>
        <v>0</v>
      </c>
      <c r="G506" s="156">
        <f t="shared" si="237"/>
        <v>0</v>
      </c>
      <c r="H506" s="156">
        <f t="shared" si="237"/>
        <v>0</v>
      </c>
      <c r="I506" s="156">
        <f t="shared" si="237"/>
        <v>0</v>
      </c>
      <c r="J506" s="156">
        <f t="shared" si="237"/>
        <v>0</v>
      </c>
      <c r="K506" s="156">
        <f t="shared" si="237"/>
        <v>0</v>
      </c>
      <c r="L506" s="156">
        <f t="shared" si="237"/>
        <v>0</v>
      </c>
      <c r="M506" s="156">
        <f t="shared" si="237"/>
        <v>0</v>
      </c>
      <c r="N506" s="156">
        <f t="shared" si="237"/>
        <v>0</v>
      </c>
      <c r="O506" s="156">
        <f t="shared" si="237"/>
        <v>0</v>
      </c>
      <c r="P506" s="156">
        <f t="shared" si="237"/>
        <v>0</v>
      </c>
      <c r="Q506" s="156">
        <f t="shared" si="237"/>
        <v>0</v>
      </c>
      <c r="R506" s="156">
        <f t="shared" si="237"/>
        <v>0</v>
      </c>
      <c r="S506" s="156">
        <f t="shared" si="237"/>
        <v>0</v>
      </c>
      <c r="T506" s="156">
        <f t="shared" si="237"/>
        <v>0</v>
      </c>
      <c r="U506" s="156">
        <f t="shared" si="237"/>
        <v>0</v>
      </c>
      <c r="V506" s="156">
        <f t="shared" si="237"/>
        <v>0</v>
      </c>
      <c r="W506" s="156">
        <f t="shared" si="237"/>
        <v>0</v>
      </c>
      <c r="X506" s="156">
        <f t="shared" si="237"/>
        <v>0</v>
      </c>
      <c r="Y506" s="156">
        <f t="shared" si="237"/>
        <v>0</v>
      </c>
      <c r="Z506" s="156">
        <f t="shared" si="237"/>
        <v>0</v>
      </c>
      <c r="AA506" s="156">
        <f t="shared" si="237"/>
        <v>0</v>
      </c>
      <c r="AB506" s="156">
        <f t="shared" si="237"/>
        <v>0</v>
      </c>
      <c r="AC506" s="156">
        <f t="shared" si="237"/>
        <v>0</v>
      </c>
      <c r="AD506" s="156">
        <f t="shared" si="237"/>
        <v>0</v>
      </c>
      <c r="AE506" s="156">
        <f t="shared" si="237"/>
        <v>0</v>
      </c>
      <c r="AF506" s="156">
        <f t="shared" si="237"/>
        <v>0</v>
      </c>
      <c r="AG506" s="156">
        <f t="shared" si="237"/>
        <v>0</v>
      </c>
      <c r="AH506" s="156">
        <f t="shared" si="237"/>
        <v>0</v>
      </c>
      <c r="AI506" s="156">
        <f t="shared" si="237"/>
        <v>0</v>
      </c>
      <c r="AJ506" s="156">
        <f t="shared" si="237"/>
        <v>0</v>
      </c>
      <c r="AK506" s="156">
        <f t="shared" si="237"/>
        <v>0</v>
      </c>
      <c r="AL506" s="156">
        <f t="shared" si="237"/>
        <v>0</v>
      </c>
      <c r="AM506" s="156">
        <f t="shared" si="237"/>
        <v>0</v>
      </c>
      <c r="AN506" s="156">
        <f t="shared" si="237"/>
        <v>0</v>
      </c>
      <c r="AO506" s="156">
        <f t="shared" si="237"/>
        <v>0</v>
      </c>
      <c r="AP506" s="156">
        <f t="shared" si="237"/>
        <v>0</v>
      </c>
    </row>
    <row r="507" spans="1:42" x14ac:dyDescent="0.4">
      <c r="A507" s="4">
        <f t="shared" si="232"/>
        <v>8</v>
      </c>
      <c r="B507" s="146">
        <f t="shared" si="229"/>
        <v>0</v>
      </c>
      <c r="C507" s="156">
        <f t="shared" ref="C507:AP507" si="238">LOOKUP(C495,$B$457:$AP$457,$B$458:$AP$458)*$B700/100</f>
        <v>0</v>
      </c>
      <c r="D507" s="156">
        <f t="shared" si="238"/>
        <v>0</v>
      </c>
      <c r="E507" s="156">
        <f t="shared" si="238"/>
        <v>0</v>
      </c>
      <c r="F507" s="156">
        <f t="shared" si="238"/>
        <v>0</v>
      </c>
      <c r="G507" s="156">
        <f t="shared" si="238"/>
        <v>0</v>
      </c>
      <c r="H507" s="156">
        <f t="shared" si="238"/>
        <v>0</v>
      </c>
      <c r="I507" s="156">
        <f t="shared" si="238"/>
        <v>0</v>
      </c>
      <c r="J507" s="156">
        <f t="shared" si="238"/>
        <v>0</v>
      </c>
      <c r="K507" s="156">
        <f t="shared" si="238"/>
        <v>0</v>
      </c>
      <c r="L507" s="156">
        <f t="shared" si="238"/>
        <v>0</v>
      </c>
      <c r="M507" s="156">
        <f t="shared" si="238"/>
        <v>0</v>
      </c>
      <c r="N507" s="156">
        <f t="shared" si="238"/>
        <v>0</v>
      </c>
      <c r="O507" s="156">
        <f t="shared" si="238"/>
        <v>0</v>
      </c>
      <c r="P507" s="156">
        <f t="shared" si="238"/>
        <v>0</v>
      </c>
      <c r="Q507" s="156">
        <f t="shared" si="238"/>
        <v>0</v>
      </c>
      <c r="R507" s="156">
        <f t="shared" si="238"/>
        <v>0</v>
      </c>
      <c r="S507" s="156">
        <f t="shared" si="238"/>
        <v>0</v>
      </c>
      <c r="T507" s="156">
        <f t="shared" si="238"/>
        <v>0</v>
      </c>
      <c r="U507" s="156">
        <f t="shared" si="238"/>
        <v>0</v>
      </c>
      <c r="V507" s="156">
        <f t="shared" si="238"/>
        <v>0</v>
      </c>
      <c r="W507" s="156">
        <f t="shared" si="238"/>
        <v>0</v>
      </c>
      <c r="X507" s="156">
        <f t="shared" si="238"/>
        <v>0</v>
      </c>
      <c r="Y507" s="156">
        <f t="shared" si="238"/>
        <v>0</v>
      </c>
      <c r="Z507" s="156">
        <f t="shared" si="238"/>
        <v>0</v>
      </c>
      <c r="AA507" s="156">
        <f t="shared" si="238"/>
        <v>0</v>
      </c>
      <c r="AB507" s="156">
        <f t="shared" si="238"/>
        <v>0</v>
      </c>
      <c r="AC507" s="156">
        <f t="shared" si="238"/>
        <v>0</v>
      </c>
      <c r="AD507" s="156">
        <f t="shared" si="238"/>
        <v>0</v>
      </c>
      <c r="AE507" s="156">
        <f t="shared" si="238"/>
        <v>0</v>
      </c>
      <c r="AF507" s="156">
        <f t="shared" si="238"/>
        <v>0</v>
      </c>
      <c r="AG507" s="156">
        <f t="shared" si="238"/>
        <v>0</v>
      </c>
      <c r="AH507" s="156">
        <f t="shared" si="238"/>
        <v>0</v>
      </c>
      <c r="AI507" s="156">
        <f t="shared" si="238"/>
        <v>0</v>
      </c>
      <c r="AJ507" s="156">
        <f t="shared" si="238"/>
        <v>0</v>
      </c>
      <c r="AK507" s="156">
        <f t="shared" si="238"/>
        <v>0</v>
      </c>
      <c r="AL507" s="156">
        <f t="shared" si="238"/>
        <v>0</v>
      </c>
      <c r="AM507" s="156">
        <f t="shared" si="238"/>
        <v>0</v>
      </c>
      <c r="AN507" s="156">
        <f t="shared" si="238"/>
        <v>0</v>
      </c>
      <c r="AO507" s="156">
        <f t="shared" si="238"/>
        <v>0</v>
      </c>
      <c r="AP507" s="156">
        <f t="shared" si="238"/>
        <v>0</v>
      </c>
    </row>
    <row r="508" spans="1:42" x14ac:dyDescent="0.4">
      <c r="A508" s="4">
        <f>A507+1</f>
        <v>9</v>
      </c>
      <c r="B508" s="146">
        <f t="shared" si="229"/>
        <v>0</v>
      </c>
      <c r="C508" s="156">
        <f t="shared" ref="C508:AP508" si="239">LOOKUP(C496,$B$457:$AP$457,$B$458:$AP$458)*$B701/100</f>
        <v>0</v>
      </c>
      <c r="D508" s="156">
        <f t="shared" si="239"/>
        <v>0</v>
      </c>
      <c r="E508" s="156">
        <f t="shared" si="239"/>
        <v>0</v>
      </c>
      <c r="F508" s="156">
        <f t="shared" si="239"/>
        <v>0</v>
      </c>
      <c r="G508" s="156">
        <f t="shared" si="239"/>
        <v>0</v>
      </c>
      <c r="H508" s="156">
        <f t="shared" si="239"/>
        <v>0</v>
      </c>
      <c r="I508" s="156">
        <f t="shared" si="239"/>
        <v>0</v>
      </c>
      <c r="J508" s="156">
        <f t="shared" si="239"/>
        <v>0</v>
      </c>
      <c r="K508" s="156">
        <f t="shared" si="239"/>
        <v>0</v>
      </c>
      <c r="L508" s="156">
        <f t="shared" si="239"/>
        <v>0</v>
      </c>
      <c r="M508" s="156">
        <f t="shared" si="239"/>
        <v>0</v>
      </c>
      <c r="N508" s="156">
        <f t="shared" si="239"/>
        <v>0</v>
      </c>
      <c r="O508" s="156">
        <f t="shared" si="239"/>
        <v>0</v>
      </c>
      <c r="P508" s="156">
        <f t="shared" si="239"/>
        <v>0</v>
      </c>
      <c r="Q508" s="156">
        <f t="shared" si="239"/>
        <v>0</v>
      </c>
      <c r="R508" s="156">
        <f t="shared" si="239"/>
        <v>0</v>
      </c>
      <c r="S508" s="156">
        <f t="shared" si="239"/>
        <v>0</v>
      </c>
      <c r="T508" s="156">
        <f t="shared" si="239"/>
        <v>0</v>
      </c>
      <c r="U508" s="156">
        <f t="shared" si="239"/>
        <v>0</v>
      </c>
      <c r="V508" s="156">
        <f t="shared" si="239"/>
        <v>0</v>
      </c>
      <c r="W508" s="156">
        <f t="shared" si="239"/>
        <v>0</v>
      </c>
      <c r="X508" s="156">
        <f t="shared" si="239"/>
        <v>0</v>
      </c>
      <c r="Y508" s="156">
        <f t="shared" si="239"/>
        <v>0</v>
      </c>
      <c r="Z508" s="156">
        <f t="shared" si="239"/>
        <v>0</v>
      </c>
      <c r="AA508" s="156">
        <f t="shared" si="239"/>
        <v>0</v>
      </c>
      <c r="AB508" s="156">
        <f t="shared" si="239"/>
        <v>0</v>
      </c>
      <c r="AC508" s="156">
        <f t="shared" si="239"/>
        <v>0</v>
      </c>
      <c r="AD508" s="156">
        <f t="shared" si="239"/>
        <v>0</v>
      </c>
      <c r="AE508" s="156">
        <f t="shared" si="239"/>
        <v>0</v>
      </c>
      <c r="AF508" s="156">
        <f t="shared" si="239"/>
        <v>0</v>
      </c>
      <c r="AG508" s="156">
        <f t="shared" si="239"/>
        <v>0</v>
      </c>
      <c r="AH508" s="156">
        <f t="shared" si="239"/>
        <v>0</v>
      </c>
      <c r="AI508" s="156">
        <f t="shared" si="239"/>
        <v>0</v>
      </c>
      <c r="AJ508" s="156">
        <f t="shared" si="239"/>
        <v>0</v>
      </c>
      <c r="AK508" s="156">
        <f t="shared" si="239"/>
        <v>0</v>
      </c>
      <c r="AL508" s="156">
        <f t="shared" si="239"/>
        <v>0</v>
      </c>
      <c r="AM508" s="156">
        <f t="shared" si="239"/>
        <v>0</v>
      </c>
      <c r="AN508" s="156">
        <f t="shared" si="239"/>
        <v>0</v>
      </c>
      <c r="AO508" s="156">
        <f t="shared" si="239"/>
        <v>0</v>
      </c>
      <c r="AP508" s="156">
        <f t="shared" si="239"/>
        <v>0</v>
      </c>
    </row>
    <row r="509" spans="1:42" x14ac:dyDescent="0.4">
      <c r="A509" s="4">
        <f t="shared" ref="A509" si="240">A508+1</f>
        <v>10</v>
      </c>
      <c r="B509" s="146">
        <f t="shared" si="229"/>
        <v>0</v>
      </c>
      <c r="C509" s="156">
        <f t="shared" ref="C509:AP509" si="241">LOOKUP(C497,$B$457:$AP$457,$B$458:$AP$458)*$B702/100</f>
        <v>0</v>
      </c>
      <c r="D509" s="156">
        <f t="shared" si="241"/>
        <v>0</v>
      </c>
      <c r="E509" s="156">
        <f t="shared" si="241"/>
        <v>0</v>
      </c>
      <c r="F509" s="156">
        <f t="shared" si="241"/>
        <v>0</v>
      </c>
      <c r="G509" s="156">
        <f t="shared" si="241"/>
        <v>0</v>
      </c>
      <c r="H509" s="156">
        <f t="shared" si="241"/>
        <v>0</v>
      </c>
      <c r="I509" s="156">
        <f t="shared" si="241"/>
        <v>0</v>
      </c>
      <c r="J509" s="156">
        <f t="shared" si="241"/>
        <v>0</v>
      </c>
      <c r="K509" s="156">
        <f t="shared" si="241"/>
        <v>0</v>
      </c>
      <c r="L509" s="156">
        <f t="shared" si="241"/>
        <v>0</v>
      </c>
      <c r="M509" s="156">
        <f t="shared" si="241"/>
        <v>0</v>
      </c>
      <c r="N509" s="156">
        <f t="shared" si="241"/>
        <v>0</v>
      </c>
      <c r="O509" s="156">
        <f t="shared" si="241"/>
        <v>0</v>
      </c>
      <c r="P509" s="156">
        <f t="shared" si="241"/>
        <v>0</v>
      </c>
      <c r="Q509" s="156">
        <f t="shared" si="241"/>
        <v>0</v>
      </c>
      <c r="R509" s="156">
        <f t="shared" si="241"/>
        <v>0</v>
      </c>
      <c r="S509" s="156">
        <f t="shared" si="241"/>
        <v>0</v>
      </c>
      <c r="T509" s="156">
        <f t="shared" si="241"/>
        <v>0</v>
      </c>
      <c r="U509" s="156">
        <f t="shared" si="241"/>
        <v>0</v>
      </c>
      <c r="V509" s="156">
        <f t="shared" si="241"/>
        <v>0</v>
      </c>
      <c r="W509" s="156">
        <f t="shared" si="241"/>
        <v>0</v>
      </c>
      <c r="X509" s="156">
        <f t="shared" si="241"/>
        <v>0</v>
      </c>
      <c r="Y509" s="156">
        <f t="shared" si="241"/>
        <v>0</v>
      </c>
      <c r="Z509" s="156">
        <f t="shared" si="241"/>
        <v>0</v>
      </c>
      <c r="AA509" s="156">
        <f t="shared" si="241"/>
        <v>0</v>
      </c>
      <c r="AB509" s="156">
        <f t="shared" si="241"/>
        <v>0</v>
      </c>
      <c r="AC509" s="156">
        <f t="shared" si="241"/>
        <v>0</v>
      </c>
      <c r="AD509" s="156">
        <f t="shared" si="241"/>
        <v>0</v>
      </c>
      <c r="AE509" s="156">
        <f t="shared" si="241"/>
        <v>0</v>
      </c>
      <c r="AF509" s="156">
        <f t="shared" si="241"/>
        <v>0</v>
      </c>
      <c r="AG509" s="156">
        <f t="shared" si="241"/>
        <v>0</v>
      </c>
      <c r="AH509" s="156">
        <f t="shared" si="241"/>
        <v>0</v>
      </c>
      <c r="AI509" s="156">
        <f t="shared" si="241"/>
        <v>0</v>
      </c>
      <c r="AJ509" s="156">
        <f t="shared" si="241"/>
        <v>0</v>
      </c>
      <c r="AK509" s="156">
        <f t="shared" si="241"/>
        <v>0</v>
      </c>
      <c r="AL509" s="156">
        <f t="shared" si="241"/>
        <v>0</v>
      </c>
      <c r="AM509" s="156">
        <f t="shared" si="241"/>
        <v>0</v>
      </c>
      <c r="AN509" s="156">
        <f t="shared" si="241"/>
        <v>0</v>
      </c>
      <c r="AO509" s="156">
        <f t="shared" si="241"/>
        <v>0</v>
      </c>
      <c r="AP509" s="156">
        <f t="shared" si="241"/>
        <v>0</v>
      </c>
    </row>
    <row r="510" spans="1:42" x14ac:dyDescent="0.4">
      <c r="A510" s="24" t="s">
        <v>13</v>
      </c>
      <c r="B510" s="14"/>
      <c r="C510" s="320">
        <f>SUM(C500:C509)</f>
        <v>0</v>
      </c>
      <c r="D510" s="320">
        <f t="shared" ref="D510:AP510" si="242">SUM(D500:D509)</f>
        <v>0</v>
      </c>
      <c r="E510" s="320">
        <f t="shared" si="242"/>
        <v>0</v>
      </c>
      <c r="F510" s="320">
        <f t="shared" si="242"/>
        <v>0</v>
      </c>
      <c r="G510" s="320">
        <f t="shared" si="242"/>
        <v>0</v>
      </c>
      <c r="H510" s="320">
        <f t="shared" si="242"/>
        <v>0</v>
      </c>
      <c r="I510" s="320">
        <f t="shared" si="242"/>
        <v>0</v>
      </c>
      <c r="J510" s="320">
        <f t="shared" si="242"/>
        <v>0</v>
      </c>
      <c r="K510" s="320">
        <f t="shared" si="242"/>
        <v>0</v>
      </c>
      <c r="L510" s="320">
        <f t="shared" si="242"/>
        <v>0</v>
      </c>
      <c r="M510" s="320">
        <f t="shared" si="242"/>
        <v>0</v>
      </c>
      <c r="N510" s="320">
        <f t="shared" si="242"/>
        <v>0</v>
      </c>
      <c r="O510" s="320">
        <f t="shared" si="242"/>
        <v>0</v>
      </c>
      <c r="P510" s="320">
        <f t="shared" si="242"/>
        <v>0</v>
      </c>
      <c r="Q510" s="320">
        <f t="shared" si="242"/>
        <v>0</v>
      </c>
      <c r="R510" s="320">
        <f t="shared" si="242"/>
        <v>0</v>
      </c>
      <c r="S510" s="320">
        <f t="shared" si="242"/>
        <v>0</v>
      </c>
      <c r="T510" s="320">
        <f t="shared" si="242"/>
        <v>0</v>
      </c>
      <c r="U510" s="320">
        <f t="shared" si="242"/>
        <v>0</v>
      </c>
      <c r="V510" s="320">
        <f t="shared" si="242"/>
        <v>0</v>
      </c>
      <c r="W510" s="320">
        <f t="shared" si="242"/>
        <v>0</v>
      </c>
      <c r="X510" s="320">
        <f t="shared" si="242"/>
        <v>0</v>
      </c>
      <c r="Y510" s="320">
        <f t="shared" si="242"/>
        <v>0</v>
      </c>
      <c r="Z510" s="320">
        <f t="shared" si="242"/>
        <v>0</v>
      </c>
      <c r="AA510" s="320">
        <f t="shared" si="242"/>
        <v>0</v>
      </c>
      <c r="AB510" s="320">
        <f t="shared" si="242"/>
        <v>0</v>
      </c>
      <c r="AC510" s="320">
        <f t="shared" si="242"/>
        <v>0</v>
      </c>
      <c r="AD510" s="320">
        <f t="shared" si="242"/>
        <v>0</v>
      </c>
      <c r="AE510" s="320">
        <f t="shared" si="242"/>
        <v>0</v>
      </c>
      <c r="AF510" s="320">
        <f t="shared" si="242"/>
        <v>0</v>
      </c>
      <c r="AG510" s="320">
        <f t="shared" si="242"/>
        <v>0</v>
      </c>
      <c r="AH510" s="320">
        <f t="shared" si="242"/>
        <v>0</v>
      </c>
      <c r="AI510" s="320">
        <f t="shared" si="242"/>
        <v>0</v>
      </c>
      <c r="AJ510" s="320">
        <f t="shared" si="242"/>
        <v>0</v>
      </c>
      <c r="AK510" s="320">
        <f t="shared" si="242"/>
        <v>0</v>
      </c>
      <c r="AL510" s="320">
        <f t="shared" si="242"/>
        <v>0</v>
      </c>
      <c r="AM510" s="320">
        <f t="shared" si="242"/>
        <v>0</v>
      </c>
      <c r="AN510" s="320">
        <f t="shared" si="242"/>
        <v>0</v>
      </c>
      <c r="AO510" s="320">
        <f t="shared" si="242"/>
        <v>0</v>
      </c>
      <c r="AP510" s="320">
        <f t="shared" si="242"/>
        <v>0</v>
      </c>
    </row>
    <row r="511" spans="1:42" x14ac:dyDescent="0.4">
      <c r="A511" s="24"/>
      <c r="B511" s="14"/>
      <c r="C511" s="156"/>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row>
    <row r="512" spans="1:42" x14ac:dyDescent="0.4">
      <c r="A512" s="21" t="s">
        <v>64</v>
      </c>
      <c r="C512" s="156"/>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row>
    <row r="513" spans="1:42" x14ac:dyDescent="0.4">
      <c r="A513" s="87" t="s">
        <v>53</v>
      </c>
      <c r="C513" s="156"/>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row>
    <row r="514" spans="1:42" x14ac:dyDescent="0.4">
      <c r="A514" s="4">
        <v>1</v>
      </c>
      <c r="C514" s="156">
        <f t="shared" ref="C514:AP514" si="243">C375</f>
        <v>0</v>
      </c>
      <c r="D514" s="156">
        <f t="shared" si="243"/>
        <v>0</v>
      </c>
      <c r="E514" s="156">
        <f t="shared" si="243"/>
        <v>0</v>
      </c>
      <c r="F514" s="156">
        <f t="shared" si="243"/>
        <v>0</v>
      </c>
      <c r="G514" s="156">
        <f t="shared" si="243"/>
        <v>0</v>
      </c>
      <c r="H514" s="156">
        <f t="shared" si="243"/>
        <v>0</v>
      </c>
      <c r="I514" s="156">
        <f t="shared" si="243"/>
        <v>0</v>
      </c>
      <c r="J514" s="156">
        <f t="shared" si="243"/>
        <v>0</v>
      </c>
      <c r="K514" s="156">
        <f t="shared" si="243"/>
        <v>0</v>
      </c>
      <c r="L514" s="156">
        <f t="shared" si="243"/>
        <v>0</v>
      </c>
      <c r="M514" s="156">
        <f t="shared" si="243"/>
        <v>0</v>
      </c>
      <c r="N514" s="156">
        <f t="shared" si="243"/>
        <v>0</v>
      </c>
      <c r="O514" s="156">
        <f t="shared" si="243"/>
        <v>0</v>
      </c>
      <c r="P514" s="156">
        <f t="shared" si="243"/>
        <v>0</v>
      </c>
      <c r="Q514" s="156">
        <f t="shared" si="243"/>
        <v>0</v>
      </c>
      <c r="R514" s="156">
        <f t="shared" si="243"/>
        <v>0</v>
      </c>
      <c r="S514" s="156">
        <f t="shared" si="243"/>
        <v>0</v>
      </c>
      <c r="T514" s="156">
        <f t="shared" si="243"/>
        <v>0</v>
      </c>
      <c r="U514" s="156">
        <f t="shared" si="243"/>
        <v>0</v>
      </c>
      <c r="V514" s="156">
        <f t="shared" si="243"/>
        <v>0</v>
      </c>
      <c r="W514" s="156">
        <f t="shared" si="243"/>
        <v>0</v>
      </c>
      <c r="X514" s="156">
        <f t="shared" si="243"/>
        <v>0</v>
      </c>
      <c r="Y514" s="156">
        <f t="shared" si="243"/>
        <v>0</v>
      </c>
      <c r="Z514" s="156">
        <f t="shared" si="243"/>
        <v>0</v>
      </c>
      <c r="AA514" s="156">
        <f t="shared" si="243"/>
        <v>0</v>
      </c>
      <c r="AB514" s="156">
        <f t="shared" si="243"/>
        <v>0</v>
      </c>
      <c r="AC514" s="156">
        <f t="shared" si="243"/>
        <v>0</v>
      </c>
      <c r="AD514" s="156">
        <f t="shared" si="243"/>
        <v>0</v>
      </c>
      <c r="AE514" s="156">
        <f t="shared" si="243"/>
        <v>0</v>
      </c>
      <c r="AF514" s="156">
        <f t="shared" si="243"/>
        <v>0</v>
      </c>
      <c r="AG514" s="156">
        <f t="shared" si="243"/>
        <v>0</v>
      </c>
      <c r="AH514" s="156">
        <f t="shared" si="243"/>
        <v>0</v>
      </c>
      <c r="AI514" s="156">
        <f t="shared" si="243"/>
        <v>0</v>
      </c>
      <c r="AJ514" s="156">
        <f t="shared" si="243"/>
        <v>0</v>
      </c>
      <c r="AK514" s="156">
        <f t="shared" si="243"/>
        <v>0</v>
      </c>
      <c r="AL514" s="156">
        <f t="shared" si="243"/>
        <v>0</v>
      </c>
      <c r="AM514" s="156">
        <f t="shared" si="243"/>
        <v>0</v>
      </c>
      <c r="AN514" s="156">
        <f t="shared" si="243"/>
        <v>0</v>
      </c>
      <c r="AO514" s="156">
        <f t="shared" si="243"/>
        <v>0</v>
      </c>
      <c r="AP514" s="156">
        <f t="shared" si="243"/>
        <v>0</v>
      </c>
    </row>
    <row r="515" spans="1:42" x14ac:dyDescent="0.4">
      <c r="A515" s="4">
        <f>A514+1</f>
        <v>2</v>
      </c>
      <c r="C515" s="156">
        <f t="shared" ref="C515:AP515" si="244">C376</f>
        <v>0</v>
      </c>
      <c r="D515" s="156">
        <f t="shared" si="244"/>
        <v>0</v>
      </c>
      <c r="E515" s="156">
        <f t="shared" si="244"/>
        <v>0</v>
      </c>
      <c r="F515" s="156">
        <f t="shared" si="244"/>
        <v>0</v>
      </c>
      <c r="G515" s="156">
        <f t="shared" si="244"/>
        <v>0</v>
      </c>
      <c r="H515" s="156">
        <f t="shared" si="244"/>
        <v>0</v>
      </c>
      <c r="I515" s="156">
        <f t="shared" si="244"/>
        <v>0</v>
      </c>
      <c r="J515" s="156">
        <f t="shared" si="244"/>
        <v>0</v>
      </c>
      <c r="K515" s="156">
        <f t="shared" si="244"/>
        <v>0</v>
      </c>
      <c r="L515" s="156">
        <f t="shared" si="244"/>
        <v>0</v>
      </c>
      <c r="M515" s="156">
        <f t="shared" si="244"/>
        <v>0</v>
      </c>
      <c r="N515" s="156">
        <f t="shared" si="244"/>
        <v>0</v>
      </c>
      <c r="O515" s="156">
        <f t="shared" si="244"/>
        <v>0</v>
      </c>
      <c r="P515" s="156">
        <f t="shared" si="244"/>
        <v>0</v>
      </c>
      <c r="Q515" s="156">
        <f t="shared" si="244"/>
        <v>0</v>
      </c>
      <c r="R515" s="156">
        <f t="shared" si="244"/>
        <v>0</v>
      </c>
      <c r="S515" s="156">
        <f t="shared" si="244"/>
        <v>0</v>
      </c>
      <c r="T515" s="156">
        <f t="shared" si="244"/>
        <v>0</v>
      </c>
      <c r="U515" s="156">
        <f t="shared" si="244"/>
        <v>0</v>
      </c>
      <c r="V515" s="156">
        <f t="shared" si="244"/>
        <v>0</v>
      </c>
      <c r="W515" s="156">
        <f t="shared" si="244"/>
        <v>0</v>
      </c>
      <c r="X515" s="156">
        <f t="shared" si="244"/>
        <v>0</v>
      </c>
      <c r="Y515" s="156">
        <f t="shared" si="244"/>
        <v>0</v>
      </c>
      <c r="Z515" s="156">
        <f t="shared" si="244"/>
        <v>0</v>
      </c>
      <c r="AA515" s="156">
        <f t="shared" si="244"/>
        <v>0</v>
      </c>
      <c r="AB515" s="156">
        <f t="shared" si="244"/>
        <v>0</v>
      </c>
      <c r="AC515" s="156">
        <f t="shared" si="244"/>
        <v>0</v>
      </c>
      <c r="AD515" s="156">
        <f t="shared" si="244"/>
        <v>0</v>
      </c>
      <c r="AE515" s="156">
        <f t="shared" si="244"/>
        <v>0</v>
      </c>
      <c r="AF515" s="156">
        <f t="shared" si="244"/>
        <v>0</v>
      </c>
      <c r="AG515" s="156">
        <f t="shared" si="244"/>
        <v>0</v>
      </c>
      <c r="AH515" s="156">
        <f t="shared" si="244"/>
        <v>0</v>
      </c>
      <c r="AI515" s="156">
        <f t="shared" si="244"/>
        <v>0</v>
      </c>
      <c r="AJ515" s="156">
        <f t="shared" si="244"/>
        <v>0</v>
      </c>
      <c r="AK515" s="156">
        <f t="shared" si="244"/>
        <v>0</v>
      </c>
      <c r="AL515" s="156">
        <f t="shared" si="244"/>
        <v>0</v>
      </c>
      <c r="AM515" s="156">
        <f t="shared" si="244"/>
        <v>0</v>
      </c>
      <c r="AN515" s="156">
        <f t="shared" si="244"/>
        <v>0</v>
      </c>
      <c r="AO515" s="156">
        <f t="shared" si="244"/>
        <v>0</v>
      </c>
      <c r="AP515" s="156">
        <f t="shared" si="244"/>
        <v>0</v>
      </c>
    </row>
    <row r="516" spans="1:42" x14ac:dyDescent="0.4">
      <c r="A516" s="4">
        <f t="shared" ref="A516:A521" si="245">A515+1</f>
        <v>3</v>
      </c>
      <c r="C516" s="156">
        <f t="shared" ref="C516:AP516" si="246">C377</f>
        <v>0</v>
      </c>
      <c r="D516" s="156">
        <f t="shared" si="246"/>
        <v>0</v>
      </c>
      <c r="E516" s="156">
        <f t="shared" si="246"/>
        <v>0</v>
      </c>
      <c r="F516" s="156">
        <f t="shared" si="246"/>
        <v>0</v>
      </c>
      <c r="G516" s="156">
        <f t="shared" si="246"/>
        <v>0</v>
      </c>
      <c r="H516" s="156">
        <f t="shared" si="246"/>
        <v>0</v>
      </c>
      <c r="I516" s="156">
        <f t="shared" si="246"/>
        <v>0</v>
      </c>
      <c r="J516" s="156">
        <f t="shared" si="246"/>
        <v>0</v>
      </c>
      <c r="K516" s="156">
        <f t="shared" si="246"/>
        <v>0</v>
      </c>
      <c r="L516" s="156">
        <f t="shared" si="246"/>
        <v>0</v>
      </c>
      <c r="M516" s="156">
        <f t="shared" si="246"/>
        <v>0</v>
      </c>
      <c r="N516" s="156">
        <f t="shared" si="246"/>
        <v>0</v>
      </c>
      <c r="O516" s="156">
        <f t="shared" si="246"/>
        <v>0</v>
      </c>
      <c r="P516" s="156">
        <f t="shared" si="246"/>
        <v>0</v>
      </c>
      <c r="Q516" s="156">
        <f t="shared" si="246"/>
        <v>0</v>
      </c>
      <c r="R516" s="156">
        <f t="shared" si="246"/>
        <v>0</v>
      </c>
      <c r="S516" s="156">
        <f t="shared" si="246"/>
        <v>0</v>
      </c>
      <c r="T516" s="156">
        <f t="shared" si="246"/>
        <v>0</v>
      </c>
      <c r="U516" s="156">
        <f t="shared" si="246"/>
        <v>0</v>
      </c>
      <c r="V516" s="156">
        <f t="shared" si="246"/>
        <v>0</v>
      </c>
      <c r="W516" s="156">
        <f t="shared" si="246"/>
        <v>0</v>
      </c>
      <c r="X516" s="156">
        <f t="shared" si="246"/>
        <v>0</v>
      </c>
      <c r="Y516" s="156">
        <f t="shared" si="246"/>
        <v>0</v>
      </c>
      <c r="Z516" s="156">
        <f t="shared" si="246"/>
        <v>0</v>
      </c>
      <c r="AA516" s="156">
        <f t="shared" si="246"/>
        <v>0</v>
      </c>
      <c r="AB516" s="156">
        <f t="shared" si="246"/>
        <v>0</v>
      </c>
      <c r="AC516" s="156">
        <f t="shared" si="246"/>
        <v>0</v>
      </c>
      <c r="AD516" s="156">
        <f t="shared" si="246"/>
        <v>0</v>
      </c>
      <c r="AE516" s="156">
        <f t="shared" si="246"/>
        <v>0</v>
      </c>
      <c r="AF516" s="156">
        <f t="shared" si="246"/>
        <v>0</v>
      </c>
      <c r="AG516" s="156">
        <f t="shared" si="246"/>
        <v>0</v>
      </c>
      <c r="AH516" s="156">
        <f t="shared" si="246"/>
        <v>0</v>
      </c>
      <c r="AI516" s="156">
        <f t="shared" si="246"/>
        <v>0</v>
      </c>
      <c r="AJ516" s="156">
        <f t="shared" si="246"/>
        <v>0</v>
      </c>
      <c r="AK516" s="156">
        <f t="shared" si="246"/>
        <v>0</v>
      </c>
      <c r="AL516" s="156">
        <f t="shared" si="246"/>
        <v>0</v>
      </c>
      <c r="AM516" s="156">
        <f t="shared" si="246"/>
        <v>0</v>
      </c>
      <c r="AN516" s="156">
        <f t="shared" si="246"/>
        <v>0</v>
      </c>
      <c r="AO516" s="156">
        <f t="shared" si="246"/>
        <v>0</v>
      </c>
      <c r="AP516" s="156">
        <f t="shared" si="246"/>
        <v>0</v>
      </c>
    </row>
    <row r="517" spans="1:42" x14ac:dyDescent="0.4">
      <c r="A517" s="4">
        <f t="shared" si="245"/>
        <v>4</v>
      </c>
      <c r="C517" s="156">
        <f t="shared" ref="C517:AP517" si="247">C378</f>
        <v>0</v>
      </c>
      <c r="D517" s="156">
        <f t="shared" si="247"/>
        <v>0</v>
      </c>
      <c r="E517" s="156">
        <f t="shared" si="247"/>
        <v>0</v>
      </c>
      <c r="F517" s="156">
        <f t="shared" si="247"/>
        <v>0</v>
      </c>
      <c r="G517" s="156">
        <f t="shared" si="247"/>
        <v>0</v>
      </c>
      <c r="H517" s="156">
        <f t="shared" si="247"/>
        <v>0</v>
      </c>
      <c r="I517" s="156">
        <f t="shared" si="247"/>
        <v>0</v>
      </c>
      <c r="J517" s="156">
        <f t="shared" si="247"/>
        <v>0</v>
      </c>
      <c r="K517" s="156">
        <f t="shared" si="247"/>
        <v>0</v>
      </c>
      <c r="L517" s="156">
        <f t="shared" si="247"/>
        <v>0</v>
      </c>
      <c r="M517" s="156">
        <f t="shared" si="247"/>
        <v>0</v>
      </c>
      <c r="N517" s="156">
        <f t="shared" si="247"/>
        <v>0</v>
      </c>
      <c r="O517" s="156">
        <f t="shared" si="247"/>
        <v>0</v>
      </c>
      <c r="P517" s="156">
        <f t="shared" si="247"/>
        <v>0</v>
      </c>
      <c r="Q517" s="156">
        <f t="shared" si="247"/>
        <v>0</v>
      </c>
      <c r="R517" s="156">
        <f t="shared" si="247"/>
        <v>0</v>
      </c>
      <c r="S517" s="156">
        <f t="shared" si="247"/>
        <v>0</v>
      </c>
      <c r="T517" s="156">
        <f t="shared" si="247"/>
        <v>0</v>
      </c>
      <c r="U517" s="156">
        <f t="shared" si="247"/>
        <v>0</v>
      </c>
      <c r="V517" s="156">
        <f t="shared" si="247"/>
        <v>0</v>
      </c>
      <c r="W517" s="156">
        <f t="shared" si="247"/>
        <v>0</v>
      </c>
      <c r="X517" s="156">
        <f t="shared" si="247"/>
        <v>0</v>
      </c>
      <c r="Y517" s="156">
        <f t="shared" si="247"/>
        <v>0</v>
      </c>
      <c r="Z517" s="156">
        <f t="shared" si="247"/>
        <v>0</v>
      </c>
      <c r="AA517" s="156">
        <f t="shared" si="247"/>
        <v>0</v>
      </c>
      <c r="AB517" s="156">
        <f t="shared" si="247"/>
        <v>0</v>
      </c>
      <c r="AC517" s="156">
        <f t="shared" si="247"/>
        <v>0</v>
      </c>
      <c r="AD517" s="156">
        <f t="shared" si="247"/>
        <v>0</v>
      </c>
      <c r="AE517" s="156">
        <f t="shared" si="247"/>
        <v>0</v>
      </c>
      <c r="AF517" s="156">
        <f t="shared" si="247"/>
        <v>0</v>
      </c>
      <c r="AG517" s="156">
        <f t="shared" si="247"/>
        <v>0</v>
      </c>
      <c r="AH517" s="156">
        <f t="shared" si="247"/>
        <v>0</v>
      </c>
      <c r="AI517" s="156">
        <f t="shared" si="247"/>
        <v>0</v>
      </c>
      <c r="AJ517" s="156">
        <f t="shared" si="247"/>
        <v>0</v>
      </c>
      <c r="AK517" s="156">
        <f t="shared" si="247"/>
        <v>0</v>
      </c>
      <c r="AL517" s="156">
        <f t="shared" si="247"/>
        <v>0</v>
      </c>
      <c r="AM517" s="156">
        <f t="shared" si="247"/>
        <v>0</v>
      </c>
      <c r="AN517" s="156">
        <f t="shared" si="247"/>
        <v>0</v>
      </c>
      <c r="AO517" s="156">
        <f t="shared" si="247"/>
        <v>0</v>
      </c>
      <c r="AP517" s="156">
        <f t="shared" si="247"/>
        <v>0</v>
      </c>
    </row>
    <row r="518" spans="1:42" x14ac:dyDescent="0.4">
      <c r="A518" s="4">
        <f t="shared" si="245"/>
        <v>5</v>
      </c>
      <c r="C518" s="156">
        <f t="shared" ref="C518:AP518" si="248">C379</f>
        <v>0</v>
      </c>
      <c r="D518" s="156">
        <f t="shared" si="248"/>
        <v>0</v>
      </c>
      <c r="E518" s="156">
        <f t="shared" si="248"/>
        <v>0</v>
      </c>
      <c r="F518" s="156">
        <f t="shared" si="248"/>
        <v>0</v>
      </c>
      <c r="G518" s="156">
        <f t="shared" si="248"/>
        <v>0</v>
      </c>
      <c r="H518" s="156">
        <f t="shared" si="248"/>
        <v>0</v>
      </c>
      <c r="I518" s="156">
        <f t="shared" si="248"/>
        <v>0</v>
      </c>
      <c r="J518" s="156">
        <f t="shared" si="248"/>
        <v>0</v>
      </c>
      <c r="K518" s="156">
        <f t="shared" si="248"/>
        <v>0</v>
      </c>
      <c r="L518" s="156">
        <f t="shared" si="248"/>
        <v>0</v>
      </c>
      <c r="M518" s="156">
        <f t="shared" si="248"/>
        <v>0</v>
      </c>
      <c r="N518" s="156">
        <f t="shared" si="248"/>
        <v>0</v>
      </c>
      <c r="O518" s="156">
        <f t="shared" si="248"/>
        <v>0</v>
      </c>
      <c r="P518" s="156">
        <f t="shared" si="248"/>
        <v>0</v>
      </c>
      <c r="Q518" s="156">
        <f t="shared" si="248"/>
        <v>0</v>
      </c>
      <c r="R518" s="156">
        <f t="shared" si="248"/>
        <v>0</v>
      </c>
      <c r="S518" s="156">
        <f t="shared" si="248"/>
        <v>0</v>
      </c>
      <c r="T518" s="156">
        <f t="shared" si="248"/>
        <v>0</v>
      </c>
      <c r="U518" s="156">
        <f t="shared" si="248"/>
        <v>0</v>
      </c>
      <c r="V518" s="156">
        <f t="shared" si="248"/>
        <v>0</v>
      </c>
      <c r="W518" s="156">
        <f t="shared" si="248"/>
        <v>0</v>
      </c>
      <c r="X518" s="156">
        <f t="shared" si="248"/>
        <v>0</v>
      </c>
      <c r="Y518" s="156">
        <f t="shared" si="248"/>
        <v>0</v>
      </c>
      <c r="Z518" s="156">
        <f t="shared" si="248"/>
        <v>0</v>
      </c>
      <c r="AA518" s="156">
        <f t="shared" si="248"/>
        <v>0</v>
      </c>
      <c r="AB518" s="156">
        <f t="shared" si="248"/>
        <v>0</v>
      </c>
      <c r="AC518" s="156">
        <f t="shared" si="248"/>
        <v>0</v>
      </c>
      <c r="AD518" s="156">
        <f t="shared" si="248"/>
        <v>0</v>
      </c>
      <c r="AE518" s="156">
        <f t="shared" si="248"/>
        <v>0</v>
      </c>
      <c r="AF518" s="156">
        <f t="shared" si="248"/>
        <v>0</v>
      </c>
      <c r="AG518" s="156">
        <f t="shared" si="248"/>
        <v>0</v>
      </c>
      <c r="AH518" s="156">
        <f t="shared" si="248"/>
        <v>0</v>
      </c>
      <c r="AI518" s="156">
        <f t="shared" si="248"/>
        <v>0</v>
      </c>
      <c r="AJ518" s="156">
        <f t="shared" si="248"/>
        <v>0</v>
      </c>
      <c r="AK518" s="156">
        <f t="shared" si="248"/>
        <v>0</v>
      </c>
      <c r="AL518" s="156">
        <f t="shared" si="248"/>
        <v>0</v>
      </c>
      <c r="AM518" s="156">
        <f t="shared" si="248"/>
        <v>0</v>
      </c>
      <c r="AN518" s="156">
        <f t="shared" si="248"/>
        <v>0</v>
      </c>
      <c r="AO518" s="156">
        <f t="shared" si="248"/>
        <v>0</v>
      </c>
      <c r="AP518" s="156">
        <f t="shared" si="248"/>
        <v>0</v>
      </c>
    </row>
    <row r="519" spans="1:42" x14ac:dyDescent="0.4">
      <c r="A519" s="4">
        <f t="shared" si="245"/>
        <v>6</v>
      </c>
      <c r="C519" s="156">
        <f t="shared" ref="C519:AP519" si="249">C380</f>
        <v>0</v>
      </c>
      <c r="D519" s="156">
        <f t="shared" si="249"/>
        <v>0</v>
      </c>
      <c r="E519" s="156">
        <f t="shared" si="249"/>
        <v>0</v>
      </c>
      <c r="F519" s="156">
        <f t="shared" si="249"/>
        <v>0</v>
      </c>
      <c r="G519" s="156">
        <f t="shared" si="249"/>
        <v>0</v>
      </c>
      <c r="H519" s="156">
        <f t="shared" si="249"/>
        <v>0</v>
      </c>
      <c r="I519" s="156">
        <f t="shared" si="249"/>
        <v>0</v>
      </c>
      <c r="J519" s="156">
        <f t="shared" si="249"/>
        <v>0</v>
      </c>
      <c r="K519" s="156">
        <f t="shared" si="249"/>
        <v>0</v>
      </c>
      <c r="L519" s="156">
        <f t="shared" si="249"/>
        <v>0</v>
      </c>
      <c r="M519" s="156">
        <f t="shared" si="249"/>
        <v>0</v>
      </c>
      <c r="N519" s="156">
        <f t="shared" si="249"/>
        <v>0</v>
      </c>
      <c r="O519" s="156">
        <f t="shared" si="249"/>
        <v>0</v>
      </c>
      <c r="P519" s="156">
        <f t="shared" si="249"/>
        <v>0</v>
      </c>
      <c r="Q519" s="156">
        <f t="shared" si="249"/>
        <v>0</v>
      </c>
      <c r="R519" s="156">
        <f t="shared" si="249"/>
        <v>0</v>
      </c>
      <c r="S519" s="156">
        <f t="shared" si="249"/>
        <v>0</v>
      </c>
      <c r="T519" s="156">
        <f t="shared" si="249"/>
        <v>0</v>
      </c>
      <c r="U519" s="156">
        <f t="shared" si="249"/>
        <v>0</v>
      </c>
      <c r="V519" s="156">
        <f t="shared" si="249"/>
        <v>0</v>
      </c>
      <c r="W519" s="156">
        <f t="shared" si="249"/>
        <v>0</v>
      </c>
      <c r="X519" s="156">
        <f t="shared" si="249"/>
        <v>0</v>
      </c>
      <c r="Y519" s="156">
        <f t="shared" si="249"/>
        <v>0</v>
      </c>
      <c r="Z519" s="156">
        <f t="shared" si="249"/>
        <v>0</v>
      </c>
      <c r="AA519" s="156">
        <f t="shared" si="249"/>
        <v>0</v>
      </c>
      <c r="AB519" s="156">
        <f t="shared" si="249"/>
        <v>0</v>
      </c>
      <c r="AC519" s="156">
        <f t="shared" si="249"/>
        <v>0</v>
      </c>
      <c r="AD519" s="156">
        <f t="shared" si="249"/>
        <v>0</v>
      </c>
      <c r="AE519" s="156">
        <f t="shared" si="249"/>
        <v>0</v>
      </c>
      <c r="AF519" s="156">
        <f t="shared" si="249"/>
        <v>0</v>
      </c>
      <c r="AG519" s="156">
        <f t="shared" si="249"/>
        <v>0</v>
      </c>
      <c r="AH519" s="156">
        <f t="shared" si="249"/>
        <v>0</v>
      </c>
      <c r="AI519" s="156">
        <f t="shared" si="249"/>
        <v>0</v>
      </c>
      <c r="AJ519" s="156">
        <f t="shared" si="249"/>
        <v>0</v>
      </c>
      <c r="AK519" s="156">
        <f t="shared" si="249"/>
        <v>0</v>
      </c>
      <c r="AL519" s="156">
        <f t="shared" si="249"/>
        <v>0</v>
      </c>
      <c r="AM519" s="156">
        <f t="shared" si="249"/>
        <v>0</v>
      </c>
      <c r="AN519" s="156">
        <f t="shared" si="249"/>
        <v>0</v>
      </c>
      <c r="AO519" s="156">
        <f t="shared" si="249"/>
        <v>0</v>
      </c>
      <c r="AP519" s="156">
        <f t="shared" si="249"/>
        <v>0</v>
      </c>
    </row>
    <row r="520" spans="1:42" x14ac:dyDescent="0.4">
      <c r="A520" s="4">
        <f t="shared" si="245"/>
        <v>7</v>
      </c>
      <c r="C520" s="156">
        <f t="shared" ref="C520:AP520" si="250">C381</f>
        <v>0</v>
      </c>
      <c r="D520" s="156">
        <f t="shared" si="250"/>
        <v>0</v>
      </c>
      <c r="E520" s="156">
        <f t="shared" si="250"/>
        <v>0</v>
      </c>
      <c r="F520" s="156">
        <f t="shared" si="250"/>
        <v>0</v>
      </c>
      <c r="G520" s="156">
        <f t="shared" si="250"/>
        <v>0</v>
      </c>
      <c r="H520" s="156">
        <f t="shared" si="250"/>
        <v>0</v>
      </c>
      <c r="I520" s="156">
        <f t="shared" si="250"/>
        <v>0</v>
      </c>
      <c r="J520" s="156">
        <f t="shared" si="250"/>
        <v>0</v>
      </c>
      <c r="K520" s="156">
        <f t="shared" si="250"/>
        <v>0</v>
      </c>
      <c r="L520" s="156">
        <f t="shared" si="250"/>
        <v>0</v>
      </c>
      <c r="M520" s="156">
        <f t="shared" si="250"/>
        <v>0</v>
      </c>
      <c r="N520" s="156">
        <f t="shared" si="250"/>
        <v>0</v>
      </c>
      <c r="O520" s="156">
        <f t="shared" si="250"/>
        <v>0</v>
      </c>
      <c r="P520" s="156">
        <f t="shared" si="250"/>
        <v>0</v>
      </c>
      <c r="Q520" s="156">
        <f t="shared" si="250"/>
        <v>0</v>
      </c>
      <c r="R520" s="156">
        <f t="shared" si="250"/>
        <v>0</v>
      </c>
      <c r="S520" s="156">
        <f t="shared" si="250"/>
        <v>0</v>
      </c>
      <c r="T520" s="156">
        <f t="shared" si="250"/>
        <v>0</v>
      </c>
      <c r="U520" s="156">
        <f t="shared" si="250"/>
        <v>0</v>
      </c>
      <c r="V520" s="156">
        <f t="shared" si="250"/>
        <v>0</v>
      </c>
      <c r="W520" s="156">
        <f t="shared" si="250"/>
        <v>0</v>
      </c>
      <c r="X520" s="156">
        <f t="shared" si="250"/>
        <v>0</v>
      </c>
      <c r="Y520" s="156">
        <f t="shared" si="250"/>
        <v>0</v>
      </c>
      <c r="Z520" s="156">
        <f t="shared" si="250"/>
        <v>0</v>
      </c>
      <c r="AA520" s="156">
        <f t="shared" si="250"/>
        <v>0</v>
      </c>
      <c r="AB520" s="156">
        <f t="shared" si="250"/>
        <v>0</v>
      </c>
      <c r="AC520" s="156">
        <f t="shared" si="250"/>
        <v>0</v>
      </c>
      <c r="AD520" s="156">
        <f t="shared" si="250"/>
        <v>0</v>
      </c>
      <c r="AE520" s="156">
        <f t="shared" si="250"/>
        <v>0</v>
      </c>
      <c r="AF520" s="156">
        <f t="shared" si="250"/>
        <v>0</v>
      </c>
      <c r="AG520" s="156">
        <f t="shared" si="250"/>
        <v>0</v>
      </c>
      <c r="AH520" s="156">
        <f t="shared" si="250"/>
        <v>0</v>
      </c>
      <c r="AI520" s="156">
        <f t="shared" si="250"/>
        <v>0</v>
      </c>
      <c r="AJ520" s="156">
        <f t="shared" si="250"/>
        <v>0</v>
      </c>
      <c r="AK520" s="156">
        <f t="shared" si="250"/>
        <v>0</v>
      </c>
      <c r="AL520" s="156">
        <f t="shared" si="250"/>
        <v>0</v>
      </c>
      <c r="AM520" s="156">
        <f t="shared" si="250"/>
        <v>0</v>
      </c>
      <c r="AN520" s="156">
        <f t="shared" si="250"/>
        <v>0</v>
      </c>
      <c r="AO520" s="156">
        <f t="shared" si="250"/>
        <v>0</v>
      </c>
      <c r="AP520" s="156">
        <f t="shared" si="250"/>
        <v>0</v>
      </c>
    </row>
    <row r="521" spans="1:42" x14ac:dyDescent="0.4">
      <c r="A521" s="4">
        <f t="shared" si="245"/>
        <v>8</v>
      </c>
      <c r="C521" s="156">
        <f t="shared" ref="C521:AP521" si="251">C382</f>
        <v>0</v>
      </c>
      <c r="D521" s="156">
        <f t="shared" si="251"/>
        <v>0</v>
      </c>
      <c r="E521" s="156">
        <f t="shared" si="251"/>
        <v>0</v>
      </c>
      <c r="F521" s="156">
        <f t="shared" si="251"/>
        <v>0</v>
      </c>
      <c r="G521" s="156">
        <f t="shared" si="251"/>
        <v>0</v>
      </c>
      <c r="H521" s="156">
        <f t="shared" si="251"/>
        <v>0</v>
      </c>
      <c r="I521" s="156">
        <f t="shared" si="251"/>
        <v>0</v>
      </c>
      <c r="J521" s="156">
        <f t="shared" si="251"/>
        <v>0</v>
      </c>
      <c r="K521" s="156">
        <f t="shared" si="251"/>
        <v>0</v>
      </c>
      <c r="L521" s="156">
        <f t="shared" si="251"/>
        <v>0</v>
      </c>
      <c r="M521" s="156">
        <f t="shared" si="251"/>
        <v>0</v>
      </c>
      <c r="N521" s="156">
        <f t="shared" si="251"/>
        <v>0</v>
      </c>
      <c r="O521" s="156">
        <f t="shared" si="251"/>
        <v>0</v>
      </c>
      <c r="P521" s="156">
        <f t="shared" si="251"/>
        <v>0</v>
      </c>
      <c r="Q521" s="156">
        <f t="shared" si="251"/>
        <v>0</v>
      </c>
      <c r="R521" s="156">
        <f t="shared" si="251"/>
        <v>0</v>
      </c>
      <c r="S521" s="156">
        <f t="shared" si="251"/>
        <v>0</v>
      </c>
      <c r="T521" s="156">
        <f t="shared" si="251"/>
        <v>0</v>
      </c>
      <c r="U521" s="156">
        <f t="shared" si="251"/>
        <v>0</v>
      </c>
      <c r="V521" s="156">
        <f t="shared" si="251"/>
        <v>0</v>
      </c>
      <c r="W521" s="156">
        <f t="shared" si="251"/>
        <v>0</v>
      </c>
      <c r="X521" s="156">
        <f t="shared" si="251"/>
        <v>0</v>
      </c>
      <c r="Y521" s="156">
        <f t="shared" si="251"/>
        <v>0</v>
      </c>
      <c r="Z521" s="156">
        <f t="shared" si="251"/>
        <v>0</v>
      </c>
      <c r="AA521" s="156">
        <f t="shared" si="251"/>
        <v>0</v>
      </c>
      <c r="AB521" s="156">
        <f t="shared" si="251"/>
        <v>0</v>
      </c>
      <c r="AC521" s="156">
        <f t="shared" si="251"/>
        <v>0</v>
      </c>
      <c r="AD521" s="156">
        <f t="shared" si="251"/>
        <v>0</v>
      </c>
      <c r="AE521" s="156">
        <f t="shared" si="251"/>
        <v>0</v>
      </c>
      <c r="AF521" s="156">
        <f t="shared" si="251"/>
        <v>0</v>
      </c>
      <c r="AG521" s="156">
        <f t="shared" si="251"/>
        <v>0</v>
      </c>
      <c r="AH521" s="156">
        <f t="shared" si="251"/>
        <v>0</v>
      </c>
      <c r="AI521" s="156">
        <f t="shared" si="251"/>
        <v>0</v>
      </c>
      <c r="AJ521" s="156">
        <f t="shared" si="251"/>
        <v>0</v>
      </c>
      <c r="AK521" s="156">
        <f t="shared" si="251"/>
        <v>0</v>
      </c>
      <c r="AL521" s="156">
        <f t="shared" si="251"/>
        <v>0</v>
      </c>
      <c r="AM521" s="156">
        <f t="shared" si="251"/>
        <v>0</v>
      </c>
      <c r="AN521" s="156">
        <f t="shared" si="251"/>
        <v>0</v>
      </c>
      <c r="AO521" s="156">
        <f t="shared" si="251"/>
        <v>0</v>
      </c>
      <c r="AP521" s="156">
        <f t="shared" si="251"/>
        <v>0</v>
      </c>
    </row>
    <row r="522" spans="1:42" x14ac:dyDescent="0.4">
      <c r="A522" s="4">
        <f>A521+1</f>
        <v>9</v>
      </c>
      <c r="C522" s="156">
        <f t="shared" ref="C522:AP522" si="252">C383</f>
        <v>0</v>
      </c>
      <c r="D522" s="156">
        <f t="shared" si="252"/>
        <v>0</v>
      </c>
      <c r="E522" s="156">
        <f t="shared" si="252"/>
        <v>0</v>
      </c>
      <c r="F522" s="156">
        <f t="shared" si="252"/>
        <v>0</v>
      </c>
      <c r="G522" s="156">
        <f t="shared" si="252"/>
        <v>0</v>
      </c>
      <c r="H522" s="156">
        <f t="shared" si="252"/>
        <v>0</v>
      </c>
      <c r="I522" s="156">
        <f t="shared" si="252"/>
        <v>0</v>
      </c>
      <c r="J522" s="156">
        <f t="shared" si="252"/>
        <v>0</v>
      </c>
      <c r="K522" s="156">
        <f t="shared" si="252"/>
        <v>0</v>
      </c>
      <c r="L522" s="156">
        <f t="shared" si="252"/>
        <v>0</v>
      </c>
      <c r="M522" s="156">
        <f t="shared" si="252"/>
        <v>0</v>
      </c>
      <c r="N522" s="156">
        <f t="shared" si="252"/>
        <v>0</v>
      </c>
      <c r="O522" s="156">
        <f t="shared" si="252"/>
        <v>0</v>
      </c>
      <c r="P522" s="156">
        <f t="shared" si="252"/>
        <v>0</v>
      </c>
      <c r="Q522" s="156">
        <f t="shared" si="252"/>
        <v>0</v>
      </c>
      <c r="R522" s="156">
        <f t="shared" si="252"/>
        <v>0</v>
      </c>
      <c r="S522" s="156">
        <f t="shared" si="252"/>
        <v>0</v>
      </c>
      <c r="T522" s="156">
        <f t="shared" si="252"/>
        <v>0</v>
      </c>
      <c r="U522" s="156">
        <f t="shared" si="252"/>
        <v>0</v>
      </c>
      <c r="V522" s="156">
        <f t="shared" si="252"/>
        <v>0</v>
      </c>
      <c r="W522" s="156">
        <f t="shared" si="252"/>
        <v>0</v>
      </c>
      <c r="X522" s="156">
        <f t="shared" si="252"/>
        <v>0</v>
      </c>
      <c r="Y522" s="156">
        <f t="shared" si="252"/>
        <v>0</v>
      </c>
      <c r="Z522" s="156">
        <f t="shared" si="252"/>
        <v>0</v>
      </c>
      <c r="AA522" s="156">
        <f t="shared" si="252"/>
        <v>0</v>
      </c>
      <c r="AB522" s="156">
        <f t="shared" si="252"/>
        <v>0</v>
      </c>
      <c r="AC522" s="156">
        <f t="shared" si="252"/>
        <v>0</v>
      </c>
      <c r="AD522" s="156">
        <f t="shared" si="252"/>
        <v>0</v>
      </c>
      <c r="AE522" s="156">
        <f t="shared" si="252"/>
        <v>0</v>
      </c>
      <c r="AF522" s="156">
        <f t="shared" si="252"/>
        <v>0</v>
      </c>
      <c r="AG522" s="156">
        <f t="shared" si="252"/>
        <v>0</v>
      </c>
      <c r="AH522" s="156">
        <f t="shared" si="252"/>
        <v>0</v>
      </c>
      <c r="AI522" s="156">
        <f t="shared" si="252"/>
        <v>0</v>
      </c>
      <c r="AJ522" s="156">
        <f t="shared" si="252"/>
        <v>0</v>
      </c>
      <c r="AK522" s="156">
        <f t="shared" si="252"/>
        <v>0</v>
      </c>
      <c r="AL522" s="156">
        <f t="shared" si="252"/>
        <v>0</v>
      </c>
      <c r="AM522" s="156">
        <f t="shared" si="252"/>
        <v>0</v>
      </c>
      <c r="AN522" s="156">
        <f t="shared" si="252"/>
        <v>0</v>
      </c>
      <c r="AO522" s="156">
        <f t="shared" si="252"/>
        <v>0</v>
      </c>
      <c r="AP522" s="156">
        <f t="shared" si="252"/>
        <v>0</v>
      </c>
    </row>
    <row r="523" spans="1:42" x14ac:dyDescent="0.4">
      <c r="A523" s="4">
        <f t="shared" ref="A523" si="253">A522+1</f>
        <v>10</v>
      </c>
      <c r="C523" s="156">
        <f t="shared" ref="C523:AP523" si="254">C384</f>
        <v>0</v>
      </c>
      <c r="D523" s="156">
        <f t="shared" si="254"/>
        <v>0</v>
      </c>
      <c r="E523" s="156">
        <f t="shared" si="254"/>
        <v>0</v>
      </c>
      <c r="F523" s="156">
        <f t="shared" si="254"/>
        <v>0</v>
      </c>
      <c r="G523" s="156">
        <f t="shared" si="254"/>
        <v>0</v>
      </c>
      <c r="H523" s="156">
        <f t="shared" si="254"/>
        <v>0</v>
      </c>
      <c r="I523" s="156">
        <f t="shared" si="254"/>
        <v>0</v>
      </c>
      <c r="J523" s="156">
        <f t="shared" si="254"/>
        <v>0</v>
      </c>
      <c r="K523" s="156">
        <f t="shared" si="254"/>
        <v>0</v>
      </c>
      <c r="L523" s="156">
        <f t="shared" si="254"/>
        <v>0</v>
      </c>
      <c r="M523" s="156">
        <f t="shared" si="254"/>
        <v>0</v>
      </c>
      <c r="N523" s="156">
        <f t="shared" si="254"/>
        <v>0</v>
      </c>
      <c r="O523" s="156">
        <f t="shared" si="254"/>
        <v>0</v>
      </c>
      <c r="P523" s="156">
        <f t="shared" si="254"/>
        <v>0</v>
      </c>
      <c r="Q523" s="156">
        <f t="shared" si="254"/>
        <v>0</v>
      </c>
      <c r="R523" s="156">
        <f t="shared" si="254"/>
        <v>0</v>
      </c>
      <c r="S523" s="156">
        <f t="shared" si="254"/>
        <v>0</v>
      </c>
      <c r="T523" s="156">
        <f t="shared" si="254"/>
        <v>0</v>
      </c>
      <c r="U523" s="156">
        <f t="shared" si="254"/>
        <v>0</v>
      </c>
      <c r="V523" s="156">
        <f t="shared" si="254"/>
        <v>0</v>
      </c>
      <c r="W523" s="156">
        <f t="shared" si="254"/>
        <v>0</v>
      </c>
      <c r="X523" s="156">
        <f t="shared" si="254"/>
        <v>0</v>
      </c>
      <c r="Y523" s="156">
        <f t="shared" si="254"/>
        <v>0</v>
      </c>
      <c r="Z523" s="156">
        <f t="shared" si="254"/>
        <v>0</v>
      </c>
      <c r="AA523" s="156">
        <f t="shared" si="254"/>
        <v>0</v>
      </c>
      <c r="AB523" s="156">
        <f t="shared" si="254"/>
        <v>0</v>
      </c>
      <c r="AC523" s="156">
        <f t="shared" si="254"/>
        <v>0</v>
      </c>
      <c r="AD523" s="156">
        <f t="shared" si="254"/>
        <v>0</v>
      </c>
      <c r="AE523" s="156">
        <f t="shared" si="254"/>
        <v>0</v>
      </c>
      <c r="AF523" s="156">
        <f t="shared" si="254"/>
        <v>0</v>
      </c>
      <c r="AG523" s="156">
        <f t="shared" si="254"/>
        <v>0</v>
      </c>
      <c r="AH523" s="156">
        <f t="shared" si="254"/>
        <v>0</v>
      </c>
      <c r="AI523" s="156">
        <f t="shared" si="254"/>
        <v>0</v>
      </c>
      <c r="AJ523" s="156">
        <f t="shared" si="254"/>
        <v>0</v>
      </c>
      <c r="AK523" s="156">
        <f t="shared" si="254"/>
        <v>0</v>
      </c>
      <c r="AL523" s="156">
        <f t="shared" si="254"/>
        <v>0</v>
      </c>
      <c r="AM523" s="156">
        <f t="shared" si="254"/>
        <v>0</v>
      </c>
      <c r="AN523" s="156">
        <f t="shared" si="254"/>
        <v>0</v>
      </c>
      <c r="AO523" s="156">
        <f t="shared" si="254"/>
        <v>0</v>
      </c>
      <c r="AP523" s="156">
        <f t="shared" si="254"/>
        <v>0</v>
      </c>
    </row>
    <row r="524" spans="1:42" x14ac:dyDescent="0.4">
      <c r="A524" s="21"/>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row>
    <row r="525" spans="1:42" x14ac:dyDescent="0.4">
      <c r="A525" s="87" t="s">
        <v>3</v>
      </c>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row>
    <row r="526" spans="1:42" x14ac:dyDescent="0.4">
      <c r="A526" s="4">
        <v>1</v>
      </c>
      <c r="B526" s="331">
        <f t="shared" ref="B526:B535" si="255">SUM(C526:AP526)</f>
        <v>0</v>
      </c>
      <c r="C526" s="156">
        <f t="shared" ref="C526:AP526" si="256">LOOKUP(C514,$B$457:$AP$457,$B$458:$AP$458)*$B725/100</f>
        <v>0</v>
      </c>
      <c r="D526" s="156">
        <f t="shared" si="256"/>
        <v>0</v>
      </c>
      <c r="E526" s="156">
        <f t="shared" si="256"/>
        <v>0</v>
      </c>
      <c r="F526" s="156">
        <f t="shared" si="256"/>
        <v>0</v>
      </c>
      <c r="G526" s="156">
        <f t="shared" si="256"/>
        <v>0</v>
      </c>
      <c r="H526" s="156">
        <f t="shared" si="256"/>
        <v>0</v>
      </c>
      <c r="I526" s="156">
        <f t="shared" si="256"/>
        <v>0</v>
      </c>
      <c r="J526" s="156">
        <f t="shared" si="256"/>
        <v>0</v>
      </c>
      <c r="K526" s="156">
        <f t="shared" si="256"/>
        <v>0</v>
      </c>
      <c r="L526" s="156">
        <f t="shared" si="256"/>
        <v>0</v>
      </c>
      <c r="M526" s="156">
        <f t="shared" si="256"/>
        <v>0</v>
      </c>
      <c r="N526" s="156">
        <f t="shared" si="256"/>
        <v>0</v>
      </c>
      <c r="O526" s="156">
        <f t="shared" si="256"/>
        <v>0</v>
      </c>
      <c r="P526" s="156">
        <f t="shared" si="256"/>
        <v>0</v>
      </c>
      <c r="Q526" s="156">
        <f t="shared" si="256"/>
        <v>0</v>
      </c>
      <c r="R526" s="156">
        <f t="shared" si="256"/>
        <v>0</v>
      </c>
      <c r="S526" s="156">
        <f t="shared" si="256"/>
        <v>0</v>
      </c>
      <c r="T526" s="156">
        <f t="shared" si="256"/>
        <v>0</v>
      </c>
      <c r="U526" s="156">
        <f t="shared" si="256"/>
        <v>0</v>
      </c>
      <c r="V526" s="156">
        <f t="shared" si="256"/>
        <v>0</v>
      </c>
      <c r="W526" s="156">
        <f t="shared" si="256"/>
        <v>0</v>
      </c>
      <c r="X526" s="156">
        <f t="shared" si="256"/>
        <v>0</v>
      </c>
      <c r="Y526" s="156">
        <f t="shared" si="256"/>
        <v>0</v>
      </c>
      <c r="Z526" s="156">
        <f t="shared" si="256"/>
        <v>0</v>
      </c>
      <c r="AA526" s="156">
        <f t="shared" si="256"/>
        <v>0</v>
      </c>
      <c r="AB526" s="156">
        <f t="shared" si="256"/>
        <v>0</v>
      </c>
      <c r="AC526" s="156">
        <f t="shared" si="256"/>
        <v>0</v>
      </c>
      <c r="AD526" s="156">
        <f t="shared" si="256"/>
        <v>0</v>
      </c>
      <c r="AE526" s="156">
        <f t="shared" si="256"/>
        <v>0</v>
      </c>
      <c r="AF526" s="156">
        <f t="shared" si="256"/>
        <v>0</v>
      </c>
      <c r="AG526" s="156">
        <f t="shared" si="256"/>
        <v>0</v>
      </c>
      <c r="AH526" s="156">
        <f t="shared" si="256"/>
        <v>0</v>
      </c>
      <c r="AI526" s="156">
        <f t="shared" si="256"/>
        <v>0</v>
      </c>
      <c r="AJ526" s="156">
        <f t="shared" si="256"/>
        <v>0</v>
      </c>
      <c r="AK526" s="156">
        <f t="shared" si="256"/>
        <v>0</v>
      </c>
      <c r="AL526" s="156">
        <f t="shared" si="256"/>
        <v>0</v>
      </c>
      <c r="AM526" s="156">
        <f t="shared" si="256"/>
        <v>0</v>
      </c>
      <c r="AN526" s="156">
        <f t="shared" si="256"/>
        <v>0</v>
      </c>
      <c r="AO526" s="156">
        <f t="shared" si="256"/>
        <v>0</v>
      </c>
      <c r="AP526" s="156">
        <f t="shared" si="256"/>
        <v>0</v>
      </c>
    </row>
    <row r="527" spans="1:42" x14ac:dyDescent="0.4">
      <c r="A527" s="4">
        <f>A526+1</f>
        <v>2</v>
      </c>
      <c r="B527" s="331">
        <f t="shared" si="255"/>
        <v>0</v>
      </c>
      <c r="C527" s="156">
        <f t="shared" ref="C527:AP527" si="257">LOOKUP(C515,$B$457:$AP$457,$B$458:$AP$458)*$B726/100</f>
        <v>0</v>
      </c>
      <c r="D527" s="156">
        <f t="shared" si="257"/>
        <v>0</v>
      </c>
      <c r="E527" s="156">
        <f t="shared" si="257"/>
        <v>0</v>
      </c>
      <c r="F527" s="156">
        <f t="shared" si="257"/>
        <v>0</v>
      </c>
      <c r="G527" s="156">
        <f t="shared" si="257"/>
        <v>0</v>
      </c>
      <c r="H527" s="156">
        <f t="shared" si="257"/>
        <v>0</v>
      </c>
      <c r="I527" s="156">
        <f t="shared" si="257"/>
        <v>0</v>
      </c>
      <c r="J527" s="156">
        <f t="shared" si="257"/>
        <v>0</v>
      </c>
      <c r="K527" s="156">
        <f t="shared" si="257"/>
        <v>0</v>
      </c>
      <c r="L527" s="156">
        <f t="shared" si="257"/>
        <v>0</v>
      </c>
      <c r="M527" s="156">
        <f t="shared" si="257"/>
        <v>0</v>
      </c>
      <c r="N527" s="156">
        <f t="shared" si="257"/>
        <v>0</v>
      </c>
      <c r="O527" s="156">
        <f t="shared" si="257"/>
        <v>0</v>
      </c>
      <c r="P527" s="156">
        <f t="shared" si="257"/>
        <v>0</v>
      </c>
      <c r="Q527" s="156">
        <f t="shared" si="257"/>
        <v>0</v>
      </c>
      <c r="R527" s="156">
        <f t="shared" si="257"/>
        <v>0</v>
      </c>
      <c r="S527" s="156">
        <f t="shared" si="257"/>
        <v>0</v>
      </c>
      <c r="T527" s="156">
        <f t="shared" si="257"/>
        <v>0</v>
      </c>
      <c r="U527" s="156">
        <f t="shared" si="257"/>
        <v>0</v>
      </c>
      <c r="V527" s="156">
        <f t="shared" si="257"/>
        <v>0</v>
      </c>
      <c r="W527" s="156">
        <f t="shared" si="257"/>
        <v>0</v>
      </c>
      <c r="X527" s="156">
        <f t="shared" si="257"/>
        <v>0</v>
      </c>
      <c r="Y527" s="156">
        <f t="shared" si="257"/>
        <v>0</v>
      </c>
      <c r="Z527" s="156">
        <f t="shared" si="257"/>
        <v>0</v>
      </c>
      <c r="AA527" s="156">
        <f t="shared" si="257"/>
        <v>0</v>
      </c>
      <c r="AB527" s="156">
        <f t="shared" si="257"/>
        <v>0</v>
      </c>
      <c r="AC527" s="156">
        <f t="shared" si="257"/>
        <v>0</v>
      </c>
      <c r="AD527" s="156">
        <f t="shared" si="257"/>
        <v>0</v>
      </c>
      <c r="AE527" s="156">
        <f t="shared" si="257"/>
        <v>0</v>
      </c>
      <c r="AF527" s="156">
        <f t="shared" si="257"/>
        <v>0</v>
      </c>
      <c r="AG527" s="156">
        <f t="shared" si="257"/>
        <v>0</v>
      </c>
      <c r="AH527" s="156">
        <f t="shared" si="257"/>
        <v>0</v>
      </c>
      <c r="AI527" s="156">
        <f t="shared" si="257"/>
        <v>0</v>
      </c>
      <c r="AJ527" s="156">
        <f t="shared" si="257"/>
        <v>0</v>
      </c>
      <c r="AK527" s="156">
        <f t="shared" si="257"/>
        <v>0</v>
      </c>
      <c r="AL527" s="156">
        <f t="shared" si="257"/>
        <v>0</v>
      </c>
      <c r="AM527" s="156">
        <f t="shared" si="257"/>
        <v>0</v>
      </c>
      <c r="AN527" s="156">
        <f t="shared" si="257"/>
        <v>0</v>
      </c>
      <c r="AO527" s="156">
        <f t="shared" si="257"/>
        <v>0</v>
      </c>
      <c r="AP527" s="156">
        <f t="shared" si="257"/>
        <v>0</v>
      </c>
    </row>
    <row r="528" spans="1:42" x14ac:dyDescent="0.4">
      <c r="A528" s="4">
        <f t="shared" ref="A528:A533" si="258">A527+1</f>
        <v>3</v>
      </c>
      <c r="B528" s="331">
        <f t="shared" si="255"/>
        <v>0</v>
      </c>
      <c r="C528" s="156">
        <f t="shared" ref="C528:AP528" si="259">LOOKUP(C516,$B$457:$AP$457,$B$458:$AP$458)*$B727/100</f>
        <v>0</v>
      </c>
      <c r="D528" s="156">
        <f t="shared" si="259"/>
        <v>0</v>
      </c>
      <c r="E528" s="156">
        <f t="shared" si="259"/>
        <v>0</v>
      </c>
      <c r="F528" s="156">
        <f t="shared" si="259"/>
        <v>0</v>
      </c>
      <c r="G528" s="156">
        <f t="shared" si="259"/>
        <v>0</v>
      </c>
      <c r="H528" s="156">
        <f t="shared" si="259"/>
        <v>0</v>
      </c>
      <c r="I528" s="156">
        <f t="shared" si="259"/>
        <v>0</v>
      </c>
      <c r="J528" s="156">
        <f t="shared" si="259"/>
        <v>0</v>
      </c>
      <c r="K528" s="156">
        <f t="shared" si="259"/>
        <v>0</v>
      </c>
      <c r="L528" s="156">
        <f t="shared" si="259"/>
        <v>0</v>
      </c>
      <c r="M528" s="156">
        <f t="shared" si="259"/>
        <v>0</v>
      </c>
      <c r="N528" s="156">
        <f t="shared" si="259"/>
        <v>0</v>
      </c>
      <c r="O528" s="156">
        <f t="shared" si="259"/>
        <v>0</v>
      </c>
      <c r="P528" s="156">
        <f t="shared" si="259"/>
        <v>0</v>
      </c>
      <c r="Q528" s="156">
        <f t="shared" si="259"/>
        <v>0</v>
      </c>
      <c r="R528" s="156">
        <f t="shared" si="259"/>
        <v>0</v>
      </c>
      <c r="S528" s="156">
        <f t="shared" si="259"/>
        <v>0</v>
      </c>
      <c r="T528" s="156">
        <f t="shared" si="259"/>
        <v>0</v>
      </c>
      <c r="U528" s="156">
        <f t="shared" si="259"/>
        <v>0</v>
      </c>
      <c r="V528" s="156">
        <f t="shared" si="259"/>
        <v>0</v>
      </c>
      <c r="W528" s="156">
        <f t="shared" si="259"/>
        <v>0</v>
      </c>
      <c r="X528" s="156">
        <f t="shared" si="259"/>
        <v>0</v>
      </c>
      <c r="Y528" s="156">
        <f t="shared" si="259"/>
        <v>0</v>
      </c>
      <c r="Z528" s="156">
        <f t="shared" si="259"/>
        <v>0</v>
      </c>
      <c r="AA528" s="156">
        <f t="shared" si="259"/>
        <v>0</v>
      </c>
      <c r="AB528" s="156">
        <f t="shared" si="259"/>
        <v>0</v>
      </c>
      <c r="AC528" s="156">
        <f t="shared" si="259"/>
        <v>0</v>
      </c>
      <c r="AD528" s="156">
        <f t="shared" si="259"/>
        <v>0</v>
      </c>
      <c r="AE528" s="156">
        <f t="shared" si="259"/>
        <v>0</v>
      </c>
      <c r="AF528" s="156">
        <f t="shared" si="259"/>
        <v>0</v>
      </c>
      <c r="AG528" s="156">
        <f t="shared" si="259"/>
        <v>0</v>
      </c>
      <c r="AH528" s="156">
        <f t="shared" si="259"/>
        <v>0</v>
      </c>
      <c r="AI528" s="156">
        <f t="shared" si="259"/>
        <v>0</v>
      </c>
      <c r="AJ528" s="156">
        <f t="shared" si="259"/>
        <v>0</v>
      </c>
      <c r="AK528" s="156">
        <f t="shared" si="259"/>
        <v>0</v>
      </c>
      <c r="AL528" s="156">
        <f t="shared" si="259"/>
        <v>0</v>
      </c>
      <c r="AM528" s="156">
        <f t="shared" si="259"/>
        <v>0</v>
      </c>
      <c r="AN528" s="156">
        <f t="shared" si="259"/>
        <v>0</v>
      </c>
      <c r="AO528" s="156">
        <f t="shared" si="259"/>
        <v>0</v>
      </c>
      <c r="AP528" s="156">
        <f t="shared" si="259"/>
        <v>0</v>
      </c>
    </row>
    <row r="529" spans="1:42" x14ac:dyDescent="0.4">
      <c r="A529" s="4">
        <f t="shared" si="258"/>
        <v>4</v>
      </c>
      <c r="B529" s="331">
        <f t="shared" si="255"/>
        <v>0</v>
      </c>
      <c r="C529" s="156">
        <f t="shared" ref="C529:AP529" si="260">LOOKUP(C517,$B$457:$AP$457,$B$458:$AP$458)*$B728/100</f>
        <v>0</v>
      </c>
      <c r="D529" s="156">
        <f t="shared" si="260"/>
        <v>0</v>
      </c>
      <c r="E529" s="156">
        <f t="shared" si="260"/>
        <v>0</v>
      </c>
      <c r="F529" s="156">
        <f t="shared" si="260"/>
        <v>0</v>
      </c>
      <c r="G529" s="156">
        <f t="shared" si="260"/>
        <v>0</v>
      </c>
      <c r="H529" s="156">
        <f t="shared" si="260"/>
        <v>0</v>
      </c>
      <c r="I529" s="156">
        <f t="shared" si="260"/>
        <v>0</v>
      </c>
      <c r="J529" s="156">
        <f t="shared" si="260"/>
        <v>0</v>
      </c>
      <c r="K529" s="156">
        <f t="shared" si="260"/>
        <v>0</v>
      </c>
      <c r="L529" s="156">
        <f t="shared" si="260"/>
        <v>0</v>
      </c>
      <c r="M529" s="156">
        <f t="shared" si="260"/>
        <v>0</v>
      </c>
      <c r="N529" s="156">
        <f t="shared" si="260"/>
        <v>0</v>
      </c>
      <c r="O529" s="156">
        <f t="shared" si="260"/>
        <v>0</v>
      </c>
      <c r="P529" s="156">
        <f t="shared" si="260"/>
        <v>0</v>
      </c>
      <c r="Q529" s="156">
        <f t="shared" si="260"/>
        <v>0</v>
      </c>
      <c r="R529" s="156">
        <f t="shared" si="260"/>
        <v>0</v>
      </c>
      <c r="S529" s="156">
        <f t="shared" si="260"/>
        <v>0</v>
      </c>
      <c r="T529" s="156">
        <f t="shared" si="260"/>
        <v>0</v>
      </c>
      <c r="U529" s="156">
        <f t="shared" si="260"/>
        <v>0</v>
      </c>
      <c r="V529" s="156">
        <f t="shared" si="260"/>
        <v>0</v>
      </c>
      <c r="W529" s="156">
        <f t="shared" si="260"/>
        <v>0</v>
      </c>
      <c r="X529" s="156">
        <f t="shared" si="260"/>
        <v>0</v>
      </c>
      <c r="Y529" s="156">
        <f t="shared" si="260"/>
        <v>0</v>
      </c>
      <c r="Z529" s="156">
        <f t="shared" si="260"/>
        <v>0</v>
      </c>
      <c r="AA529" s="156">
        <f t="shared" si="260"/>
        <v>0</v>
      </c>
      <c r="AB529" s="156">
        <f t="shared" si="260"/>
        <v>0</v>
      </c>
      <c r="AC529" s="156">
        <f t="shared" si="260"/>
        <v>0</v>
      </c>
      <c r="AD529" s="156">
        <f t="shared" si="260"/>
        <v>0</v>
      </c>
      <c r="AE529" s="156">
        <f t="shared" si="260"/>
        <v>0</v>
      </c>
      <c r="AF529" s="156">
        <f t="shared" si="260"/>
        <v>0</v>
      </c>
      <c r="AG529" s="156">
        <f t="shared" si="260"/>
        <v>0</v>
      </c>
      <c r="AH529" s="156">
        <f t="shared" si="260"/>
        <v>0</v>
      </c>
      <c r="AI529" s="156">
        <f t="shared" si="260"/>
        <v>0</v>
      </c>
      <c r="AJ529" s="156">
        <f t="shared" si="260"/>
        <v>0</v>
      </c>
      <c r="AK529" s="156">
        <f t="shared" si="260"/>
        <v>0</v>
      </c>
      <c r="AL529" s="156">
        <f t="shared" si="260"/>
        <v>0</v>
      </c>
      <c r="AM529" s="156">
        <f t="shared" si="260"/>
        <v>0</v>
      </c>
      <c r="AN529" s="156">
        <f t="shared" si="260"/>
        <v>0</v>
      </c>
      <c r="AO529" s="156">
        <f t="shared" si="260"/>
        <v>0</v>
      </c>
      <c r="AP529" s="156">
        <f t="shared" si="260"/>
        <v>0</v>
      </c>
    </row>
    <row r="530" spans="1:42" x14ac:dyDescent="0.4">
      <c r="A530" s="4">
        <f t="shared" si="258"/>
        <v>5</v>
      </c>
      <c r="B530" s="331">
        <f t="shared" si="255"/>
        <v>0</v>
      </c>
      <c r="C530" s="156">
        <f t="shared" ref="C530:AP530" si="261">LOOKUP(C518,$B$457:$AP$457,$B$458:$AP$458)*$B729/100</f>
        <v>0</v>
      </c>
      <c r="D530" s="156">
        <f t="shared" si="261"/>
        <v>0</v>
      </c>
      <c r="E530" s="156">
        <f t="shared" si="261"/>
        <v>0</v>
      </c>
      <c r="F530" s="156">
        <f t="shared" si="261"/>
        <v>0</v>
      </c>
      <c r="G530" s="156">
        <f t="shared" si="261"/>
        <v>0</v>
      </c>
      <c r="H530" s="156">
        <f t="shared" si="261"/>
        <v>0</v>
      </c>
      <c r="I530" s="156">
        <f t="shared" si="261"/>
        <v>0</v>
      </c>
      <c r="J530" s="156">
        <f t="shared" si="261"/>
        <v>0</v>
      </c>
      <c r="K530" s="156">
        <f t="shared" si="261"/>
        <v>0</v>
      </c>
      <c r="L530" s="156">
        <f t="shared" si="261"/>
        <v>0</v>
      </c>
      <c r="M530" s="156">
        <f t="shared" si="261"/>
        <v>0</v>
      </c>
      <c r="N530" s="156">
        <f t="shared" si="261"/>
        <v>0</v>
      </c>
      <c r="O530" s="156">
        <f t="shared" si="261"/>
        <v>0</v>
      </c>
      <c r="P530" s="156">
        <f t="shared" si="261"/>
        <v>0</v>
      </c>
      <c r="Q530" s="156">
        <f t="shared" si="261"/>
        <v>0</v>
      </c>
      <c r="R530" s="156">
        <f t="shared" si="261"/>
        <v>0</v>
      </c>
      <c r="S530" s="156">
        <f t="shared" si="261"/>
        <v>0</v>
      </c>
      <c r="T530" s="156">
        <f t="shared" si="261"/>
        <v>0</v>
      </c>
      <c r="U530" s="156">
        <f t="shared" si="261"/>
        <v>0</v>
      </c>
      <c r="V530" s="156">
        <f t="shared" si="261"/>
        <v>0</v>
      </c>
      <c r="W530" s="156">
        <f t="shared" si="261"/>
        <v>0</v>
      </c>
      <c r="X530" s="156">
        <f t="shared" si="261"/>
        <v>0</v>
      </c>
      <c r="Y530" s="156">
        <f t="shared" si="261"/>
        <v>0</v>
      </c>
      <c r="Z530" s="156">
        <f t="shared" si="261"/>
        <v>0</v>
      </c>
      <c r="AA530" s="156">
        <f t="shared" si="261"/>
        <v>0</v>
      </c>
      <c r="AB530" s="156">
        <f t="shared" si="261"/>
        <v>0</v>
      </c>
      <c r="AC530" s="156">
        <f t="shared" si="261"/>
        <v>0</v>
      </c>
      <c r="AD530" s="156">
        <f t="shared" si="261"/>
        <v>0</v>
      </c>
      <c r="AE530" s="156">
        <f t="shared" si="261"/>
        <v>0</v>
      </c>
      <c r="AF530" s="156">
        <f t="shared" si="261"/>
        <v>0</v>
      </c>
      <c r="AG530" s="156">
        <f t="shared" si="261"/>
        <v>0</v>
      </c>
      <c r="AH530" s="156">
        <f t="shared" si="261"/>
        <v>0</v>
      </c>
      <c r="AI530" s="156">
        <f t="shared" si="261"/>
        <v>0</v>
      </c>
      <c r="AJ530" s="156">
        <f t="shared" si="261"/>
        <v>0</v>
      </c>
      <c r="AK530" s="156">
        <f t="shared" si="261"/>
        <v>0</v>
      </c>
      <c r="AL530" s="156">
        <f t="shared" si="261"/>
        <v>0</v>
      </c>
      <c r="AM530" s="156">
        <f t="shared" si="261"/>
        <v>0</v>
      </c>
      <c r="AN530" s="156">
        <f t="shared" si="261"/>
        <v>0</v>
      </c>
      <c r="AO530" s="156">
        <f t="shared" si="261"/>
        <v>0</v>
      </c>
      <c r="AP530" s="156">
        <f t="shared" si="261"/>
        <v>0</v>
      </c>
    </row>
    <row r="531" spans="1:42" x14ac:dyDescent="0.4">
      <c r="A531" s="4">
        <f t="shared" si="258"/>
        <v>6</v>
      </c>
      <c r="B531" s="331">
        <f t="shared" si="255"/>
        <v>0</v>
      </c>
      <c r="C531" s="156">
        <f t="shared" ref="C531:AP531" si="262">LOOKUP(C519,$B$457:$AP$457,$B$458:$AP$458)*$B730/100</f>
        <v>0</v>
      </c>
      <c r="D531" s="156">
        <f t="shared" si="262"/>
        <v>0</v>
      </c>
      <c r="E531" s="156">
        <f t="shared" si="262"/>
        <v>0</v>
      </c>
      <c r="F531" s="156">
        <f t="shared" si="262"/>
        <v>0</v>
      </c>
      <c r="G531" s="156">
        <f t="shared" si="262"/>
        <v>0</v>
      </c>
      <c r="H531" s="156">
        <f t="shared" si="262"/>
        <v>0</v>
      </c>
      <c r="I531" s="156">
        <f t="shared" si="262"/>
        <v>0</v>
      </c>
      <c r="J531" s="156">
        <f t="shared" si="262"/>
        <v>0</v>
      </c>
      <c r="K531" s="156">
        <f t="shared" si="262"/>
        <v>0</v>
      </c>
      <c r="L531" s="156">
        <f t="shared" si="262"/>
        <v>0</v>
      </c>
      <c r="M531" s="156">
        <f t="shared" si="262"/>
        <v>0</v>
      </c>
      <c r="N531" s="156">
        <f t="shared" si="262"/>
        <v>0</v>
      </c>
      <c r="O531" s="156">
        <f t="shared" si="262"/>
        <v>0</v>
      </c>
      <c r="P531" s="156">
        <f t="shared" si="262"/>
        <v>0</v>
      </c>
      <c r="Q531" s="156">
        <f t="shared" si="262"/>
        <v>0</v>
      </c>
      <c r="R531" s="156">
        <f t="shared" si="262"/>
        <v>0</v>
      </c>
      <c r="S531" s="156">
        <f t="shared" si="262"/>
        <v>0</v>
      </c>
      <c r="T531" s="156">
        <f t="shared" si="262"/>
        <v>0</v>
      </c>
      <c r="U531" s="156">
        <f t="shared" si="262"/>
        <v>0</v>
      </c>
      <c r="V531" s="156">
        <f t="shared" si="262"/>
        <v>0</v>
      </c>
      <c r="W531" s="156">
        <f t="shared" si="262"/>
        <v>0</v>
      </c>
      <c r="X531" s="156">
        <f t="shared" si="262"/>
        <v>0</v>
      </c>
      <c r="Y531" s="156">
        <f t="shared" si="262"/>
        <v>0</v>
      </c>
      <c r="Z531" s="156">
        <f t="shared" si="262"/>
        <v>0</v>
      </c>
      <c r="AA531" s="156">
        <f t="shared" si="262"/>
        <v>0</v>
      </c>
      <c r="AB531" s="156">
        <f t="shared" si="262"/>
        <v>0</v>
      </c>
      <c r="AC531" s="156">
        <f t="shared" si="262"/>
        <v>0</v>
      </c>
      <c r="AD531" s="156">
        <f t="shared" si="262"/>
        <v>0</v>
      </c>
      <c r="AE531" s="156">
        <f t="shared" si="262"/>
        <v>0</v>
      </c>
      <c r="AF531" s="156">
        <f t="shared" si="262"/>
        <v>0</v>
      </c>
      <c r="AG531" s="156">
        <f t="shared" si="262"/>
        <v>0</v>
      </c>
      <c r="AH531" s="156">
        <f t="shared" si="262"/>
        <v>0</v>
      </c>
      <c r="AI531" s="156">
        <f t="shared" si="262"/>
        <v>0</v>
      </c>
      <c r="AJ531" s="156">
        <f t="shared" si="262"/>
        <v>0</v>
      </c>
      <c r="AK531" s="156">
        <f t="shared" si="262"/>
        <v>0</v>
      </c>
      <c r="AL531" s="156">
        <f t="shared" si="262"/>
        <v>0</v>
      </c>
      <c r="AM531" s="156">
        <f t="shared" si="262"/>
        <v>0</v>
      </c>
      <c r="AN531" s="156">
        <f t="shared" si="262"/>
        <v>0</v>
      </c>
      <c r="AO531" s="156">
        <f t="shared" si="262"/>
        <v>0</v>
      </c>
      <c r="AP531" s="156">
        <f t="shared" si="262"/>
        <v>0</v>
      </c>
    </row>
    <row r="532" spans="1:42" x14ac:dyDescent="0.4">
      <c r="A532" s="4">
        <f t="shared" si="258"/>
        <v>7</v>
      </c>
      <c r="B532" s="331">
        <f t="shared" si="255"/>
        <v>0</v>
      </c>
      <c r="C532" s="156">
        <f t="shared" ref="C532:AP532" si="263">LOOKUP(C520,$B$457:$AP$457,$B$458:$AP$458)*$B731/100</f>
        <v>0</v>
      </c>
      <c r="D532" s="156">
        <f t="shared" si="263"/>
        <v>0</v>
      </c>
      <c r="E532" s="156">
        <f t="shared" si="263"/>
        <v>0</v>
      </c>
      <c r="F532" s="156">
        <f t="shared" si="263"/>
        <v>0</v>
      </c>
      <c r="G532" s="156">
        <f t="shared" si="263"/>
        <v>0</v>
      </c>
      <c r="H532" s="156">
        <f t="shared" si="263"/>
        <v>0</v>
      </c>
      <c r="I532" s="156">
        <f t="shared" si="263"/>
        <v>0</v>
      </c>
      <c r="J532" s="156">
        <f t="shared" si="263"/>
        <v>0</v>
      </c>
      <c r="K532" s="156">
        <f t="shared" si="263"/>
        <v>0</v>
      </c>
      <c r="L532" s="156">
        <f t="shared" si="263"/>
        <v>0</v>
      </c>
      <c r="M532" s="156">
        <f t="shared" si="263"/>
        <v>0</v>
      </c>
      <c r="N532" s="156">
        <f t="shared" si="263"/>
        <v>0</v>
      </c>
      <c r="O532" s="156">
        <f t="shared" si="263"/>
        <v>0</v>
      </c>
      <c r="P532" s="156">
        <f t="shared" si="263"/>
        <v>0</v>
      </c>
      <c r="Q532" s="156">
        <f t="shared" si="263"/>
        <v>0</v>
      </c>
      <c r="R532" s="156">
        <f t="shared" si="263"/>
        <v>0</v>
      </c>
      <c r="S532" s="156">
        <f t="shared" si="263"/>
        <v>0</v>
      </c>
      <c r="T532" s="156">
        <f t="shared" si="263"/>
        <v>0</v>
      </c>
      <c r="U532" s="156">
        <f t="shared" si="263"/>
        <v>0</v>
      </c>
      <c r="V532" s="156">
        <f t="shared" si="263"/>
        <v>0</v>
      </c>
      <c r="W532" s="156">
        <f t="shared" si="263"/>
        <v>0</v>
      </c>
      <c r="X532" s="156">
        <f t="shared" si="263"/>
        <v>0</v>
      </c>
      <c r="Y532" s="156">
        <f t="shared" si="263"/>
        <v>0</v>
      </c>
      <c r="Z532" s="156">
        <f t="shared" si="263"/>
        <v>0</v>
      </c>
      <c r="AA532" s="156">
        <f t="shared" si="263"/>
        <v>0</v>
      </c>
      <c r="AB532" s="156">
        <f t="shared" si="263"/>
        <v>0</v>
      </c>
      <c r="AC532" s="156">
        <f t="shared" si="263"/>
        <v>0</v>
      </c>
      <c r="AD532" s="156">
        <f t="shared" si="263"/>
        <v>0</v>
      </c>
      <c r="AE532" s="156">
        <f t="shared" si="263"/>
        <v>0</v>
      </c>
      <c r="AF532" s="156">
        <f t="shared" si="263"/>
        <v>0</v>
      </c>
      <c r="AG532" s="156">
        <f t="shared" si="263"/>
        <v>0</v>
      </c>
      <c r="AH532" s="156">
        <f t="shared" si="263"/>
        <v>0</v>
      </c>
      <c r="AI532" s="156">
        <f t="shared" si="263"/>
        <v>0</v>
      </c>
      <c r="AJ532" s="156">
        <f t="shared" si="263"/>
        <v>0</v>
      </c>
      <c r="AK532" s="156">
        <f t="shared" si="263"/>
        <v>0</v>
      </c>
      <c r="AL532" s="156">
        <f t="shared" si="263"/>
        <v>0</v>
      </c>
      <c r="AM532" s="156">
        <f t="shared" si="263"/>
        <v>0</v>
      </c>
      <c r="AN532" s="156">
        <f t="shared" si="263"/>
        <v>0</v>
      </c>
      <c r="AO532" s="156">
        <f t="shared" si="263"/>
        <v>0</v>
      </c>
      <c r="AP532" s="156">
        <f t="shared" si="263"/>
        <v>0</v>
      </c>
    </row>
    <row r="533" spans="1:42" x14ac:dyDescent="0.4">
      <c r="A533" s="4">
        <f t="shared" si="258"/>
        <v>8</v>
      </c>
      <c r="B533" s="331">
        <f t="shared" si="255"/>
        <v>0</v>
      </c>
      <c r="C533" s="156">
        <f t="shared" ref="C533:AP533" si="264">LOOKUP(C521,$B$457:$AP$457,$B$458:$AP$458)*$B732/100</f>
        <v>0</v>
      </c>
      <c r="D533" s="156">
        <f t="shared" si="264"/>
        <v>0</v>
      </c>
      <c r="E533" s="156">
        <f t="shared" si="264"/>
        <v>0</v>
      </c>
      <c r="F533" s="156">
        <f t="shared" si="264"/>
        <v>0</v>
      </c>
      <c r="G533" s="156">
        <f t="shared" si="264"/>
        <v>0</v>
      </c>
      <c r="H533" s="156">
        <f t="shared" si="264"/>
        <v>0</v>
      </c>
      <c r="I533" s="156">
        <f t="shared" si="264"/>
        <v>0</v>
      </c>
      <c r="J533" s="156">
        <f t="shared" si="264"/>
        <v>0</v>
      </c>
      <c r="K533" s="156">
        <f t="shared" si="264"/>
        <v>0</v>
      </c>
      <c r="L533" s="156">
        <f t="shared" si="264"/>
        <v>0</v>
      </c>
      <c r="M533" s="156">
        <f t="shared" si="264"/>
        <v>0</v>
      </c>
      <c r="N533" s="156">
        <f t="shared" si="264"/>
        <v>0</v>
      </c>
      <c r="O533" s="156">
        <f t="shared" si="264"/>
        <v>0</v>
      </c>
      <c r="P533" s="156">
        <f t="shared" si="264"/>
        <v>0</v>
      </c>
      <c r="Q533" s="156">
        <f t="shared" si="264"/>
        <v>0</v>
      </c>
      <c r="R533" s="156">
        <f t="shared" si="264"/>
        <v>0</v>
      </c>
      <c r="S533" s="156">
        <f t="shared" si="264"/>
        <v>0</v>
      </c>
      <c r="T533" s="156">
        <f t="shared" si="264"/>
        <v>0</v>
      </c>
      <c r="U533" s="156">
        <f t="shared" si="264"/>
        <v>0</v>
      </c>
      <c r="V533" s="156">
        <f t="shared" si="264"/>
        <v>0</v>
      </c>
      <c r="W533" s="156">
        <f t="shared" si="264"/>
        <v>0</v>
      </c>
      <c r="X533" s="156">
        <f t="shared" si="264"/>
        <v>0</v>
      </c>
      <c r="Y533" s="156">
        <f t="shared" si="264"/>
        <v>0</v>
      </c>
      <c r="Z533" s="156">
        <f t="shared" si="264"/>
        <v>0</v>
      </c>
      <c r="AA533" s="156">
        <f t="shared" si="264"/>
        <v>0</v>
      </c>
      <c r="AB533" s="156">
        <f t="shared" si="264"/>
        <v>0</v>
      </c>
      <c r="AC533" s="156">
        <f t="shared" si="264"/>
        <v>0</v>
      </c>
      <c r="AD533" s="156">
        <f t="shared" si="264"/>
        <v>0</v>
      </c>
      <c r="AE533" s="156">
        <f t="shared" si="264"/>
        <v>0</v>
      </c>
      <c r="AF533" s="156">
        <f t="shared" si="264"/>
        <v>0</v>
      </c>
      <c r="AG533" s="156">
        <f t="shared" si="264"/>
        <v>0</v>
      </c>
      <c r="AH533" s="156">
        <f t="shared" si="264"/>
        <v>0</v>
      </c>
      <c r="AI533" s="156">
        <f t="shared" si="264"/>
        <v>0</v>
      </c>
      <c r="AJ533" s="156">
        <f t="shared" si="264"/>
        <v>0</v>
      </c>
      <c r="AK533" s="156">
        <f t="shared" si="264"/>
        <v>0</v>
      </c>
      <c r="AL533" s="156">
        <f t="shared" si="264"/>
        <v>0</v>
      </c>
      <c r="AM533" s="156">
        <f t="shared" si="264"/>
        <v>0</v>
      </c>
      <c r="AN533" s="156">
        <f t="shared" si="264"/>
        <v>0</v>
      </c>
      <c r="AO533" s="156">
        <f t="shared" si="264"/>
        <v>0</v>
      </c>
      <c r="AP533" s="156">
        <f t="shared" si="264"/>
        <v>0</v>
      </c>
    </row>
    <row r="534" spans="1:42" x14ac:dyDescent="0.4">
      <c r="A534" s="4">
        <f>A533+1</f>
        <v>9</v>
      </c>
      <c r="B534" s="331">
        <f t="shared" si="255"/>
        <v>0</v>
      </c>
      <c r="C534" s="156">
        <f t="shared" ref="C534:AP534" si="265">LOOKUP(C522,$B$457:$AP$457,$B$458:$AP$458)*$B733/100</f>
        <v>0</v>
      </c>
      <c r="D534" s="156">
        <f t="shared" si="265"/>
        <v>0</v>
      </c>
      <c r="E534" s="156">
        <f t="shared" si="265"/>
        <v>0</v>
      </c>
      <c r="F534" s="156">
        <f t="shared" si="265"/>
        <v>0</v>
      </c>
      <c r="G534" s="156">
        <f t="shared" si="265"/>
        <v>0</v>
      </c>
      <c r="H534" s="156">
        <f t="shared" si="265"/>
        <v>0</v>
      </c>
      <c r="I534" s="156">
        <f t="shared" si="265"/>
        <v>0</v>
      </c>
      <c r="J534" s="156">
        <f t="shared" si="265"/>
        <v>0</v>
      </c>
      <c r="K534" s="156">
        <f t="shared" si="265"/>
        <v>0</v>
      </c>
      <c r="L534" s="156">
        <f t="shared" si="265"/>
        <v>0</v>
      </c>
      <c r="M534" s="156">
        <f t="shared" si="265"/>
        <v>0</v>
      </c>
      <c r="N534" s="156">
        <f t="shared" si="265"/>
        <v>0</v>
      </c>
      <c r="O534" s="156">
        <f t="shared" si="265"/>
        <v>0</v>
      </c>
      <c r="P534" s="156">
        <f t="shared" si="265"/>
        <v>0</v>
      </c>
      <c r="Q534" s="156">
        <f t="shared" si="265"/>
        <v>0</v>
      </c>
      <c r="R534" s="156">
        <f t="shared" si="265"/>
        <v>0</v>
      </c>
      <c r="S534" s="156">
        <f t="shared" si="265"/>
        <v>0</v>
      </c>
      <c r="T534" s="156">
        <f t="shared" si="265"/>
        <v>0</v>
      </c>
      <c r="U534" s="156">
        <f t="shared" si="265"/>
        <v>0</v>
      </c>
      <c r="V534" s="156">
        <f t="shared" si="265"/>
        <v>0</v>
      </c>
      <c r="W534" s="156">
        <f t="shared" si="265"/>
        <v>0</v>
      </c>
      <c r="X534" s="156">
        <f t="shared" si="265"/>
        <v>0</v>
      </c>
      <c r="Y534" s="156">
        <f t="shared" si="265"/>
        <v>0</v>
      </c>
      <c r="Z534" s="156">
        <f t="shared" si="265"/>
        <v>0</v>
      </c>
      <c r="AA534" s="156">
        <f t="shared" si="265"/>
        <v>0</v>
      </c>
      <c r="AB534" s="156">
        <f t="shared" si="265"/>
        <v>0</v>
      </c>
      <c r="AC534" s="156">
        <f t="shared" si="265"/>
        <v>0</v>
      </c>
      <c r="AD534" s="156">
        <f t="shared" si="265"/>
        <v>0</v>
      </c>
      <c r="AE534" s="156">
        <f t="shared" si="265"/>
        <v>0</v>
      </c>
      <c r="AF534" s="156">
        <f t="shared" si="265"/>
        <v>0</v>
      </c>
      <c r="AG534" s="156">
        <f t="shared" si="265"/>
        <v>0</v>
      </c>
      <c r="AH534" s="156">
        <f t="shared" si="265"/>
        <v>0</v>
      </c>
      <c r="AI534" s="156">
        <f t="shared" si="265"/>
        <v>0</v>
      </c>
      <c r="AJ534" s="156">
        <f t="shared" si="265"/>
        <v>0</v>
      </c>
      <c r="AK534" s="156">
        <f t="shared" si="265"/>
        <v>0</v>
      </c>
      <c r="AL534" s="156">
        <f t="shared" si="265"/>
        <v>0</v>
      </c>
      <c r="AM534" s="156">
        <f t="shared" si="265"/>
        <v>0</v>
      </c>
      <c r="AN534" s="156">
        <f t="shared" si="265"/>
        <v>0</v>
      </c>
      <c r="AO534" s="156">
        <f t="shared" si="265"/>
        <v>0</v>
      </c>
      <c r="AP534" s="156">
        <f t="shared" si="265"/>
        <v>0</v>
      </c>
    </row>
    <row r="535" spans="1:42" x14ac:dyDescent="0.4">
      <c r="A535" s="4">
        <f t="shared" ref="A535" si="266">A534+1</f>
        <v>10</v>
      </c>
      <c r="B535" s="331">
        <f t="shared" si="255"/>
        <v>0</v>
      </c>
      <c r="C535" s="156">
        <f t="shared" ref="C535:AP535" si="267">LOOKUP(C523,$B$457:$AP$457,$B$458:$AP$458)*$B734/100</f>
        <v>0</v>
      </c>
      <c r="D535" s="156">
        <f t="shared" si="267"/>
        <v>0</v>
      </c>
      <c r="E535" s="156">
        <f t="shared" si="267"/>
        <v>0</v>
      </c>
      <c r="F535" s="156">
        <f t="shared" si="267"/>
        <v>0</v>
      </c>
      <c r="G535" s="156">
        <f t="shared" si="267"/>
        <v>0</v>
      </c>
      <c r="H535" s="156">
        <f t="shared" si="267"/>
        <v>0</v>
      </c>
      <c r="I535" s="156">
        <f t="shared" si="267"/>
        <v>0</v>
      </c>
      <c r="J535" s="156">
        <f t="shared" si="267"/>
        <v>0</v>
      </c>
      <c r="K535" s="156">
        <f t="shared" si="267"/>
        <v>0</v>
      </c>
      <c r="L535" s="156">
        <f t="shared" si="267"/>
        <v>0</v>
      </c>
      <c r="M535" s="156">
        <f t="shared" si="267"/>
        <v>0</v>
      </c>
      <c r="N535" s="156">
        <f t="shared" si="267"/>
        <v>0</v>
      </c>
      <c r="O535" s="156">
        <f t="shared" si="267"/>
        <v>0</v>
      </c>
      <c r="P535" s="156">
        <f t="shared" si="267"/>
        <v>0</v>
      </c>
      <c r="Q535" s="156">
        <f t="shared" si="267"/>
        <v>0</v>
      </c>
      <c r="R535" s="156">
        <f t="shared" si="267"/>
        <v>0</v>
      </c>
      <c r="S535" s="156">
        <f t="shared" si="267"/>
        <v>0</v>
      </c>
      <c r="T535" s="156">
        <f t="shared" si="267"/>
        <v>0</v>
      </c>
      <c r="U535" s="156">
        <f t="shared" si="267"/>
        <v>0</v>
      </c>
      <c r="V535" s="156">
        <f t="shared" si="267"/>
        <v>0</v>
      </c>
      <c r="W535" s="156">
        <f t="shared" si="267"/>
        <v>0</v>
      </c>
      <c r="X535" s="156">
        <f t="shared" si="267"/>
        <v>0</v>
      </c>
      <c r="Y535" s="156">
        <f t="shared" si="267"/>
        <v>0</v>
      </c>
      <c r="Z535" s="156">
        <f t="shared" si="267"/>
        <v>0</v>
      </c>
      <c r="AA535" s="156">
        <f t="shared" si="267"/>
        <v>0</v>
      </c>
      <c r="AB535" s="156">
        <f t="shared" si="267"/>
        <v>0</v>
      </c>
      <c r="AC535" s="156">
        <f t="shared" si="267"/>
        <v>0</v>
      </c>
      <c r="AD535" s="156">
        <f t="shared" si="267"/>
        <v>0</v>
      </c>
      <c r="AE535" s="156">
        <f t="shared" si="267"/>
        <v>0</v>
      </c>
      <c r="AF535" s="156">
        <f t="shared" si="267"/>
        <v>0</v>
      </c>
      <c r="AG535" s="156">
        <f t="shared" si="267"/>
        <v>0</v>
      </c>
      <c r="AH535" s="156">
        <f t="shared" si="267"/>
        <v>0</v>
      </c>
      <c r="AI535" s="156">
        <f t="shared" si="267"/>
        <v>0</v>
      </c>
      <c r="AJ535" s="156">
        <f t="shared" si="267"/>
        <v>0</v>
      </c>
      <c r="AK535" s="156">
        <f t="shared" si="267"/>
        <v>0</v>
      </c>
      <c r="AL535" s="156">
        <f t="shared" si="267"/>
        <v>0</v>
      </c>
      <c r="AM535" s="156">
        <f t="shared" si="267"/>
        <v>0</v>
      </c>
      <c r="AN535" s="156">
        <f t="shared" si="267"/>
        <v>0</v>
      </c>
      <c r="AO535" s="156">
        <f t="shared" si="267"/>
        <v>0</v>
      </c>
      <c r="AP535" s="156">
        <f t="shared" si="267"/>
        <v>0</v>
      </c>
    </row>
    <row r="536" spans="1:42" x14ac:dyDescent="0.4">
      <c r="A536" s="24" t="s">
        <v>13</v>
      </c>
      <c r="B536" s="14"/>
      <c r="C536" s="320">
        <f>SUM(C526:C535)</f>
        <v>0</v>
      </c>
      <c r="D536" s="320">
        <f t="shared" ref="D536:AP536" si="268">SUM(D526:D535)</f>
        <v>0</v>
      </c>
      <c r="E536" s="320">
        <f t="shared" si="268"/>
        <v>0</v>
      </c>
      <c r="F536" s="320">
        <f t="shared" si="268"/>
        <v>0</v>
      </c>
      <c r="G536" s="320">
        <f t="shared" si="268"/>
        <v>0</v>
      </c>
      <c r="H536" s="320">
        <f t="shared" si="268"/>
        <v>0</v>
      </c>
      <c r="I536" s="320">
        <f t="shared" si="268"/>
        <v>0</v>
      </c>
      <c r="J536" s="320">
        <f t="shared" si="268"/>
        <v>0</v>
      </c>
      <c r="K536" s="320">
        <f t="shared" si="268"/>
        <v>0</v>
      </c>
      <c r="L536" s="320">
        <f t="shared" si="268"/>
        <v>0</v>
      </c>
      <c r="M536" s="320">
        <f t="shared" si="268"/>
        <v>0</v>
      </c>
      <c r="N536" s="320">
        <f t="shared" si="268"/>
        <v>0</v>
      </c>
      <c r="O536" s="320">
        <f t="shared" si="268"/>
        <v>0</v>
      </c>
      <c r="P536" s="320">
        <f t="shared" si="268"/>
        <v>0</v>
      </c>
      <c r="Q536" s="320">
        <f t="shared" si="268"/>
        <v>0</v>
      </c>
      <c r="R536" s="320">
        <f t="shared" si="268"/>
        <v>0</v>
      </c>
      <c r="S536" s="320">
        <f t="shared" si="268"/>
        <v>0</v>
      </c>
      <c r="T536" s="320">
        <f t="shared" si="268"/>
        <v>0</v>
      </c>
      <c r="U536" s="320">
        <f t="shared" si="268"/>
        <v>0</v>
      </c>
      <c r="V536" s="320">
        <f t="shared" si="268"/>
        <v>0</v>
      </c>
      <c r="W536" s="320">
        <f t="shared" si="268"/>
        <v>0</v>
      </c>
      <c r="X536" s="320">
        <f t="shared" si="268"/>
        <v>0</v>
      </c>
      <c r="Y536" s="320">
        <f t="shared" si="268"/>
        <v>0</v>
      </c>
      <c r="Z536" s="320">
        <f t="shared" si="268"/>
        <v>0</v>
      </c>
      <c r="AA536" s="320">
        <f t="shared" si="268"/>
        <v>0</v>
      </c>
      <c r="AB536" s="320">
        <f t="shared" si="268"/>
        <v>0</v>
      </c>
      <c r="AC536" s="320">
        <f t="shared" si="268"/>
        <v>0</v>
      </c>
      <c r="AD536" s="320">
        <f t="shared" si="268"/>
        <v>0</v>
      </c>
      <c r="AE536" s="320">
        <f t="shared" si="268"/>
        <v>0</v>
      </c>
      <c r="AF536" s="320">
        <f t="shared" si="268"/>
        <v>0</v>
      </c>
      <c r="AG536" s="320">
        <f t="shared" si="268"/>
        <v>0</v>
      </c>
      <c r="AH536" s="320">
        <f t="shared" si="268"/>
        <v>0</v>
      </c>
      <c r="AI536" s="320">
        <f t="shared" si="268"/>
        <v>0</v>
      </c>
      <c r="AJ536" s="320">
        <f t="shared" si="268"/>
        <v>0</v>
      </c>
      <c r="AK536" s="320">
        <f t="shared" si="268"/>
        <v>0</v>
      </c>
      <c r="AL536" s="320">
        <f t="shared" si="268"/>
        <v>0</v>
      </c>
      <c r="AM536" s="320">
        <f t="shared" si="268"/>
        <v>0</v>
      </c>
      <c r="AN536" s="320">
        <f t="shared" si="268"/>
        <v>0</v>
      </c>
      <c r="AO536" s="320">
        <f t="shared" si="268"/>
        <v>0</v>
      </c>
      <c r="AP536" s="320">
        <f t="shared" si="268"/>
        <v>0</v>
      </c>
    </row>
    <row r="537" spans="1:42" x14ac:dyDescent="0.4">
      <c r="A537" s="24"/>
      <c r="B537" s="14"/>
      <c r="C537" s="156"/>
      <c r="D537" s="156"/>
      <c r="E537" s="156"/>
      <c r="F537" s="156"/>
      <c r="G537" s="156"/>
      <c r="H537" s="156"/>
      <c r="I537" s="156"/>
      <c r="J537" s="156"/>
      <c r="K537" s="156"/>
      <c r="L537" s="156"/>
      <c r="M537" s="156"/>
      <c r="N537" s="156"/>
      <c r="O537" s="156"/>
      <c r="P537" s="156"/>
      <c r="Q537" s="156"/>
      <c r="R537" s="156"/>
      <c r="S537" s="156"/>
      <c r="T537" s="156"/>
      <c r="U537" s="156"/>
      <c r="V537" s="156"/>
      <c r="W537" s="156"/>
      <c r="X537" s="156"/>
      <c r="Y537" s="156"/>
      <c r="Z537" s="156"/>
      <c r="AA537" s="156"/>
      <c r="AB537" s="156"/>
      <c r="AC537" s="156"/>
      <c r="AD537" s="156"/>
      <c r="AE537" s="156"/>
      <c r="AF537" s="156"/>
      <c r="AG537" s="156"/>
      <c r="AH537" s="156"/>
      <c r="AI537" s="156"/>
      <c r="AJ537" s="156"/>
      <c r="AK537" s="156"/>
      <c r="AL537" s="156"/>
      <c r="AM537" s="156"/>
      <c r="AN537" s="156"/>
      <c r="AO537" s="156"/>
      <c r="AP537" s="156"/>
    </row>
    <row r="538" spans="1:42" x14ac:dyDescent="0.4">
      <c r="A538" s="311" t="s">
        <v>178</v>
      </c>
      <c r="B538" s="312"/>
      <c r="C538" s="312"/>
      <c r="D538" s="312"/>
      <c r="E538" s="312"/>
      <c r="F538" s="312"/>
      <c r="G538" s="312"/>
      <c r="H538" s="312"/>
      <c r="I538" s="312"/>
      <c r="J538" s="312"/>
      <c r="K538" s="312"/>
      <c r="L538" s="312"/>
      <c r="M538" s="312"/>
      <c r="N538" s="312"/>
      <c r="O538" s="312"/>
      <c r="P538" s="312"/>
      <c r="Q538" s="312"/>
      <c r="R538" s="312"/>
      <c r="S538" s="312"/>
      <c r="T538" s="312"/>
      <c r="U538" s="312"/>
      <c r="V538" s="312"/>
      <c r="W538" s="312"/>
      <c r="X538" s="312"/>
      <c r="Y538" s="312"/>
      <c r="Z538" s="312"/>
      <c r="AA538" s="312"/>
      <c r="AB538" s="312"/>
      <c r="AC538" s="312"/>
      <c r="AD538" s="312"/>
      <c r="AE538" s="312"/>
      <c r="AF538" s="312"/>
      <c r="AG538" s="312"/>
      <c r="AH538" s="312"/>
      <c r="AI538" s="312"/>
      <c r="AJ538" s="312"/>
      <c r="AK538" s="312"/>
      <c r="AL538" s="312"/>
      <c r="AM538" s="312"/>
      <c r="AN538" s="312"/>
      <c r="AO538" s="312"/>
      <c r="AP538" s="312"/>
    </row>
    <row r="539" spans="1:42" x14ac:dyDescent="0.4">
      <c r="A539" s="19" t="s">
        <v>388</v>
      </c>
    </row>
    <row r="540" spans="1:42" x14ac:dyDescent="0.4">
      <c r="A540" s="17" t="s">
        <v>5</v>
      </c>
    </row>
    <row r="541" spans="1:42" x14ac:dyDescent="0.4">
      <c r="A541" s="86" t="s">
        <v>383</v>
      </c>
      <c r="B541" s="119"/>
      <c r="C541" s="119">
        <f t="array" ref="C541:AP541">Inputs!D176:AQ176</f>
        <v>0</v>
      </c>
      <c r="D541" s="119">
        <v>0</v>
      </c>
      <c r="E541" s="119">
        <v>0</v>
      </c>
      <c r="F541" s="119">
        <v>0</v>
      </c>
      <c r="G541" s="119">
        <v>0</v>
      </c>
      <c r="H541" s="119">
        <v>0</v>
      </c>
      <c r="I541" s="119">
        <v>0</v>
      </c>
      <c r="J541" s="119">
        <v>0</v>
      </c>
      <c r="K541" s="119">
        <v>0</v>
      </c>
      <c r="L541" s="119">
        <v>0</v>
      </c>
      <c r="M541" s="119">
        <v>0</v>
      </c>
      <c r="N541" s="119">
        <v>0</v>
      </c>
      <c r="O541" s="119">
        <v>0</v>
      </c>
      <c r="P541" s="119">
        <v>0</v>
      </c>
      <c r="Q541" s="119">
        <v>0</v>
      </c>
      <c r="R541" s="119">
        <v>0</v>
      </c>
      <c r="S541" s="119">
        <v>0</v>
      </c>
      <c r="T541" s="119">
        <v>0</v>
      </c>
      <c r="U541" s="119">
        <v>0</v>
      </c>
      <c r="V541" s="119">
        <v>0</v>
      </c>
      <c r="W541" s="119">
        <v>0</v>
      </c>
      <c r="X541" s="119">
        <v>0</v>
      </c>
      <c r="Y541" s="119">
        <v>0</v>
      </c>
      <c r="Z541" s="119">
        <v>0</v>
      </c>
      <c r="AA541" s="119">
        <v>0</v>
      </c>
      <c r="AB541" s="119">
        <v>0</v>
      </c>
      <c r="AC541" s="119">
        <v>0</v>
      </c>
      <c r="AD541" s="119">
        <v>0</v>
      </c>
      <c r="AE541" s="119">
        <v>0</v>
      </c>
      <c r="AF541" s="119">
        <v>0</v>
      </c>
      <c r="AG541" s="119">
        <v>0</v>
      </c>
      <c r="AH541" s="119">
        <v>0</v>
      </c>
      <c r="AI541" s="119">
        <v>0</v>
      </c>
      <c r="AJ541" s="119">
        <v>0</v>
      </c>
      <c r="AK541" s="119">
        <v>0</v>
      </c>
      <c r="AL541" s="119">
        <v>0</v>
      </c>
      <c r="AM541" s="119">
        <v>0</v>
      </c>
      <c r="AN541" s="119">
        <v>0</v>
      </c>
      <c r="AO541" s="119">
        <v>0</v>
      </c>
      <c r="AP541" s="119">
        <v>0</v>
      </c>
    </row>
    <row r="542" spans="1:42" x14ac:dyDescent="0.4">
      <c r="A542" s="86" t="s">
        <v>386</v>
      </c>
      <c r="B542" s="119"/>
      <c r="C542" s="119">
        <f t="array" ref="C542:AP542">Inputs!D179:AQ179</f>
        <v>5</v>
      </c>
      <c r="D542" s="119">
        <v>5</v>
      </c>
      <c r="E542" s="119">
        <v>5</v>
      </c>
      <c r="F542" s="119">
        <v>5</v>
      </c>
      <c r="G542" s="119">
        <v>5</v>
      </c>
      <c r="H542" s="119">
        <v>5</v>
      </c>
      <c r="I542" s="119">
        <v>0</v>
      </c>
      <c r="J542" s="119">
        <v>0</v>
      </c>
      <c r="K542" s="119">
        <v>0</v>
      </c>
      <c r="L542" s="119">
        <v>0</v>
      </c>
      <c r="M542" s="119">
        <v>0</v>
      </c>
      <c r="N542" s="119">
        <v>0</v>
      </c>
      <c r="O542" s="119">
        <v>0</v>
      </c>
      <c r="P542" s="119">
        <v>0</v>
      </c>
      <c r="Q542" s="119">
        <v>0</v>
      </c>
      <c r="R542" s="119">
        <v>0</v>
      </c>
      <c r="S542" s="119">
        <v>0</v>
      </c>
      <c r="T542" s="119">
        <v>0</v>
      </c>
      <c r="U542" s="119">
        <v>0</v>
      </c>
      <c r="V542" s="119">
        <v>0</v>
      </c>
      <c r="W542" s="119">
        <v>0</v>
      </c>
      <c r="X542" s="119">
        <v>0</v>
      </c>
      <c r="Y542" s="119">
        <v>0</v>
      </c>
      <c r="Z542" s="119">
        <v>0</v>
      </c>
      <c r="AA542" s="119">
        <v>0</v>
      </c>
      <c r="AB542" s="119">
        <v>0</v>
      </c>
      <c r="AC542" s="119">
        <v>0</v>
      </c>
      <c r="AD542" s="119">
        <v>0</v>
      </c>
      <c r="AE542" s="119">
        <v>0</v>
      </c>
      <c r="AF542" s="119">
        <v>0</v>
      </c>
      <c r="AG542" s="119">
        <v>0</v>
      </c>
      <c r="AH542" s="119">
        <v>0</v>
      </c>
      <c r="AI542" s="119">
        <v>0</v>
      </c>
      <c r="AJ542" s="119">
        <v>0</v>
      </c>
      <c r="AK542" s="119">
        <v>0</v>
      </c>
      <c r="AL542" s="119">
        <v>0</v>
      </c>
      <c r="AM542" s="119">
        <v>0</v>
      </c>
      <c r="AN542" s="119">
        <v>0</v>
      </c>
      <c r="AO542" s="119">
        <v>0</v>
      </c>
      <c r="AP542" s="119">
        <v>0</v>
      </c>
    </row>
    <row r="543" spans="1:42" x14ac:dyDescent="0.4">
      <c r="A543" s="21" t="s">
        <v>384</v>
      </c>
      <c r="B543" s="119"/>
      <c r="C543" s="313">
        <f t="array" ref="C543:AP543">Inputs!D180:AQ180</f>
        <v>9.9999999999999998E+37</v>
      </c>
      <c r="D543" s="313">
        <v>9.9999999999999998E+37</v>
      </c>
      <c r="E543" s="313">
        <v>9.9999999999999998E+37</v>
      </c>
      <c r="F543" s="313">
        <v>9.9999999999999998E+37</v>
      </c>
      <c r="G543" s="313">
        <v>9.9999999999999998E+37</v>
      </c>
      <c r="H543" s="313">
        <v>9.9999999999999998E+37</v>
      </c>
      <c r="I543" s="313">
        <v>9.9999999999999998E+37</v>
      </c>
      <c r="J543" s="313">
        <v>9.9999999999999998E+37</v>
      </c>
      <c r="K543" s="313">
        <v>9.9999999999999998E+37</v>
      </c>
      <c r="L543" s="313">
        <v>9.9999999999999998E+37</v>
      </c>
      <c r="M543" s="313">
        <v>9.9999999999999998E+37</v>
      </c>
      <c r="N543" s="313">
        <v>9.9999999999999998E+37</v>
      </c>
      <c r="O543" s="313">
        <v>9.9999999999999998E+37</v>
      </c>
      <c r="P543" s="313">
        <v>9.9999999999999998E+37</v>
      </c>
      <c r="Q543" s="313">
        <v>9.9999999999999998E+37</v>
      </c>
      <c r="R543" s="313">
        <v>9.9999999999999998E+37</v>
      </c>
      <c r="S543" s="313">
        <v>9.9999999999999998E+37</v>
      </c>
      <c r="T543" s="313">
        <v>9.9999999999999998E+37</v>
      </c>
      <c r="U543" s="313">
        <v>9.9999999999999998E+37</v>
      </c>
      <c r="V543" s="313">
        <v>9.9999999999999998E+37</v>
      </c>
      <c r="W543" s="313">
        <v>9.9999999999999998E+37</v>
      </c>
      <c r="X543" s="313">
        <v>9.9999999999999998E+37</v>
      </c>
      <c r="Y543" s="313">
        <v>9.9999999999999998E+37</v>
      </c>
      <c r="Z543" s="313">
        <v>9.9999999999999998E+37</v>
      </c>
      <c r="AA543" s="313">
        <v>9.9999999999999998E+37</v>
      </c>
      <c r="AB543" s="313">
        <v>0</v>
      </c>
      <c r="AC543" s="313">
        <v>0</v>
      </c>
      <c r="AD543" s="313">
        <v>0</v>
      </c>
      <c r="AE543" s="313">
        <v>0</v>
      </c>
      <c r="AF543" s="313">
        <v>0</v>
      </c>
      <c r="AG543" s="313">
        <v>0</v>
      </c>
      <c r="AH543" s="313">
        <v>0</v>
      </c>
      <c r="AI543" s="313">
        <v>0</v>
      </c>
      <c r="AJ543" s="313">
        <v>0</v>
      </c>
      <c r="AK543" s="313">
        <v>0</v>
      </c>
      <c r="AL543" s="313">
        <v>0</v>
      </c>
      <c r="AM543" s="313">
        <v>0</v>
      </c>
      <c r="AN543" s="313">
        <v>0</v>
      </c>
      <c r="AO543" s="313">
        <v>0</v>
      </c>
      <c r="AP543" s="313">
        <v>0</v>
      </c>
    </row>
    <row r="544" spans="1:42" x14ac:dyDescent="0.4">
      <c r="A544" s="21" t="s">
        <v>385</v>
      </c>
      <c r="B544" s="119"/>
      <c r="C544" s="119">
        <f t="shared" ref="C544:AP544" si="269">MIN(C$543,C$542/100*$B$273)</f>
        <v>1386954.0525000002</v>
      </c>
      <c r="D544" s="119">
        <f t="shared" si="269"/>
        <v>1386954.0525000002</v>
      </c>
      <c r="E544" s="119">
        <f t="shared" si="269"/>
        <v>1386954.0525000002</v>
      </c>
      <c r="F544" s="119">
        <f t="shared" si="269"/>
        <v>1386954.0525000002</v>
      </c>
      <c r="G544" s="119">
        <f t="shared" si="269"/>
        <v>1386954.0525000002</v>
      </c>
      <c r="H544" s="119">
        <f t="shared" si="269"/>
        <v>1386954.0525000002</v>
      </c>
      <c r="I544" s="119">
        <f t="shared" si="269"/>
        <v>0</v>
      </c>
      <c r="J544" s="119">
        <f t="shared" si="269"/>
        <v>0</v>
      </c>
      <c r="K544" s="119">
        <f t="shared" si="269"/>
        <v>0</v>
      </c>
      <c r="L544" s="119">
        <f t="shared" si="269"/>
        <v>0</v>
      </c>
      <c r="M544" s="119">
        <f t="shared" si="269"/>
        <v>0</v>
      </c>
      <c r="N544" s="119">
        <f t="shared" si="269"/>
        <v>0</v>
      </c>
      <c r="O544" s="119">
        <f t="shared" si="269"/>
        <v>0</v>
      </c>
      <c r="P544" s="119">
        <f t="shared" si="269"/>
        <v>0</v>
      </c>
      <c r="Q544" s="119">
        <f t="shared" si="269"/>
        <v>0</v>
      </c>
      <c r="R544" s="119">
        <f t="shared" si="269"/>
        <v>0</v>
      </c>
      <c r="S544" s="119">
        <f t="shared" si="269"/>
        <v>0</v>
      </c>
      <c r="T544" s="119">
        <f t="shared" si="269"/>
        <v>0</v>
      </c>
      <c r="U544" s="119">
        <f t="shared" si="269"/>
        <v>0</v>
      </c>
      <c r="V544" s="119">
        <f t="shared" si="269"/>
        <v>0</v>
      </c>
      <c r="W544" s="119">
        <f t="shared" si="269"/>
        <v>0</v>
      </c>
      <c r="X544" s="119">
        <f t="shared" si="269"/>
        <v>0</v>
      </c>
      <c r="Y544" s="119">
        <f t="shared" si="269"/>
        <v>0</v>
      </c>
      <c r="Z544" s="119">
        <f t="shared" si="269"/>
        <v>0</v>
      </c>
      <c r="AA544" s="119">
        <f t="shared" si="269"/>
        <v>0</v>
      </c>
      <c r="AB544" s="119">
        <f t="shared" si="269"/>
        <v>0</v>
      </c>
      <c r="AC544" s="119">
        <f t="shared" si="269"/>
        <v>0</v>
      </c>
      <c r="AD544" s="119">
        <f t="shared" si="269"/>
        <v>0</v>
      </c>
      <c r="AE544" s="119">
        <f t="shared" si="269"/>
        <v>0</v>
      </c>
      <c r="AF544" s="119">
        <f t="shared" si="269"/>
        <v>0</v>
      </c>
      <c r="AG544" s="119">
        <f t="shared" si="269"/>
        <v>0</v>
      </c>
      <c r="AH544" s="119">
        <f t="shared" si="269"/>
        <v>0</v>
      </c>
      <c r="AI544" s="119">
        <f t="shared" si="269"/>
        <v>0</v>
      </c>
      <c r="AJ544" s="119">
        <f t="shared" si="269"/>
        <v>0</v>
      </c>
      <c r="AK544" s="119">
        <f t="shared" si="269"/>
        <v>0</v>
      </c>
      <c r="AL544" s="119">
        <f t="shared" si="269"/>
        <v>0</v>
      </c>
      <c r="AM544" s="119">
        <f t="shared" si="269"/>
        <v>0</v>
      </c>
      <c r="AN544" s="119">
        <f t="shared" si="269"/>
        <v>0</v>
      </c>
      <c r="AO544" s="119">
        <f t="shared" si="269"/>
        <v>0</v>
      </c>
      <c r="AP544" s="119">
        <f t="shared" si="269"/>
        <v>0</v>
      </c>
    </row>
    <row r="545" spans="1:42" x14ac:dyDescent="0.4">
      <c r="A545" s="86" t="s">
        <v>13</v>
      </c>
      <c r="B545" s="119"/>
      <c r="C545" s="119">
        <f>C$541+C$544</f>
        <v>1386954.0525000002</v>
      </c>
      <c r="D545" s="119">
        <f t="shared" ref="D545:AP545" si="270">D$541+D$544</f>
        <v>1386954.0525000002</v>
      </c>
      <c r="E545" s="119">
        <f t="shared" si="270"/>
        <v>1386954.0525000002</v>
      </c>
      <c r="F545" s="119">
        <f t="shared" si="270"/>
        <v>1386954.0525000002</v>
      </c>
      <c r="G545" s="119">
        <f t="shared" si="270"/>
        <v>1386954.0525000002</v>
      </c>
      <c r="H545" s="119">
        <f t="shared" si="270"/>
        <v>1386954.0525000002</v>
      </c>
      <c r="I545" s="119">
        <f t="shared" si="270"/>
        <v>0</v>
      </c>
      <c r="J545" s="119">
        <f t="shared" si="270"/>
        <v>0</v>
      </c>
      <c r="K545" s="119">
        <f t="shared" si="270"/>
        <v>0</v>
      </c>
      <c r="L545" s="119">
        <f t="shared" si="270"/>
        <v>0</v>
      </c>
      <c r="M545" s="119">
        <f t="shared" si="270"/>
        <v>0</v>
      </c>
      <c r="N545" s="119">
        <f t="shared" si="270"/>
        <v>0</v>
      </c>
      <c r="O545" s="119">
        <f t="shared" si="270"/>
        <v>0</v>
      </c>
      <c r="P545" s="119">
        <f t="shared" si="270"/>
        <v>0</v>
      </c>
      <c r="Q545" s="119">
        <f t="shared" si="270"/>
        <v>0</v>
      </c>
      <c r="R545" s="119">
        <f t="shared" si="270"/>
        <v>0</v>
      </c>
      <c r="S545" s="119">
        <f t="shared" si="270"/>
        <v>0</v>
      </c>
      <c r="T545" s="119">
        <f t="shared" si="270"/>
        <v>0</v>
      </c>
      <c r="U545" s="119">
        <f t="shared" si="270"/>
        <v>0</v>
      </c>
      <c r="V545" s="119">
        <f t="shared" si="270"/>
        <v>0</v>
      </c>
      <c r="W545" s="119">
        <f t="shared" si="270"/>
        <v>0</v>
      </c>
      <c r="X545" s="119">
        <f t="shared" si="270"/>
        <v>0</v>
      </c>
      <c r="Y545" s="119">
        <f t="shared" si="270"/>
        <v>0</v>
      </c>
      <c r="Z545" s="119">
        <f t="shared" si="270"/>
        <v>0</v>
      </c>
      <c r="AA545" s="119">
        <f t="shared" si="270"/>
        <v>0</v>
      </c>
      <c r="AB545" s="119">
        <f t="shared" si="270"/>
        <v>0</v>
      </c>
      <c r="AC545" s="119">
        <f t="shared" si="270"/>
        <v>0</v>
      </c>
      <c r="AD545" s="119">
        <f t="shared" si="270"/>
        <v>0</v>
      </c>
      <c r="AE545" s="119">
        <f t="shared" si="270"/>
        <v>0</v>
      </c>
      <c r="AF545" s="119">
        <f t="shared" si="270"/>
        <v>0</v>
      </c>
      <c r="AG545" s="119">
        <f t="shared" si="270"/>
        <v>0</v>
      </c>
      <c r="AH545" s="119">
        <f t="shared" si="270"/>
        <v>0</v>
      </c>
      <c r="AI545" s="119">
        <f t="shared" si="270"/>
        <v>0</v>
      </c>
      <c r="AJ545" s="119">
        <f t="shared" si="270"/>
        <v>0</v>
      </c>
      <c r="AK545" s="119">
        <f t="shared" si="270"/>
        <v>0</v>
      </c>
      <c r="AL545" s="119">
        <f t="shared" si="270"/>
        <v>0</v>
      </c>
      <c r="AM545" s="119">
        <f t="shared" si="270"/>
        <v>0</v>
      </c>
      <c r="AN545" s="119">
        <f t="shared" si="270"/>
        <v>0</v>
      </c>
      <c r="AO545" s="119">
        <f t="shared" si="270"/>
        <v>0</v>
      </c>
      <c r="AP545" s="119">
        <f t="shared" si="270"/>
        <v>0</v>
      </c>
    </row>
    <row r="546" spans="1:42" x14ac:dyDescent="0.4">
      <c r="A546" s="17" t="s">
        <v>4</v>
      </c>
      <c r="B546" s="119"/>
    </row>
    <row r="547" spans="1:42" x14ac:dyDescent="0.4">
      <c r="A547" s="86" t="s">
        <v>383</v>
      </c>
      <c r="B547" s="119"/>
      <c r="C547" s="119">
        <f t="array" ref="C547:AP547">Inputs!D175:AQ175</f>
        <v>0</v>
      </c>
      <c r="D547" s="119">
        <v>0</v>
      </c>
      <c r="E547" s="119">
        <v>0</v>
      </c>
      <c r="F547" s="119">
        <v>0</v>
      </c>
      <c r="G547" s="119">
        <v>0</v>
      </c>
      <c r="H547" s="119">
        <v>0</v>
      </c>
      <c r="I547" s="119">
        <v>0</v>
      </c>
      <c r="J547" s="119">
        <v>0</v>
      </c>
      <c r="K547" s="119">
        <v>0</v>
      </c>
      <c r="L547" s="119">
        <v>0</v>
      </c>
      <c r="M547" s="119">
        <v>0</v>
      </c>
      <c r="N547" s="119">
        <v>0</v>
      </c>
      <c r="O547" s="119">
        <v>0</v>
      </c>
      <c r="P547" s="119">
        <v>0</v>
      </c>
      <c r="Q547" s="119">
        <v>0</v>
      </c>
      <c r="R547" s="119">
        <v>0</v>
      </c>
      <c r="S547" s="119">
        <v>0</v>
      </c>
      <c r="T547" s="119">
        <v>0</v>
      </c>
      <c r="U547" s="119">
        <v>0</v>
      </c>
      <c r="V547" s="119">
        <v>0</v>
      </c>
      <c r="W547" s="119">
        <v>0</v>
      </c>
      <c r="X547" s="119">
        <v>0</v>
      </c>
      <c r="Y547" s="119">
        <v>0</v>
      </c>
      <c r="Z547" s="119">
        <v>0</v>
      </c>
      <c r="AA547" s="119">
        <v>0</v>
      </c>
      <c r="AB547" s="119">
        <v>0</v>
      </c>
      <c r="AC547" s="119">
        <v>0</v>
      </c>
      <c r="AD547" s="119">
        <v>0</v>
      </c>
      <c r="AE547" s="119">
        <v>0</v>
      </c>
      <c r="AF547" s="119">
        <v>0</v>
      </c>
      <c r="AG547" s="119">
        <v>0</v>
      </c>
      <c r="AH547" s="119">
        <v>0</v>
      </c>
      <c r="AI547" s="119">
        <v>0</v>
      </c>
      <c r="AJ547" s="119">
        <v>0</v>
      </c>
      <c r="AK547" s="119">
        <v>0</v>
      </c>
      <c r="AL547" s="119">
        <v>0</v>
      </c>
      <c r="AM547" s="119">
        <v>0</v>
      </c>
      <c r="AN547" s="119">
        <v>0</v>
      </c>
      <c r="AO547" s="119">
        <v>0</v>
      </c>
      <c r="AP547" s="119">
        <v>0</v>
      </c>
    </row>
    <row r="548" spans="1:42" x14ac:dyDescent="0.4">
      <c r="A548" s="86" t="s">
        <v>387</v>
      </c>
      <c r="B548" s="119"/>
      <c r="C548" s="119">
        <f t="array" ref="C548:AP548">Inputs!D177:AQ177</f>
        <v>0</v>
      </c>
      <c r="D548" s="119">
        <v>0</v>
      </c>
      <c r="E548" s="119">
        <v>0</v>
      </c>
      <c r="F548" s="119">
        <v>0</v>
      </c>
      <c r="G548" s="119">
        <v>0</v>
      </c>
      <c r="H548" s="119">
        <v>0</v>
      </c>
      <c r="I548" s="119">
        <v>0</v>
      </c>
      <c r="J548" s="119">
        <v>0</v>
      </c>
      <c r="K548" s="119">
        <v>0</v>
      </c>
      <c r="L548" s="119">
        <v>0</v>
      </c>
      <c r="M548" s="119">
        <v>0</v>
      </c>
      <c r="N548" s="119">
        <v>0</v>
      </c>
      <c r="O548" s="119">
        <v>0</v>
      </c>
      <c r="P548" s="119">
        <v>0</v>
      </c>
      <c r="Q548" s="119">
        <v>0</v>
      </c>
      <c r="R548" s="119">
        <v>0</v>
      </c>
      <c r="S548" s="119">
        <v>0</v>
      </c>
      <c r="T548" s="119">
        <v>0</v>
      </c>
      <c r="U548" s="119">
        <v>0</v>
      </c>
      <c r="V548" s="119">
        <v>0</v>
      </c>
      <c r="W548" s="119">
        <v>0</v>
      </c>
      <c r="X548" s="119">
        <v>0</v>
      </c>
      <c r="Y548" s="119">
        <v>0</v>
      </c>
      <c r="Z548" s="119">
        <v>0</v>
      </c>
      <c r="AA548" s="119">
        <v>0</v>
      </c>
      <c r="AB548" s="119">
        <v>0</v>
      </c>
      <c r="AC548" s="119">
        <v>0</v>
      </c>
      <c r="AD548" s="119">
        <v>0</v>
      </c>
      <c r="AE548" s="119">
        <v>0</v>
      </c>
      <c r="AF548" s="119">
        <v>0</v>
      </c>
      <c r="AG548" s="119">
        <v>0</v>
      </c>
      <c r="AH548" s="119">
        <v>0</v>
      </c>
      <c r="AI548" s="119">
        <v>0</v>
      </c>
      <c r="AJ548" s="119">
        <v>0</v>
      </c>
      <c r="AK548" s="119">
        <v>0</v>
      </c>
      <c r="AL548" s="119">
        <v>0</v>
      </c>
      <c r="AM548" s="119">
        <v>0</v>
      </c>
      <c r="AN548" s="119">
        <v>0</v>
      </c>
      <c r="AO548" s="119">
        <v>0</v>
      </c>
      <c r="AP548" s="119">
        <v>0</v>
      </c>
    </row>
    <row r="549" spans="1:42" x14ac:dyDescent="0.4">
      <c r="A549" s="21" t="s">
        <v>384</v>
      </c>
      <c r="B549" s="119"/>
      <c r="C549" s="313">
        <f t="array" ref="C549:AP549">Inputs!D178:AQ178</f>
        <v>9.9999999999999998E+37</v>
      </c>
      <c r="D549" s="313">
        <v>9.9999999999999998E+37</v>
      </c>
      <c r="E549" s="313">
        <v>9.9999999999999998E+37</v>
      </c>
      <c r="F549" s="313">
        <v>9.9999999999999998E+37</v>
      </c>
      <c r="G549" s="313">
        <v>9.9999999999999998E+37</v>
      </c>
      <c r="H549" s="313">
        <v>9.9999999999999998E+37</v>
      </c>
      <c r="I549" s="313">
        <v>9.9999999999999998E+37</v>
      </c>
      <c r="J549" s="313">
        <v>9.9999999999999998E+37</v>
      </c>
      <c r="K549" s="313">
        <v>9.9999999999999998E+37</v>
      </c>
      <c r="L549" s="313">
        <v>9.9999999999999998E+37</v>
      </c>
      <c r="M549" s="313">
        <v>9.9999999999999998E+37</v>
      </c>
      <c r="N549" s="313">
        <v>9.9999999999999998E+37</v>
      </c>
      <c r="O549" s="313">
        <v>9.9999999999999998E+37</v>
      </c>
      <c r="P549" s="313">
        <v>9.9999999999999998E+37</v>
      </c>
      <c r="Q549" s="313">
        <v>9.9999999999999998E+37</v>
      </c>
      <c r="R549" s="313">
        <v>9.9999999999999998E+37</v>
      </c>
      <c r="S549" s="313">
        <v>9.9999999999999998E+37</v>
      </c>
      <c r="T549" s="313">
        <v>9.9999999999999998E+37</v>
      </c>
      <c r="U549" s="313">
        <v>9.9999999999999998E+37</v>
      </c>
      <c r="V549" s="313">
        <v>9.9999999999999998E+37</v>
      </c>
      <c r="W549" s="313">
        <v>9.9999999999999998E+37</v>
      </c>
      <c r="X549" s="313">
        <v>9.9999999999999998E+37</v>
      </c>
      <c r="Y549" s="313">
        <v>9.9999999999999998E+37</v>
      </c>
      <c r="Z549" s="313">
        <v>9.9999999999999998E+37</v>
      </c>
      <c r="AA549" s="313">
        <v>9.9999999999999998E+37</v>
      </c>
      <c r="AB549" s="313">
        <v>0</v>
      </c>
      <c r="AC549" s="313">
        <v>0</v>
      </c>
      <c r="AD549" s="313">
        <v>0</v>
      </c>
      <c r="AE549" s="313">
        <v>0</v>
      </c>
      <c r="AF549" s="313">
        <v>0</v>
      </c>
      <c r="AG549" s="313">
        <v>0</v>
      </c>
      <c r="AH549" s="313">
        <v>0</v>
      </c>
      <c r="AI549" s="313">
        <v>0</v>
      </c>
      <c r="AJ549" s="313">
        <v>0</v>
      </c>
      <c r="AK549" s="313">
        <v>0</v>
      </c>
      <c r="AL549" s="313">
        <v>0</v>
      </c>
      <c r="AM549" s="313">
        <v>0</v>
      </c>
      <c r="AN549" s="313">
        <v>0</v>
      </c>
      <c r="AO549" s="313">
        <v>0</v>
      </c>
      <c r="AP549" s="313">
        <v>0</v>
      </c>
    </row>
    <row r="550" spans="1:42" x14ac:dyDescent="0.4">
      <c r="A550" s="86" t="s">
        <v>385</v>
      </c>
      <c r="B550" s="119"/>
      <c r="C550" s="119">
        <f t="shared" ref="C550:AP550" si="271">MIN(C$549,C$548/100*$B$411)</f>
        <v>0</v>
      </c>
      <c r="D550" s="119">
        <f t="shared" si="271"/>
        <v>0</v>
      </c>
      <c r="E550" s="119">
        <f t="shared" si="271"/>
        <v>0</v>
      </c>
      <c r="F550" s="119">
        <f t="shared" si="271"/>
        <v>0</v>
      </c>
      <c r="G550" s="119">
        <f t="shared" si="271"/>
        <v>0</v>
      </c>
      <c r="H550" s="119">
        <f t="shared" si="271"/>
        <v>0</v>
      </c>
      <c r="I550" s="119">
        <f t="shared" si="271"/>
        <v>0</v>
      </c>
      <c r="J550" s="119">
        <f t="shared" si="271"/>
        <v>0</v>
      </c>
      <c r="K550" s="119">
        <f t="shared" si="271"/>
        <v>0</v>
      </c>
      <c r="L550" s="119">
        <f t="shared" si="271"/>
        <v>0</v>
      </c>
      <c r="M550" s="119">
        <f t="shared" si="271"/>
        <v>0</v>
      </c>
      <c r="N550" s="119">
        <f t="shared" si="271"/>
        <v>0</v>
      </c>
      <c r="O550" s="119">
        <f t="shared" si="271"/>
        <v>0</v>
      </c>
      <c r="P550" s="119">
        <f t="shared" si="271"/>
        <v>0</v>
      </c>
      <c r="Q550" s="119">
        <f t="shared" si="271"/>
        <v>0</v>
      </c>
      <c r="R550" s="119">
        <f t="shared" si="271"/>
        <v>0</v>
      </c>
      <c r="S550" s="119">
        <f t="shared" si="271"/>
        <v>0</v>
      </c>
      <c r="T550" s="119">
        <f t="shared" si="271"/>
        <v>0</v>
      </c>
      <c r="U550" s="119">
        <f t="shared" si="271"/>
        <v>0</v>
      </c>
      <c r="V550" s="119">
        <f t="shared" si="271"/>
        <v>0</v>
      </c>
      <c r="W550" s="119">
        <f t="shared" si="271"/>
        <v>0</v>
      </c>
      <c r="X550" s="119">
        <f t="shared" si="271"/>
        <v>0</v>
      </c>
      <c r="Y550" s="119">
        <f t="shared" si="271"/>
        <v>0</v>
      </c>
      <c r="Z550" s="119">
        <f t="shared" si="271"/>
        <v>0</v>
      </c>
      <c r="AA550" s="119">
        <f t="shared" si="271"/>
        <v>0</v>
      </c>
      <c r="AB550" s="119">
        <f t="shared" si="271"/>
        <v>0</v>
      </c>
      <c r="AC550" s="119">
        <f t="shared" si="271"/>
        <v>0</v>
      </c>
      <c r="AD550" s="119">
        <f t="shared" si="271"/>
        <v>0</v>
      </c>
      <c r="AE550" s="119">
        <f t="shared" si="271"/>
        <v>0</v>
      </c>
      <c r="AF550" s="119">
        <f t="shared" si="271"/>
        <v>0</v>
      </c>
      <c r="AG550" s="119">
        <f t="shared" si="271"/>
        <v>0</v>
      </c>
      <c r="AH550" s="119">
        <f t="shared" si="271"/>
        <v>0</v>
      </c>
      <c r="AI550" s="119">
        <f t="shared" si="271"/>
        <v>0</v>
      </c>
      <c r="AJ550" s="119">
        <f t="shared" si="271"/>
        <v>0</v>
      </c>
      <c r="AK550" s="119">
        <f t="shared" si="271"/>
        <v>0</v>
      </c>
      <c r="AL550" s="119">
        <f t="shared" si="271"/>
        <v>0</v>
      </c>
      <c r="AM550" s="119">
        <f t="shared" si="271"/>
        <v>0</v>
      </c>
      <c r="AN550" s="119">
        <f t="shared" si="271"/>
        <v>0</v>
      </c>
      <c r="AO550" s="119">
        <f t="shared" si="271"/>
        <v>0</v>
      </c>
      <c r="AP550" s="119">
        <f t="shared" si="271"/>
        <v>0</v>
      </c>
    </row>
    <row r="551" spans="1:42" x14ac:dyDescent="0.4">
      <c r="A551" s="86" t="s">
        <v>13</v>
      </c>
      <c r="B551" s="14"/>
      <c r="C551" s="119">
        <f>C$547+C$550</f>
        <v>0</v>
      </c>
      <c r="D551" s="119">
        <f t="shared" ref="D551:AP551" si="272">D$547+D$550</f>
        <v>0</v>
      </c>
      <c r="E551" s="119">
        <f t="shared" si="272"/>
        <v>0</v>
      </c>
      <c r="F551" s="119">
        <f t="shared" si="272"/>
        <v>0</v>
      </c>
      <c r="G551" s="119">
        <f t="shared" si="272"/>
        <v>0</v>
      </c>
      <c r="H551" s="119">
        <f t="shared" si="272"/>
        <v>0</v>
      </c>
      <c r="I551" s="119">
        <f t="shared" si="272"/>
        <v>0</v>
      </c>
      <c r="J551" s="119">
        <f t="shared" si="272"/>
        <v>0</v>
      </c>
      <c r="K551" s="119">
        <f t="shared" si="272"/>
        <v>0</v>
      </c>
      <c r="L551" s="119">
        <f t="shared" si="272"/>
        <v>0</v>
      </c>
      <c r="M551" s="119">
        <f t="shared" si="272"/>
        <v>0</v>
      </c>
      <c r="N551" s="119">
        <f t="shared" si="272"/>
        <v>0</v>
      </c>
      <c r="O551" s="119">
        <f t="shared" si="272"/>
        <v>0</v>
      </c>
      <c r="P551" s="119">
        <f t="shared" si="272"/>
        <v>0</v>
      </c>
      <c r="Q551" s="119">
        <f t="shared" si="272"/>
        <v>0</v>
      </c>
      <c r="R551" s="119">
        <f t="shared" si="272"/>
        <v>0</v>
      </c>
      <c r="S551" s="119">
        <f t="shared" si="272"/>
        <v>0</v>
      </c>
      <c r="T551" s="119">
        <f t="shared" si="272"/>
        <v>0</v>
      </c>
      <c r="U551" s="119">
        <f t="shared" si="272"/>
        <v>0</v>
      </c>
      <c r="V551" s="119">
        <f t="shared" si="272"/>
        <v>0</v>
      </c>
      <c r="W551" s="119">
        <f t="shared" si="272"/>
        <v>0</v>
      </c>
      <c r="X551" s="119">
        <f t="shared" si="272"/>
        <v>0</v>
      </c>
      <c r="Y551" s="119">
        <f t="shared" si="272"/>
        <v>0</v>
      </c>
      <c r="Z551" s="119">
        <f t="shared" si="272"/>
        <v>0</v>
      </c>
      <c r="AA551" s="119">
        <f t="shared" si="272"/>
        <v>0</v>
      </c>
      <c r="AB551" s="119">
        <f t="shared" si="272"/>
        <v>0</v>
      </c>
      <c r="AC551" s="119">
        <f t="shared" si="272"/>
        <v>0</v>
      </c>
      <c r="AD551" s="119">
        <f t="shared" si="272"/>
        <v>0</v>
      </c>
      <c r="AE551" s="119">
        <f t="shared" si="272"/>
        <v>0</v>
      </c>
      <c r="AF551" s="119">
        <f t="shared" si="272"/>
        <v>0</v>
      </c>
      <c r="AG551" s="119">
        <f t="shared" si="272"/>
        <v>0</v>
      </c>
      <c r="AH551" s="119">
        <f t="shared" si="272"/>
        <v>0</v>
      </c>
      <c r="AI551" s="119">
        <f t="shared" si="272"/>
        <v>0</v>
      </c>
      <c r="AJ551" s="119">
        <f t="shared" si="272"/>
        <v>0</v>
      </c>
      <c r="AK551" s="119">
        <f t="shared" si="272"/>
        <v>0</v>
      </c>
      <c r="AL551" s="119">
        <f t="shared" si="272"/>
        <v>0</v>
      </c>
      <c r="AM551" s="119">
        <f t="shared" si="272"/>
        <v>0</v>
      </c>
      <c r="AN551" s="119">
        <f t="shared" si="272"/>
        <v>0</v>
      </c>
      <c r="AO551" s="119">
        <f t="shared" si="272"/>
        <v>0</v>
      </c>
      <c r="AP551" s="119">
        <f t="shared" si="272"/>
        <v>0</v>
      </c>
    </row>
    <row r="552" spans="1:42" x14ac:dyDescent="0.4">
      <c r="A552" s="17"/>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row>
    <row r="553" spans="1:42" x14ac:dyDescent="0.4">
      <c r="A553" s="19" t="s">
        <v>48</v>
      </c>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row>
    <row r="554" spans="1:42" x14ac:dyDescent="0.4">
      <c r="A554" s="17" t="s">
        <v>5</v>
      </c>
      <c r="C554" s="119"/>
      <c r="D554" s="119"/>
      <c r="E554" s="119"/>
      <c r="F554" s="119"/>
      <c r="G554" s="119"/>
      <c r="H554" s="119"/>
      <c r="I554" s="119"/>
      <c r="J554" s="119"/>
      <c r="K554" s="119"/>
      <c r="L554" s="119"/>
      <c r="M554" s="119"/>
      <c r="N554" s="119"/>
      <c r="O554" s="119"/>
      <c r="P554" s="119"/>
      <c r="Q554" s="119"/>
      <c r="R554" s="119"/>
      <c r="S554" s="119"/>
      <c r="T554" s="119"/>
      <c r="U554" s="119"/>
      <c r="V554" s="119"/>
      <c r="W554" s="119"/>
      <c r="X554" s="119"/>
      <c r="Y554" s="119"/>
      <c r="Z554" s="119"/>
      <c r="AA554" s="119"/>
      <c r="AB554" s="119"/>
      <c r="AC554" s="119"/>
      <c r="AD554" s="119"/>
      <c r="AE554" s="119"/>
      <c r="AF554" s="119"/>
      <c r="AG554" s="119"/>
      <c r="AH554" s="119"/>
      <c r="AI554" s="119"/>
      <c r="AJ554" s="119"/>
      <c r="AK554" s="119"/>
      <c r="AL554" s="119"/>
      <c r="AM554" s="119"/>
      <c r="AN554" s="119"/>
      <c r="AO554" s="119"/>
      <c r="AP554" s="119"/>
    </row>
    <row r="555" spans="1:42" x14ac:dyDescent="0.4">
      <c r="A555" s="86" t="s">
        <v>248</v>
      </c>
      <c r="C555" s="198">
        <f>IF(ptc_sta_amount="n/a",Inputs!D188,IF(C$2&lt;=ptc_sta_term,ptc_sta_amount*(1+ptc_sta_escal/100)^B$2,0))</f>
        <v>0</v>
      </c>
      <c r="D555" s="198">
        <f>IF(ptc_sta_amount="n/a",Inputs!E188,IF(D$2&lt;=ptc_sta_term,ptc_sta_amount*(1+ptc_sta_escal/100)^C$2,0))</f>
        <v>0</v>
      </c>
      <c r="E555" s="198">
        <f>IF(ptc_sta_amount="n/a",Inputs!F188,IF(E$2&lt;=ptc_sta_term,ptc_sta_amount*(1+ptc_sta_escal/100)^D$2,0))</f>
        <v>0</v>
      </c>
      <c r="F555" s="198">
        <f>IF(ptc_sta_amount="n/a",Inputs!G188,IF(F$2&lt;=ptc_sta_term,ptc_sta_amount*(1+ptc_sta_escal/100)^E$2,0))</f>
        <v>0</v>
      </c>
      <c r="G555" s="198">
        <f>IF(ptc_sta_amount="n/a",Inputs!H188,IF(G$2&lt;=ptc_sta_term,ptc_sta_amount*(1+ptc_sta_escal/100)^F$2,0))</f>
        <v>0</v>
      </c>
      <c r="H555" s="198">
        <f>IF(ptc_sta_amount="n/a",Inputs!I188,IF(H$2&lt;=ptc_sta_term,ptc_sta_amount*(1+ptc_sta_escal/100)^G$2,0))</f>
        <v>0</v>
      </c>
      <c r="I555" s="198">
        <f>IF(ptc_sta_amount="n/a",Inputs!J188,IF(I$2&lt;=ptc_sta_term,ptc_sta_amount*(1+ptc_sta_escal/100)^H$2,0))</f>
        <v>0</v>
      </c>
      <c r="J555" s="198">
        <f>IF(ptc_sta_amount="n/a",Inputs!K188,IF(J$2&lt;=ptc_sta_term,ptc_sta_amount*(1+ptc_sta_escal/100)^I$2,0))</f>
        <v>0</v>
      </c>
      <c r="K555" s="198">
        <f>IF(ptc_sta_amount="n/a",Inputs!L188,IF(K$2&lt;=ptc_sta_term,ptc_sta_amount*(1+ptc_sta_escal/100)^J$2,0))</f>
        <v>0</v>
      </c>
      <c r="L555" s="198">
        <f>IF(ptc_sta_amount="n/a",Inputs!M188,IF(L$2&lt;=ptc_sta_term,ptc_sta_amount*(1+ptc_sta_escal/100)^K$2,0))</f>
        <v>0</v>
      </c>
      <c r="M555" s="198">
        <f>IF(ptc_sta_amount="n/a",Inputs!N188,IF(M$2&lt;=ptc_sta_term,ptc_sta_amount*(1+ptc_sta_escal/100)^L$2,0))</f>
        <v>0</v>
      </c>
      <c r="N555" s="198">
        <f>IF(ptc_sta_amount="n/a",Inputs!O188,IF(N$2&lt;=ptc_sta_term,ptc_sta_amount*(1+ptc_sta_escal/100)^M$2,0))</f>
        <v>0</v>
      </c>
      <c r="O555" s="198">
        <f>IF(ptc_sta_amount="n/a",Inputs!P188,IF(O$2&lt;=ptc_sta_term,ptc_sta_amount*(1+ptc_sta_escal/100)^N$2,0))</f>
        <v>0</v>
      </c>
      <c r="P555" s="198">
        <f>IF(ptc_sta_amount="n/a",Inputs!Q188,IF(P$2&lt;=ptc_sta_term,ptc_sta_amount*(1+ptc_sta_escal/100)^O$2,0))</f>
        <v>0</v>
      </c>
      <c r="Q555" s="198">
        <f>IF(ptc_sta_amount="n/a",Inputs!R188,IF(Q$2&lt;=ptc_sta_term,ptc_sta_amount*(1+ptc_sta_escal/100)^P$2,0))</f>
        <v>0</v>
      </c>
      <c r="R555" s="198">
        <f>IF(ptc_sta_amount="n/a",Inputs!S188,IF(R$2&lt;=ptc_sta_term,ptc_sta_amount*(1+ptc_sta_escal/100)^Q$2,0))</f>
        <v>0</v>
      </c>
      <c r="S555" s="198">
        <f>IF(ptc_sta_amount="n/a",Inputs!T188,IF(S$2&lt;=ptc_sta_term,ptc_sta_amount*(1+ptc_sta_escal/100)^R$2,0))</f>
        <v>0</v>
      </c>
      <c r="T555" s="198">
        <f>IF(ptc_sta_amount="n/a",Inputs!U188,IF(T$2&lt;=ptc_sta_term,ptc_sta_amount*(1+ptc_sta_escal/100)^S$2,0))</f>
        <v>0</v>
      </c>
      <c r="U555" s="198">
        <f>IF(ptc_sta_amount="n/a",Inputs!V188,IF(U$2&lt;=ptc_sta_term,ptc_sta_amount*(1+ptc_sta_escal/100)^T$2,0))</f>
        <v>0</v>
      </c>
      <c r="V555" s="198">
        <f>IF(ptc_sta_amount="n/a",Inputs!W188,IF(V$2&lt;=ptc_sta_term,ptc_sta_amount*(1+ptc_sta_escal/100)^U$2,0))</f>
        <v>0</v>
      </c>
      <c r="W555" s="198">
        <f>IF(ptc_sta_amount="n/a",Inputs!X188,IF(W$2&lt;=ptc_sta_term,ptc_sta_amount*(1+ptc_sta_escal/100)^V$2,0))</f>
        <v>0</v>
      </c>
      <c r="X555" s="198">
        <f>IF(ptc_sta_amount="n/a",Inputs!Y188,IF(X$2&lt;=ptc_sta_term,ptc_sta_amount*(1+ptc_sta_escal/100)^W$2,0))</f>
        <v>0</v>
      </c>
      <c r="Y555" s="198">
        <f>IF(ptc_sta_amount="n/a",Inputs!Z188,IF(Y$2&lt;=ptc_sta_term,ptc_sta_amount*(1+ptc_sta_escal/100)^X$2,0))</f>
        <v>0</v>
      </c>
      <c r="Z555" s="198">
        <f>IF(ptc_sta_amount="n/a",Inputs!AA188,IF(Z$2&lt;=ptc_sta_term,ptc_sta_amount*(1+ptc_sta_escal/100)^Y$2,0))</f>
        <v>0</v>
      </c>
      <c r="AA555" s="198">
        <f>IF(ptc_sta_amount="n/a",Inputs!AB188,IF(AA$2&lt;=ptc_sta_term,ptc_sta_amount*(1+ptc_sta_escal/100)^Z$2,0))</f>
        <v>0</v>
      </c>
      <c r="AB555" s="198">
        <f>IF(ptc_sta_amount="n/a",Inputs!AC188,IF(AB$2&lt;=ptc_sta_term,ptc_sta_amount*(1+ptc_sta_escal/100)^AA$2,0))</f>
        <v>0</v>
      </c>
      <c r="AC555" s="198">
        <f>IF(ptc_sta_amount="n/a",Inputs!AD188,IF(AC$2&lt;=ptc_sta_term,ptc_sta_amount*(1+ptc_sta_escal/100)^AB$2,0))</f>
        <v>0</v>
      </c>
      <c r="AD555" s="198">
        <f>IF(ptc_sta_amount="n/a",Inputs!AE188,IF(AD$2&lt;=ptc_sta_term,ptc_sta_amount*(1+ptc_sta_escal/100)^AC$2,0))</f>
        <v>0</v>
      </c>
      <c r="AE555" s="198">
        <f>IF(ptc_sta_amount="n/a",Inputs!AF188,IF(AE$2&lt;=ptc_sta_term,ptc_sta_amount*(1+ptc_sta_escal/100)^AD$2,0))</f>
        <v>0</v>
      </c>
      <c r="AF555" s="198">
        <f>IF(ptc_sta_amount="n/a",Inputs!AG188,IF(AF$2&lt;=ptc_sta_term,ptc_sta_amount*(1+ptc_sta_escal/100)^AE$2,0))</f>
        <v>0</v>
      </c>
      <c r="AG555" s="198">
        <f>IF(ptc_sta_amount="n/a",Inputs!AH188,IF(AG$2&lt;=ptc_sta_term,ptc_sta_amount*(1+ptc_sta_escal/100)^AF$2,0))</f>
        <v>0</v>
      </c>
      <c r="AH555" s="198">
        <f>IF(ptc_sta_amount="n/a",Inputs!AI188,IF(AH$2&lt;=ptc_sta_term,ptc_sta_amount*(1+ptc_sta_escal/100)^AG$2,0))</f>
        <v>0</v>
      </c>
      <c r="AI555" s="198">
        <f>IF(ptc_sta_amount="n/a",Inputs!AJ188,IF(AI$2&lt;=ptc_sta_term,ptc_sta_amount*(1+ptc_sta_escal/100)^AH$2,0))</f>
        <v>0</v>
      </c>
      <c r="AJ555" s="198">
        <f>IF(ptc_sta_amount="n/a",Inputs!AK188,IF(AJ$2&lt;=ptc_sta_term,ptc_sta_amount*(1+ptc_sta_escal/100)^AI$2,0))</f>
        <v>0</v>
      </c>
      <c r="AK555" s="198">
        <f>IF(ptc_sta_amount="n/a",Inputs!AL188,IF(AK$2&lt;=ptc_sta_term,ptc_sta_amount*(1+ptc_sta_escal/100)^AJ$2,0))</f>
        <v>0</v>
      </c>
      <c r="AL555" s="198">
        <f>IF(ptc_sta_amount="n/a",Inputs!AM188,IF(AL$2&lt;=ptc_sta_term,ptc_sta_amount*(1+ptc_sta_escal/100)^AK$2,0))</f>
        <v>0</v>
      </c>
      <c r="AM555" s="198">
        <f>IF(ptc_sta_amount="n/a",Inputs!AN188,IF(AM$2&lt;=ptc_sta_term,ptc_sta_amount*(1+ptc_sta_escal/100)^AL$2,0))</f>
        <v>0</v>
      </c>
      <c r="AN555" s="198">
        <f>IF(ptc_sta_amount="n/a",Inputs!AO188,IF(AN$2&lt;=ptc_sta_term,ptc_sta_amount*(1+ptc_sta_escal/100)^AM$2,0))</f>
        <v>0</v>
      </c>
      <c r="AO555" s="198">
        <f>IF(ptc_sta_amount="n/a",Inputs!AP188,IF(AO$2&lt;=ptc_sta_term,ptc_sta_amount*(1+ptc_sta_escal/100)^AN$2,0))</f>
        <v>0</v>
      </c>
      <c r="AP555" s="198">
        <f>IF(ptc_sta_amount="n/a",Inputs!AQ188,IF(AP$2&lt;=ptc_sta_term,ptc_sta_amount*(1+ptc_sta_escal/100)^AO$2,0))</f>
        <v>0</v>
      </c>
    </row>
    <row r="556" spans="1:42" x14ac:dyDescent="0.4">
      <c r="A556" s="86" t="s">
        <v>249</v>
      </c>
      <c r="C556" s="198">
        <f>ROUND(C555*1000,0)</f>
        <v>0</v>
      </c>
      <c r="D556" s="198">
        <f>ROUND(D555*1000,0)</f>
        <v>0</v>
      </c>
      <c r="E556" s="198">
        <f t="shared" ref="E556:AP556" si="273">ROUND(E555*1000,0)</f>
        <v>0</v>
      </c>
      <c r="F556" s="198">
        <f t="shared" si="273"/>
        <v>0</v>
      </c>
      <c r="G556" s="198">
        <f t="shared" si="273"/>
        <v>0</v>
      </c>
      <c r="H556" s="198">
        <f t="shared" si="273"/>
        <v>0</v>
      </c>
      <c r="I556" s="198">
        <f t="shared" si="273"/>
        <v>0</v>
      </c>
      <c r="J556" s="198">
        <f t="shared" si="273"/>
        <v>0</v>
      </c>
      <c r="K556" s="198">
        <f t="shared" si="273"/>
        <v>0</v>
      </c>
      <c r="L556" s="198">
        <f t="shared" si="273"/>
        <v>0</v>
      </c>
      <c r="M556" s="198">
        <f t="shared" si="273"/>
        <v>0</v>
      </c>
      <c r="N556" s="198">
        <f t="shared" si="273"/>
        <v>0</v>
      </c>
      <c r="O556" s="198">
        <f t="shared" si="273"/>
        <v>0</v>
      </c>
      <c r="P556" s="198">
        <f t="shared" si="273"/>
        <v>0</v>
      </c>
      <c r="Q556" s="198">
        <f t="shared" si="273"/>
        <v>0</v>
      </c>
      <c r="R556" s="198">
        <f t="shared" si="273"/>
        <v>0</v>
      </c>
      <c r="S556" s="198">
        <f t="shared" si="273"/>
        <v>0</v>
      </c>
      <c r="T556" s="198">
        <f t="shared" si="273"/>
        <v>0</v>
      </c>
      <c r="U556" s="198">
        <f t="shared" si="273"/>
        <v>0</v>
      </c>
      <c r="V556" s="198">
        <f t="shared" si="273"/>
        <v>0</v>
      </c>
      <c r="W556" s="198">
        <f t="shared" si="273"/>
        <v>0</v>
      </c>
      <c r="X556" s="198">
        <f t="shared" si="273"/>
        <v>0</v>
      </c>
      <c r="Y556" s="198">
        <f t="shared" si="273"/>
        <v>0</v>
      </c>
      <c r="Z556" s="198">
        <f t="shared" si="273"/>
        <v>0</v>
      </c>
      <c r="AA556" s="198">
        <f t="shared" si="273"/>
        <v>0</v>
      </c>
      <c r="AB556" s="198">
        <f t="shared" si="273"/>
        <v>0</v>
      </c>
      <c r="AC556" s="198">
        <f t="shared" si="273"/>
        <v>0</v>
      </c>
      <c r="AD556" s="198">
        <f t="shared" si="273"/>
        <v>0</v>
      </c>
      <c r="AE556" s="198">
        <f t="shared" si="273"/>
        <v>0</v>
      </c>
      <c r="AF556" s="198">
        <f t="shared" si="273"/>
        <v>0</v>
      </c>
      <c r="AG556" s="198">
        <f t="shared" si="273"/>
        <v>0</v>
      </c>
      <c r="AH556" s="198">
        <f t="shared" si="273"/>
        <v>0</v>
      </c>
      <c r="AI556" s="198">
        <f t="shared" si="273"/>
        <v>0</v>
      </c>
      <c r="AJ556" s="198">
        <f t="shared" si="273"/>
        <v>0</v>
      </c>
      <c r="AK556" s="198">
        <f t="shared" si="273"/>
        <v>0</v>
      </c>
      <c r="AL556" s="198">
        <f t="shared" si="273"/>
        <v>0</v>
      </c>
      <c r="AM556" s="198">
        <f t="shared" si="273"/>
        <v>0</v>
      </c>
      <c r="AN556" s="198">
        <f t="shared" si="273"/>
        <v>0</v>
      </c>
      <c r="AO556" s="198">
        <f t="shared" si="273"/>
        <v>0</v>
      </c>
      <c r="AP556" s="198">
        <f t="shared" si="273"/>
        <v>0</v>
      </c>
    </row>
    <row r="557" spans="1:42" x14ac:dyDescent="0.4">
      <c r="A557" s="86" t="s">
        <v>333</v>
      </c>
      <c r="C557" s="120">
        <f>C$5/1000</f>
        <v>55524.7</v>
      </c>
      <c r="D557" s="120">
        <f t="shared" ref="D557:AP557" si="274">D$5/1000</f>
        <v>55245.5</v>
      </c>
      <c r="E557" s="120">
        <f t="shared" si="274"/>
        <v>54974.1</v>
      </c>
      <c r="F557" s="120">
        <f t="shared" si="274"/>
        <v>54702.7</v>
      </c>
      <c r="G557" s="120">
        <f t="shared" si="274"/>
        <v>54429.7</v>
      </c>
      <c r="H557" s="120">
        <f t="shared" si="274"/>
        <v>54154.400000000001</v>
      </c>
      <c r="I557" s="120">
        <f t="shared" si="274"/>
        <v>53877.599999999999</v>
      </c>
      <c r="J557" s="120">
        <f t="shared" si="274"/>
        <v>53599.4</v>
      </c>
      <c r="K557" s="120">
        <f t="shared" si="274"/>
        <v>53319.7</v>
      </c>
      <c r="L557" s="120">
        <f t="shared" si="274"/>
        <v>53008.4</v>
      </c>
      <c r="M557" s="120">
        <f t="shared" si="274"/>
        <v>52724.3</v>
      </c>
      <c r="N557" s="120">
        <f t="shared" si="274"/>
        <v>52443.1</v>
      </c>
      <c r="O557" s="120">
        <f t="shared" si="274"/>
        <v>52162.7</v>
      </c>
      <c r="P557" s="120">
        <f t="shared" si="274"/>
        <v>51882.2</v>
      </c>
      <c r="Q557" s="120">
        <f t="shared" si="274"/>
        <v>51601.3</v>
      </c>
      <c r="R557" s="120">
        <f t="shared" si="274"/>
        <v>51320</v>
      </c>
      <c r="S557" s="120">
        <f t="shared" si="274"/>
        <v>51038.5</v>
      </c>
      <c r="T557" s="120">
        <f t="shared" si="274"/>
        <v>50756.800000000003</v>
      </c>
      <c r="U557" s="120">
        <f t="shared" si="274"/>
        <v>50475</v>
      </c>
      <c r="V557" s="120">
        <f t="shared" si="274"/>
        <v>50159.6</v>
      </c>
      <c r="W557" s="120">
        <f t="shared" si="274"/>
        <v>49874.6</v>
      </c>
      <c r="X557" s="120">
        <f t="shared" si="274"/>
        <v>49593.1</v>
      </c>
      <c r="Y557" s="120">
        <f t="shared" si="274"/>
        <v>49312.7</v>
      </c>
      <c r="Z557" s="120">
        <f t="shared" si="274"/>
        <v>49032.2</v>
      </c>
      <c r="AA557" s="120">
        <f t="shared" si="274"/>
        <v>48751.3</v>
      </c>
      <c r="AB557" s="120">
        <f t="shared" si="274"/>
        <v>0</v>
      </c>
      <c r="AC557" s="120">
        <f t="shared" si="274"/>
        <v>0</v>
      </c>
      <c r="AD557" s="120">
        <f t="shared" si="274"/>
        <v>0</v>
      </c>
      <c r="AE557" s="120">
        <f t="shared" si="274"/>
        <v>0</v>
      </c>
      <c r="AF557" s="120">
        <f t="shared" si="274"/>
        <v>0</v>
      </c>
      <c r="AG557" s="120">
        <f t="shared" si="274"/>
        <v>0</v>
      </c>
      <c r="AH557" s="120">
        <f t="shared" si="274"/>
        <v>0</v>
      </c>
      <c r="AI557" s="120">
        <f t="shared" si="274"/>
        <v>0</v>
      </c>
      <c r="AJ557" s="120">
        <f t="shared" si="274"/>
        <v>0</v>
      </c>
      <c r="AK557" s="120">
        <f t="shared" si="274"/>
        <v>0</v>
      </c>
      <c r="AL557" s="120">
        <f t="shared" si="274"/>
        <v>0</v>
      </c>
      <c r="AM557" s="120">
        <f t="shared" si="274"/>
        <v>0</v>
      </c>
      <c r="AN557" s="120">
        <f t="shared" si="274"/>
        <v>0</v>
      </c>
      <c r="AO557" s="120">
        <f t="shared" si="274"/>
        <v>0</v>
      </c>
      <c r="AP557" s="120">
        <f t="shared" si="274"/>
        <v>0</v>
      </c>
    </row>
    <row r="558" spans="1:42" x14ac:dyDescent="0.4">
      <c r="A558" s="86" t="s">
        <v>13</v>
      </c>
      <c r="C558" s="119">
        <f>C556*C557</f>
        <v>0</v>
      </c>
      <c r="D558" s="119">
        <f>D556*D557</f>
        <v>0</v>
      </c>
      <c r="E558" s="119">
        <f t="shared" ref="E558:AP558" si="275">E556*E557</f>
        <v>0</v>
      </c>
      <c r="F558" s="119">
        <f t="shared" si="275"/>
        <v>0</v>
      </c>
      <c r="G558" s="119">
        <f t="shared" si="275"/>
        <v>0</v>
      </c>
      <c r="H558" s="119">
        <f t="shared" si="275"/>
        <v>0</v>
      </c>
      <c r="I558" s="119">
        <f t="shared" si="275"/>
        <v>0</v>
      </c>
      <c r="J558" s="119">
        <f t="shared" si="275"/>
        <v>0</v>
      </c>
      <c r="K558" s="119">
        <f t="shared" si="275"/>
        <v>0</v>
      </c>
      <c r="L558" s="119">
        <f t="shared" si="275"/>
        <v>0</v>
      </c>
      <c r="M558" s="119">
        <f t="shared" si="275"/>
        <v>0</v>
      </c>
      <c r="N558" s="119">
        <f t="shared" si="275"/>
        <v>0</v>
      </c>
      <c r="O558" s="119">
        <f t="shared" si="275"/>
        <v>0</v>
      </c>
      <c r="P558" s="119">
        <f t="shared" si="275"/>
        <v>0</v>
      </c>
      <c r="Q558" s="119">
        <f t="shared" si="275"/>
        <v>0</v>
      </c>
      <c r="R558" s="119">
        <f t="shared" si="275"/>
        <v>0</v>
      </c>
      <c r="S558" s="119">
        <f t="shared" si="275"/>
        <v>0</v>
      </c>
      <c r="T558" s="119">
        <f t="shared" si="275"/>
        <v>0</v>
      </c>
      <c r="U558" s="119">
        <f t="shared" si="275"/>
        <v>0</v>
      </c>
      <c r="V558" s="119">
        <f t="shared" si="275"/>
        <v>0</v>
      </c>
      <c r="W558" s="119">
        <f t="shared" si="275"/>
        <v>0</v>
      </c>
      <c r="X558" s="119">
        <f t="shared" si="275"/>
        <v>0</v>
      </c>
      <c r="Y558" s="119">
        <f t="shared" si="275"/>
        <v>0</v>
      </c>
      <c r="Z558" s="119">
        <f t="shared" si="275"/>
        <v>0</v>
      </c>
      <c r="AA558" s="119">
        <f t="shared" si="275"/>
        <v>0</v>
      </c>
      <c r="AB558" s="119">
        <f t="shared" si="275"/>
        <v>0</v>
      </c>
      <c r="AC558" s="119">
        <f t="shared" si="275"/>
        <v>0</v>
      </c>
      <c r="AD558" s="119">
        <f t="shared" si="275"/>
        <v>0</v>
      </c>
      <c r="AE558" s="119">
        <f t="shared" si="275"/>
        <v>0</v>
      </c>
      <c r="AF558" s="119">
        <f t="shared" si="275"/>
        <v>0</v>
      </c>
      <c r="AG558" s="119">
        <f t="shared" si="275"/>
        <v>0</v>
      </c>
      <c r="AH558" s="119">
        <f t="shared" si="275"/>
        <v>0</v>
      </c>
      <c r="AI558" s="119">
        <f t="shared" si="275"/>
        <v>0</v>
      </c>
      <c r="AJ558" s="119">
        <f t="shared" si="275"/>
        <v>0</v>
      </c>
      <c r="AK558" s="119">
        <f t="shared" si="275"/>
        <v>0</v>
      </c>
      <c r="AL558" s="119">
        <f t="shared" si="275"/>
        <v>0</v>
      </c>
      <c r="AM558" s="119">
        <f t="shared" si="275"/>
        <v>0</v>
      </c>
      <c r="AN558" s="119">
        <f t="shared" si="275"/>
        <v>0</v>
      </c>
      <c r="AO558" s="119">
        <f t="shared" si="275"/>
        <v>0</v>
      </c>
      <c r="AP558" s="119">
        <f t="shared" si="275"/>
        <v>0</v>
      </c>
    </row>
    <row r="559" spans="1:42" x14ac:dyDescent="0.4">
      <c r="A559" s="17"/>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row>
    <row r="560" spans="1:42" x14ac:dyDescent="0.4">
      <c r="A560" s="17" t="s">
        <v>4</v>
      </c>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row>
    <row r="561" spans="1:42" x14ac:dyDescent="0.4">
      <c r="A561" s="86" t="s">
        <v>248</v>
      </c>
      <c r="C561" s="198">
        <f>IF(ptc_fed_amount="n/a",Inputs!D187,IF(C$2&lt;=ptc_fed_term,ptc_fed_amount*(1+ptc_fed_escal/100)^B$2,0))</f>
        <v>0</v>
      </c>
      <c r="D561" s="198">
        <f>IF(ptc_fed_amount="n/a",Inputs!E187,IF(D$2&lt;=ptc_fed_term,ptc_fed_amount*(1+ptc_fed_escal/100)^C$2,0))</f>
        <v>0</v>
      </c>
      <c r="E561" s="198">
        <f>IF(ptc_fed_amount="n/a",Inputs!F187,IF(E$2&lt;=ptc_fed_term,ptc_fed_amount*(1+ptc_fed_escal/100)^D$2,0))</f>
        <v>0</v>
      </c>
      <c r="F561" s="198">
        <f>IF(ptc_fed_amount="n/a",Inputs!G187,IF(F$2&lt;=ptc_fed_term,ptc_fed_amount*(1+ptc_fed_escal/100)^E$2,0))</f>
        <v>0</v>
      </c>
      <c r="G561" s="198">
        <f>IF(ptc_fed_amount="n/a",Inputs!H187,IF(G$2&lt;=ptc_fed_term,ptc_fed_amount*(1+ptc_fed_escal/100)^F$2,0))</f>
        <v>0</v>
      </c>
      <c r="H561" s="198">
        <f>IF(ptc_fed_amount="n/a",Inputs!I187,IF(H$2&lt;=ptc_fed_term,ptc_fed_amount*(1+ptc_fed_escal/100)^G$2,0))</f>
        <v>0</v>
      </c>
      <c r="I561" s="198">
        <f>IF(ptc_fed_amount="n/a",Inputs!J187,IF(I$2&lt;=ptc_fed_term,ptc_fed_amount*(1+ptc_fed_escal/100)^H$2,0))</f>
        <v>0</v>
      </c>
      <c r="J561" s="198">
        <f>IF(ptc_fed_amount="n/a",Inputs!K187,IF(J$2&lt;=ptc_fed_term,ptc_fed_amount*(1+ptc_fed_escal/100)^I$2,0))</f>
        <v>0</v>
      </c>
      <c r="K561" s="198">
        <f>IF(ptc_fed_amount="n/a",Inputs!L187,IF(K$2&lt;=ptc_fed_term,ptc_fed_amount*(1+ptc_fed_escal/100)^J$2,0))</f>
        <v>0</v>
      </c>
      <c r="L561" s="198">
        <f>IF(ptc_fed_amount="n/a",Inputs!M187,IF(L$2&lt;=ptc_fed_term,ptc_fed_amount*(1+ptc_fed_escal/100)^K$2,0))</f>
        <v>0</v>
      </c>
      <c r="M561" s="198">
        <f>IF(ptc_fed_amount="n/a",Inputs!N187,IF(M$2&lt;=ptc_fed_term,ptc_fed_amount*(1+ptc_fed_escal/100)^L$2,0))</f>
        <v>0</v>
      </c>
      <c r="N561" s="198">
        <f>IF(ptc_fed_amount="n/a",Inputs!O187,IF(N$2&lt;=ptc_fed_term,ptc_fed_amount*(1+ptc_fed_escal/100)^M$2,0))</f>
        <v>0</v>
      </c>
      <c r="O561" s="198">
        <f>IF(ptc_fed_amount="n/a",Inputs!P187,IF(O$2&lt;=ptc_fed_term,ptc_fed_amount*(1+ptc_fed_escal/100)^N$2,0))</f>
        <v>0</v>
      </c>
      <c r="P561" s="198">
        <f>IF(ptc_fed_amount="n/a",Inputs!Q187,IF(P$2&lt;=ptc_fed_term,ptc_fed_amount*(1+ptc_fed_escal/100)^O$2,0))</f>
        <v>0</v>
      </c>
      <c r="Q561" s="198">
        <f>IF(ptc_fed_amount="n/a",Inputs!R187,IF(Q$2&lt;=ptc_fed_term,ptc_fed_amount*(1+ptc_fed_escal/100)^P$2,0))</f>
        <v>0</v>
      </c>
      <c r="R561" s="198">
        <f>IF(ptc_fed_amount="n/a",Inputs!S187,IF(R$2&lt;=ptc_fed_term,ptc_fed_amount*(1+ptc_fed_escal/100)^Q$2,0))</f>
        <v>0</v>
      </c>
      <c r="S561" s="198">
        <f>IF(ptc_fed_amount="n/a",Inputs!T187,IF(S$2&lt;=ptc_fed_term,ptc_fed_amount*(1+ptc_fed_escal/100)^R$2,0))</f>
        <v>0</v>
      </c>
      <c r="T561" s="198">
        <f>IF(ptc_fed_amount="n/a",Inputs!U187,IF(T$2&lt;=ptc_fed_term,ptc_fed_amount*(1+ptc_fed_escal/100)^S$2,0))</f>
        <v>0</v>
      </c>
      <c r="U561" s="198">
        <f>IF(ptc_fed_amount="n/a",Inputs!V187,IF(U$2&lt;=ptc_fed_term,ptc_fed_amount*(1+ptc_fed_escal/100)^T$2,0))</f>
        <v>0</v>
      </c>
      <c r="V561" s="198">
        <f>IF(ptc_fed_amount="n/a",Inputs!W187,IF(V$2&lt;=ptc_fed_term,ptc_fed_amount*(1+ptc_fed_escal/100)^U$2,0))</f>
        <v>0</v>
      </c>
      <c r="W561" s="198">
        <f>IF(ptc_fed_amount="n/a",Inputs!X187,IF(W$2&lt;=ptc_fed_term,ptc_fed_amount*(1+ptc_fed_escal/100)^V$2,0))</f>
        <v>0</v>
      </c>
      <c r="X561" s="198">
        <f>IF(ptc_fed_amount="n/a",Inputs!Y187,IF(X$2&lt;=ptc_fed_term,ptc_fed_amount*(1+ptc_fed_escal/100)^W$2,0))</f>
        <v>0</v>
      </c>
      <c r="Y561" s="198">
        <f>IF(ptc_fed_amount="n/a",Inputs!Z187,IF(Y$2&lt;=ptc_fed_term,ptc_fed_amount*(1+ptc_fed_escal/100)^X$2,0))</f>
        <v>0</v>
      </c>
      <c r="Z561" s="198">
        <f>IF(ptc_fed_amount="n/a",Inputs!AA187,IF(Z$2&lt;=ptc_fed_term,ptc_fed_amount*(1+ptc_fed_escal/100)^Y$2,0))</f>
        <v>0</v>
      </c>
      <c r="AA561" s="198">
        <f>IF(ptc_fed_amount="n/a",Inputs!AB187,IF(AA$2&lt;=ptc_fed_term,ptc_fed_amount*(1+ptc_fed_escal/100)^Z$2,0))</f>
        <v>0</v>
      </c>
      <c r="AB561" s="198">
        <f>IF(ptc_fed_amount="n/a",Inputs!AC187,IF(AB$2&lt;=ptc_fed_term,ptc_fed_amount*(1+ptc_fed_escal/100)^AA$2,0))</f>
        <v>0</v>
      </c>
      <c r="AC561" s="198">
        <f>IF(ptc_fed_amount="n/a",Inputs!AD187,IF(AC$2&lt;=ptc_fed_term,ptc_fed_amount*(1+ptc_fed_escal/100)^AB$2,0))</f>
        <v>0</v>
      </c>
      <c r="AD561" s="198">
        <f>IF(ptc_fed_amount="n/a",Inputs!AE187,IF(AD$2&lt;=ptc_fed_term,ptc_fed_amount*(1+ptc_fed_escal/100)^AC$2,0))</f>
        <v>0</v>
      </c>
      <c r="AE561" s="198">
        <f>IF(ptc_fed_amount="n/a",Inputs!AF187,IF(AE$2&lt;=ptc_fed_term,ptc_fed_amount*(1+ptc_fed_escal/100)^AD$2,0))</f>
        <v>0</v>
      </c>
      <c r="AF561" s="198">
        <f>IF(ptc_fed_amount="n/a",Inputs!AG187,IF(AF$2&lt;=ptc_fed_term,ptc_fed_amount*(1+ptc_fed_escal/100)^AE$2,0))</f>
        <v>0</v>
      </c>
      <c r="AG561" s="198">
        <f>IF(ptc_fed_amount="n/a",Inputs!AH187,IF(AG$2&lt;=ptc_fed_term,ptc_fed_amount*(1+ptc_fed_escal/100)^AF$2,0))</f>
        <v>0</v>
      </c>
      <c r="AH561" s="198">
        <f>IF(ptc_fed_amount="n/a",Inputs!AI187,IF(AH$2&lt;=ptc_fed_term,ptc_fed_amount*(1+ptc_fed_escal/100)^AG$2,0))</f>
        <v>0</v>
      </c>
      <c r="AI561" s="198">
        <f>IF(ptc_fed_amount="n/a",Inputs!AJ187,IF(AI$2&lt;=ptc_fed_term,ptc_fed_amount*(1+ptc_fed_escal/100)^AH$2,0))</f>
        <v>0</v>
      </c>
      <c r="AJ561" s="198">
        <f>IF(ptc_fed_amount="n/a",Inputs!AK187,IF(AJ$2&lt;=ptc_fed_term,ptc_fed_amount*(1+ptc_fed_escal/100)^AI$2,0))</f>
        <v>0</v>
      </c>
      <c r="AK561" s="198">
        <f>IF(ptc_fed_amount="n/a",Inputs!AL187,IF(AK$2&lt;=ptc_fed_term,ptc_fed_amount*(1+ptc_fed_escal/100)^AJ$2,0))</f>
        <v>0</v>
      </c>
      <c r="AL561" s="198">
        <f>IF(ptc_fed_amount="n/a",Inputs!AM187,IF(AL$2&lt;=ptc_fed_term,ptc_fed_amount*(1+ptc_fed_escal/100)^AK$2,0))</f>
        <v>0</v>
      </c>
      <c r="AM561" s="198">
        <f>IF(ptc_fed_amount="n/a",Inputs!AN187,IF(AM$2&lt;=ptc_fed_term,ptc_fed_amount*(1+ptc_fed_escal/100)^AL$2,0))</f>
        <v>0</v>
      </c>
      <c r="AN561" s="198">
        <f>IF(ptc_fed_amount="n/a",Inputs!AO187,IF(AN$2&lt;=ptc_fed_term,ptc_fed_amount*(1+ptc_fed_escal/100)^AM$2,0))</f>
        <v>0</v>
      </c>
      <c r="AO561" s="198">
        <f>IF(ptc_fed_amount="n/a",Inputs!AP187,IF(AO$2&lt;=ptc_fed_term,ptc_fed_amount*(1+ptc_fed_escal/100)^AN$2,0))</f>
        <v>0</v>
      </c>
      <c r="AP561" s="198">
        <f>IF(ptc_fed_amount="n/a",Inputs!AQ187,IF(AP$2&lt;=ptc_fed_term,ptc_fed_amount*(1+ptc_fed_escal/100)^AO$2,0))</f>
        <v>0</v>
      </c>
    </row>
    <row r="562" spans="1:42" x14ac:dyDescent="0.4">
      <c r="A562" s="86" t="s">
        <v>249</v>
      </c>
      <c r="C562" s="198">
        <f>ROUND(C561*1000,0)</f>
        <v>0</v>
      </c>
      <c r="D562" s="198">
        <f>ROUND(D561*1000,0)</f>
        <v>0</v>
      </c>
      <c r="E562" s="198">
        <f t="shared" ref="E562:AP562" si="276">ROUND(E561*1000,0)</f>
        <v>0</v>
      </c>
      <c r="F562" s="198">
        <f t="shared" si="276"/>
        <v>0</v>
      </c>
      <c r="G562" s="198">
        <f t="shared" si="276"/>
        <v>0</v>
      </c>
      <c r="H562" s="198">
        <f t="shared" si="276"/>
        <v>0</v>
      </c>
      <c r="I562" s="198">
        <f t="shared" si="276"/>
        <v>0</v>
      </c>
      <c r="J562" s="198">
        <f t="shared" si="276"/>
        <v>0</v>
      </c>
      <c r="K562" s="198">
        <f t="shared" si="276"/>
        <v>0</v>
      </c>
      <c r="L562" s="198">
        <f t="shared" si="276"/>
        <v>0</v>
      </c>
      <c r="M562" s="198">
        <f t="shared" si="276"/>
        <v>0</v>
      </c>
      <c r="N562" s="198">
        <f t="shared" si="276"/>
        <v>0</v>
      </c>
      <c r="O562" s="198">
        <f t="shared" si="276"/>
        <v>0</v>
      </c>
      <c r="P562" s="198">
        <f t="shared" si="276"/>
        <v>0</v>
      </c>
      <c r="Q562" s="198">
        <f t="shared" si="276"/>
        <v>0</v>
      </c>
      <c r="R562" s="198">
        <f t="shared" si="276"/>
        <v>0</v>
      </c>
      <c r="S562" s="198">
        <f t="shared" si="276"/>
        <v>0</v>
      </c>
      <c r="T562" s="198">
        <f t="shared" si="276"/>
        <v>0</v>
      </c>
      <c r="U562" s="198">
        <f t="shared" si="276"/>
        <v>0</v>
      </c>
      <c r="V562" s="198">
        <f t="shared" si="276"/>
        <v>0</v>
      </c>
      <c r="W562" s="198">
        <f t="shared" si="276"/>
        <v>0</v>
      </c>
      <c r="X562" s="198">
        <f t="shared" si="276"/>
        <v>0</v>
      </c>
      <c r="Y562" s="198">
        <f t="shared" si="276"/>
        <v>0</v>
      </c>
      <c r="Z562" s="198">
        <f t="shared" si="276"/>
        <v>0</v>
      </c>
      <c r="AA562" s="198">
        <f t="shared" si="276"/>
        <v>0</v>
      </c>
      <c r="AB562" s="198">
        <f t="shared" si="276"/>
        <v>0</v>
      </c>
      <c r="AC562" s="198">
        <f t="shared" si="276"/>
        <v>0</v>
      </c>
      <c r="AD562" s="198">
        <f t="shared" si="276"/>
        <v>0</v>
      </c>
      <c r="AE562" s="198">
        <f t="shared" si="276"/>
        <v>0</v>
      </c>
      <c r="AF562" s="198">
        <f t="shared" si="276"/>
        <v>0</v>
      </c>
      <c r="AG562" s="198">
        <f t="shared" si="276"/>
        <v>0</v>
      </c>
      <c r="AH562" s="198">
        <f t="shared" si="276"/>
        <v>0</v>
      </c>
      <c r="AI562" s="198">
        <f t="shared" si="276"/>
        <v>0</v>
      </c>
      <c r="AJ562" s="198">
        <f t="shared" si="276"/>
        <v>0</v>
      </c>
      <c r="AK562" s="198">
        <f t="shared" si="276"/>
        <v>0</v>
      </c>
      <c r="AL562" s="198">
        <f t="shared" si="276"/>
        <v>0</v>
      </c>
      <c r="AM562" s="198">
        <f t="shared" si="276"/>
        <v>0</v>
      </c>
      <c r="AN562" s="198">
        <f t="shared" si="276"/>
        <v>0</v>
      </c>
      <c r="AO562" s="198">
        <f t="shared" si="276"/>
        <v>0</v>
      </c>
      <c r="AP562" s="198">
        <f t="shared" si="276"/>
        <v>0</v>
      </c>
    </row>
    <row r="563" spans="1:42" x14ac:dyDescent="0.4">
      <c r="A563" s="86" t="s">
        <v>333</v>
      </c>
      <c r="C563" s="120">
        <f>C$5/1000</f>
        <v>55524.7</v>
      </c>
      <c r="D563" s="120">
        <f t="shared" ref="D563:AP563" si="277">D$5/1000</f>
        <v>55245.5</v>
      </c>
      <c r="E563" s="120">
        <f t="shared" si="277"/>
        <v>54974.1</v>
      </c>
      <c r="F563" s="120">
        <f t="shared" si="277"/>
        <v>54702.7</v>
      </c>
      <c r="G563" s="120">
        <f t="shared" si="277"/>
        <v>54429.7</v>
      </c>
      <c r="H563" s="120">
        <f t="shared" si="277"/>
        <v>54154.400000000001</v>
      </c>
      <c r="I563" s="120">
        <f t="shared" si="277"/>
        <v>53877.599999999999</v>
      </c>
      <c r="J563" s="120">
        <f t="shared" si="277"/>
        <v>53599.4</v>
      </c>
      <c r="K563" s="120">
        <f t="shared" si="277"/>
        <v>53319.7</v>
      </c>
      <c r="L563" s="120">
        <f t="shared" si="277"/>
        <v>53008.4</v>
      </c>
      <c r="M563" s="120">
        <f t="shared" si="277"/>
        <v>52724.3</v>
      </c>
      <c r="N563" s="120">
        <f t="shared" si="277"/>
        <v>52443.1</v>
      </c>
      <c r="O563" s="120">
        <f t="shared" si="277"/>
        <v>52162.7</v>
      </c>
      <c r="P563" s="120">
        <f t="shared" si="277"/>
        <v>51882.2</v>
      </c>
      <c r="Q563" s="120">
        <f t="shared" si="277"/>
        <v>51601.3</v>
      </c>
      <c r="R563" s="120">
        <f t="shared" si="277"/>
        <v>51320</v>
      </c>
      <c r="S563" s="120">
        <f t="shared" si="277"/>
        <v>51038.5</v>
      </c>
      <c r="T563" s="120">
        <f t="shared" si="277"/>
        <v>50756.800000000003</v>
      </c>
      <c r="U563" s="120">
        <f t="shared" si="277"/>
        <v>50475</v>
      </c>
      <c r="V563" s="120">
        <f t="shared" si="277"/>
        <v>50159.6</v>
      </c>
      <c r="W563" s="120">
        <f t="shared" si="277"/>
        <v>49874.6</v>
      </c>
      <c r="X563" s="120">
        <f t="shared" si="277"/>
        <v>49593.1</v>
      </c>
      <c r="Y563" s="120">
        <f t="shared" si="277"/>
        <v>49312.7</v>
      </c>
      <c r="Z563" s="120">
        <f t="shared" si="277"/>
        <v>49032.2</v>
      </c>
      <c r="AA563" s="120">
        <f t="shared" si="277"/>
        <v>48751.3</v>
      </c>
      <c r="AB563" s="120">
        <f t="shared" si="277"/>
        <v>0</v>
      </c>
      <c r="AC563" s="120">
        <f t="shared" si="277"/>
        <v>0</v>
      </c>
      <c r="AD563" s="120">
        <f t="shared" si="277"/>
        <v>0</v>
      </c>
      <c r="AE563" s="120">
        <f t="shared" si="277"/>
        <v>0</v>
      </c>
      <c r="AF563" s="120">
        <f t="shared" si="277"/>
        <v>0</v>
      </c>
      <c r="AG563" s="120">
        <f t="shared" si="277"/>
        <v>0</v>
      </c>
      <c r="AH563" s="120">
        <f t="shared" si="277"/>
        <v>0</v>
      </c>
      <c r="AI563" s="120">
        <f t="shared" si="277"/>
        <v>0</v>
      </c>
      <c r="AJ563" s="120">
        <f t="shared" si="277"/>
        <v>0</v>
      </c>
      <c r="AK563" s="120">
        <f t="shared" si="277"/>
        <v>0</v>
      </c>
      <c r="AL563" s="120">
        <f t="shared" si="277"/>
        <v>0</v>
      </c>
      <c r="AM563" s="120">
        <f t="shared" si="277"/>
        <v>0</v>
      </c>
      <c r="AN563" s="120">
        <f t="shared" si="277"/>
        <v>0</v>
      </c>
      <c r="AO563" s="120">
        <f t="shared" si="277"/>
        <v>0</v>
      </c>
      <c r="AP563" s="120">
        <f t="shared" si="277"/>
        <v>0</v>
      </c>
    </row>
    <row r="564" spans="1:42" x14ac:dyDescent="0.4">
      <c r="A564" s="86" t="s">
        <v>13</v>
      </c>
      <c r="C564" s="119">
        <f>C562*C563</f>
        <v>0</v>
      </c>
      <c r="D564" s="119">
        <f>D562*D563</f>
        <v>0</v>
      </c>
      <c r="E564" s="119">
        <f t="shared" ref="E564:AP564" si="278">E562*E563</f>
        <v>0</v>
      </c>
      <c r="F564" s="119">
        <f t="shared" si="278"/>
        <v>0</v>
      </c>
      <c r="G564" s="119">
        <f t="shared" si="278"/>
        <v>0</v>
      </c>
      <c r="H564" s="119">
        <f t="shared" si="278"/>
        <v>0</v>
      </c>
      <c r="I564" s="119">
        <f t="shared" si="278"/>
        <v>0</v>
      </c>
      <c r="J564" s="119">
        <f t="shared" si="278"/>
        <v>0</v>
      </c>
      <c r="K564" s="119">
        <f t="shared" si="278"/>
        <v>0</v>
      </c>
      <c r="L564" s="119">
        <f t="shared" si="278"/>
        <v>0</v>
      </c>
      <c r="M564" s="119">
        <f t="shared" si="278"/>
        <v>0</v>
      </c>
      <c r="N564" s="119">
        <f t="shared" si="278"/>
        <v>0</v>
      </c>
      <c r="O564" s="119">
        <f t="shared" si="278"/>
        <v>0</v>
      </c>
      <c r="P564" s="119">
        <f t="shared" si="278"/>
        <v>0</v>
      </c>
      <c r="Q564" s="119">
        <f t="shared" si="278"/>
        <v>0</v>
      </c>
      <c r="R564" s="119">
        <f t="shared" si="278"/>
        <v>0</v>
      </c>
      <c r="S564" s="119">
        <f t="shared" si="278"/>
        <v>0</v>
      </c>
      <c r="T564" s="119">
        <f t="shared" si="278"/>
        <v>0</v>
      </c>
      <c r="U564" s="119">
        <f t="shared" si="278"/>
        <v>0</v>
      </c>
      <c r="V564" s="119">
        <f t="shared" si="278"/>
        <v>0</v>
      </c>
      <c r="W564" s="119">
        <f t="shared" si="278"/>
        <v>0</v>
      </c>
      <c r="X564" s="119">
        <f t="shared" si="278"/>
        <v>0</v>
      </c>
      <c r="Y564" s="119">
        <f t="shared" si="278"/>
        <v>0</v>
      </c>
      <c r="Z564" s="119">
        <f t="shared" si="278"/>
        <v>0</v>
      </c>
      <c r="AA564" s="119">
        <f t="shared" si="278"/>
        <v>0</v>
      </c>
      <c r="AB564" s="119">
        <f t="shared" si="278"/>
        <v>0</v>
      </c>
      <c r="AC564" s="119">
        <f t="shared" si="278"/>
        <v>0</v>
      </c>
      <c r="AD564" s="119">
        <f t="shared" si="278"/>
        <v>0</v>
      </c>
      <c r="AE564" s="119">
        <f t="shared" si="278"/>
        <v>0</v>
      </c>
      <c r="AF564" s="119">
        <f t="shared" si="278"/>
        <v>0</v>
      </c>
      <c r="AG564" s="119">
        <f t="shared" si="278"/>
        <v>0</v>
      </c>
      <c r="AH564" s="119">
        <f t="shared" si="278"/>
        <v>0</v>
      </c>
      <c r="AI564" s="119">
        <f t="shared" si="278"/>
        <v>0</v>
      </c>
      <c r="AJ564" s="119">
        <f t="shared" si="278"/>
        <v>0</v>
      </c>
      <c r="AK564" s="119">
        <f t="shared" si="278"/>
        <v>0</v>
      </c>
      <c r="AL564" s="119">
        <f t="shared" si="278"/>
        <v>0</v>
      </c>
      <c r="AM564" s="119">
        <f t="shared" si="278"/>
        <v>0</v>
      </c>
      <c r="AN564" s="119">
        <f t="shared" si="278"/>
        <v>0</v>
      </c>
      <c r="AO564" s="119">
        <f t="shared" si="278"/>
        <v>0</v>
      </c>
      <c r="AP564" s="119">
        <f t="shared" si="278"/>
        <v>0</v>
      </c>
    </row>
    <row r="565" spans="1:42" x14ac:dyDescent="0.4">
      <c r="A565" s="21"/>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row>
    <row r="566" spans="1:42" x14ac:dyDescent="0.4">
      <c r="A566" s="19" t="s">
        <v>16</v>
      </c>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row>
    <row r="567" spans="1:42" x14ac:dyDescent="0.4">
      <c r="A567" s="17" t="str">
        <f>Inputs!B114</f>
        <v>As fixed amount</v>
      </c>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row>
    <row r="568" spans="1:42" x14ac:dyDescent="0.4">
      <c r="A568" s="21" t="str">
        <f>Inputs!B115</f>
        <v>Federal ($)</v>
      </c>
      <c r="C568" s="119">
        <f>ibi_fed_amount</f>
        <v>0</v>
      </c>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row>
    <row r="569" spans="1:42" x14ac:dyDescent="0.4">
      <c r="A569" s="21" t="str">
        <f>Inputs!B116</f>
        <v>State ($)</v>
      </c>
      <c r="C569" s="119">
        <f>ibi_sta_amount</f>
        <v>0</v>
      </c>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row>
    <row r="570" spans="1:42" x14ac:dyDescent="0.4">
      <c r="A570" s="21" t="str">
        <f>Inputs!B117</f>
        <v>Utility ($)</v>
      </c>
      <c r="C570" s="119">
        <f>ibi_uti_amount</f>
        <v>0</v>
      </c>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row>
    <row r="571" spans="1:42" x14ac:dyDescent="0.4">
      <c r="A571" s="21" t="str">
        <f>Inputs!B118</f>
        <v>Other ($)</v>
      </c>
      <c r="C571" s="120">
        <f>ibi_oth_amount</f>
        <v>0</v>
      </c>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row>
    <row r="572" spans="1:42" x14ac:dyDescent="0.4">
      <c r="A572" s="21" t="s">
        <v>13</v>
      </c>
      <c r="C572" s="119">
        <f>SUM(C568:C571)</f>
        <v>0</v>
      </c>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row>
    <row r="573" spans="1:42" x14ac:dyDescent="0.4">
      <c r="A573" s="17" t="str">
        <f>Inputs!B119</f>
        <v>As percentage</v>
      </c>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row>
    <row r="574" spans="1:42" x14ac:dyDescent="0.4">
      <c r="A574" s="21" t="str">
        <f>Inputs!B120</f>
        <v>Federal (% of total installed cost)</v>
      </c>
      <c r="C574" s="154">
        <f>MIN(ibi_fed_percent/100*total_installed_cost,Inputs!D120)</f>
        <v>0</v>
      </c>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row>
    <row r="575" spans="1:42" x14ac:dyDescent="0.4">
      <c r="A575" s="21" t="str">
        <f>Inputs!B121</f>
        <v>State (% of total installed cost)</v>
      </c>
      <c r="C575" s="154">
        <f>MIN(ibi_sta_percent/100*total_installed_cost,Inputs!D121)</f>
        <v>0</v>
      </c>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row>
    <row r="576" spans="1:42" x14ac:dyDescent="0.4">
      <c r="A576" s="21" t="str">
        <f>Inputs!B122</f>
        <v>Utility (% of total installed cost)</v>
      </c>
      <c r="C576" s="154">
        <f>MIN(ibi_uti_percent/100*total_installed_cost,Inputs!D122)</f>
        <v>0</v>
      </c>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row>
    <row r="577" spans="1:42" x14ac:dyDescent="0.4">
      <c r="A577" s="21" t="str">
        <f>Inputs!B123</f>
        <v>Other (% of total installed cost)</v>
      </c>
      <c r="C577" s="154">
        <f>MIN(ibi_oth_percent/100*total_installed_cost,Inputs!D123)</f>
        <v>0</v>
      </c>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row>
    <row r="578" spans="1:42" x14ac:dyDescent="0.4">
      <c r="A578" s="21" t="s">
        <v>13</v>
      </c>
      <c r="C578" s="125">
        <f>SUM(C574:C577)</f>
        <v>0</v>
      </c>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row>
    <row r="579" spans="1:42" x14ac:dyDescent="0.4">
      <c r="A579" s="21"/>
      <c r="C579" s="119"/>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row>
    <row r="580" spans="1:42" x14ac:dyDescent="0.4">
      <c r="A580" s="19" t="s">
        <v>33</v>
      </c>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row>
    <row r="581" spans="1:42" x14ac:dyDescent="0.4">
      <c r="A581" s="17" t="str">
        <f>Inputs!B125</f>
        <v>Federal ($/W)</v>
      </c>
      <c r="C581" s="154">
        <f>MIN(cbi_fed_amount*system_capacity*1000,cbi_fed_maxvalue)</f>
        <v>0</v>
      </c>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row>
    <row r="582" spans="1:42" x14ac:dyDescent="0.4">
      <c r="A582" s="17" t="str">
        <f>Inputs!B126</f>
        <v>State ($/W)</v>
      </c>
      <c r="C582" s="154">
        <f>MIN(cbi_sta_amount*system_capacity*1000,cbi_sta_maxvalue)</f>
        <v>0</v>
      </c>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row>
    <row r="583" spans="1:42" x14ac:dyDescent="0.4">
      <c r="A583" s="17" t="str">
        <f>Inputs!B127</f>
        <v>Utility ($/W)</v>
      </c>
      <c r="C583" s="154">
        <f>MIN(cbi_uti_amount*system_capacity*1000,cbi_uti_maxvalue)</f>
        <v>0</v>
      </c>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row>
    <row r="584" spans="1:42" x14ac:dyDescent="0.4">
      <c r="A584" s="17" t="str">
        <f>Inputs!B128</f>
        <v>Other ($/W)</v>
      </c>
      <c r="C584" s="154">
        <f>MIN(cbi_oth_amount*system_capacity*1000,cbi_oth_maxvalue)</f>
        <v>0</v>
      </c>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row>
    <row r="585" spans="1:42" x14ac:dyDescent="0.4">
      <c r="A585" s="17" t="s">
        <v>13</v>
      </c>
      <c r="C585" s="125">
        <f>SUM(C581:C584)</f>
        <v>0</v>
      </c>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row>
    <row r="586" spans="1:42" x14ac:dyDescent="0.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row>
    <row r="587" spans="1:42" x14ac:dyDescent="0.4">
      <c r="A587" s="19" t="s">
        <v>31</v>
      </c>
    </row>
    <row r="588" spans="1:42" x14ac:dyDescent="0.4">
      <c r="A588" s="17" t="str">
        <f>Inputs!B130</f>
        <v>Federal ($/kWh)</v>
      </c>
    </row>
    <row r="589" spans="1:42" x14ac:dyDescent="0.4">
      <c r="A589" s="21" t="s">
        <v>32</v>
      </c>
      <c r="C589" s="108">
        <f>IF(pbi_fed_amount="n/a",Inputs!D182,IF(AND(C$2&lt;=pbi_fed_term,C$2&lt;=analysis_period),pbi_fed_amount*(1+pbi_fed_escal/100)^B$2,0))</f>
        <v>0</v>
      </c>
      <c r="D589" s="108">
        <f>IF(pbi_fed_amount="n/a",Inputs!E182,IF(AND(D$2&lt;=pbi_fed_term,D$2&lt;=analysis_period),pbi_fed_amount*(1+pbi_fed_escal/100)^C$2,0))</f>
        <v>0</v>
      </c>
      <c r="E589" s="108">
        <f>IF(pbi_fed_amount="n/a",Inputs!F182,IF(AND(E$2&lt;=pbi_fed_term,E$2&lt;=analysis_period),pbi_fed_amount*(1+pbi_fed_escal/100)^D$2,0))</f>
        <v>0</v>
      </c>
      <c r="F589" s="108">
        <f>IF(pbi_fed_amount="n/a",Inputs!G182,IF(AND(F$2&lt;=pbi_fed_term,F$2&lt;=analysis_period),pbi_fed_amount*(1+pbi_fed_escal/100)^E$2,0))</f>
        <v>0</v>
      </c>
      <c r="G589" s="108">
        <f>IF(pbi_fed_amount="n/a",Inputs!H182,IF(AND(G$2&lt;=pbi_fed_term,G$2&lt;=analysis_period),pbi_fed_amount*(1+pbi_fed_escal/100)^F$2,0))</f>
        <v>0</v>
      </c>
      <c r="H589" s="108">
        <f>IF(pbi_fed_amount="n/a",Inputs!I182,IF(AND(H$2&lt;=pbi_fed_term,H$2&lt;=analysis_period),pbi_fed_amount*(1+pbi_fed_escal/100)^G$2,0))</f>
        <v>0</v>
      </c>
      <c r="I589" s="108">
        <f>IF(pbi_fed_amount="n/a",Inputs!J182,IF(AND(I$2&lt;=pbi_fed_term,I$2&lt;=analysis_period),pbi_fed_amount*(1+pbi_fed_escal/100)^H$2,0))</f>
        <v>0</v>
      </c>
      <c r="J589" s="108">
        <f>IF(pbi_fed_amount="n/a",Inputs!K182,IF(AND(J$2&lt;=pbi_fed_term,J$2&lt;=analysis_period),pbi_fed_amount*(1+pbi_fed_escal/100)^I$2,0))</f>
        <v>0</v>
      </c>
      <c r="K589" s="108">
        <f>IF(pbi_fed_amount="n/a",Inputs!L182,IF(AND(K$2&lt;=pbi_fed_term,K$2&lt;=analysis_period),pbi_fed_amount*(1+pbi_fed_escal/100)^J$2,0))</f>
        <v>0</v>
      </c>
      <c r="L589" s="108">
        <f>IF(pbi_fed_amount="n/a",Inputs!M182,IF(AND(L$2&lt;=pbi_fed_term,L$2&lt;=analysis_period),pbi_fed_amount*(1+pbi_fed_escal/100)^K$2,0))</f>
        <v>0</v>
      </c>
      <c r="M589" s="108">
        <f>IF(pbi_fed_amount="n/a",Inputs!N182,IF(AND(M$2&lt;=pbi_fed_term,M$2&lt;=analysis_period),pbi_fed_amount*(1+pbi_fed_escal/100)^L$2,0))</f>
        <v>0</v>
      </c>
      <c r="N589" s="108">
        <f>IF(pbi_fed_amount="n/a",Inputs!O182,IF(AND(N$2&lt;=pbi_fed_term,N$2&lt;=analysis_period),pbi_fed_amount*(1+pbi_fed_escal/100)^M$2,0))</f>
        <v>0</v>
      </c>
      <c r="O589" s="108">
        <f>IF(pbi_fed_amount="n/a",Inputs!P182,IF(AND(O$2&lt;=pbi_fed_term,O$2&lt;=analysis_period),pbi_fed_amount*(1+pbi_fed_escal/100)^N$2,0))</f>
        <v>0</v>
      </c>
      <c r="P589" s="108">
        <f>IF(pbi_fed_amount="n/a",Inputs!Q182,IF(AND(P$2&lt;=pbi_fed_term,P$2&lt;=analysis_period),pbi_fed_amount*(1+pbi_fed_escal/100)^O$2,0))</f>
        <v>0</v>
      </c>
      <c r="Q589" s="108">
        <f>IF(pbi_fed_amount="n/a",Inputs!R182,IF(AND(Q$2&lt;=pbi_fed_term,Q$2&lt;=analysis_period),pbi_fed_amount*(1+pbi_fed_escal/100)^P$2,0))</f>
        <v>0</v>
      </c>
      <c r="R589" s="108">
        <f>IF(pbi_fed_amount="n/a",Inputs!S182,IF(AND(R$2&lt;=pbi_fed_term,R$2&lt;=analysis_period),pbi_fed_amount*(1+pbi_fed_escal/100)^Q$2,0))</f>
        <v>0</v>
      </c>
      <c r="S589" s="108">
        <f>IF(pbi_fed_amount="n/a",Inputs!T182,IF(AND(S$2&lt;=pbi_fed_term,S$2&lt;=analysis_period),pbi_fed_amount*(1+pbi_fed_escal/100)^R$2,0))</f>
        <v>0</v>
      </c>
      <c r="T589" s="108">
        <f>IF(pbi_fed_amount="n/a",Inputs!U182,IF(AND(T$2&lt;=pbi_fed_term,T$2&lt;=analysis_period),pbi_fed_amount*(1+pbi_fed_escal/100)^S$2,0))</f>
        <v>0</v>
      </c>
      <c r="U589" s="108">
        <f>IF(pbi_fed_amount="n/a",Inputs!V182,IF(AND(U$2&lt;=pbi_fed_term,U$2&lt;=analysis_period),pbi_fed_amount*(1+pbi_fed_escal/100)^T$2,0))</f>
        <v>0</v>
      </c>
      <c r="V589" s="108">
        <f>IF(pbi_fed_amount="n/a",Inputs!W182,IF(AND(V$2&lt;=pbi_fed_term,V$2&lt;=analysis_period),pbi_fed_amount*(1+pbi_fed_escal/100)^U$2,0))</f>
        <v>0</v>
      </c>
      <c r="W589" s="108">
        <f>IF(pbi_fed_amount="n/a",Inputs!X182,IF(AND(W$2&lt;=pbi_fed_term,W$2&lt;=analysis_period),pbi_fed_amount*(1+pbi_fed_escal/100)^V$2,0))</f>
        <v>0</v>
      </c>
      <c r="X589" s="108">
        <f>IF(pbi_fed_amount="n/a",Inputs!Y182,IF(AND(X$2&lt;=pbi_fed_term,X$2&lt;=analysis_period),pbi_fed_amount*(1+pbi_fed_escal/100)^W$2,0))</f>
        <v>0</v>
      </c>
      <c r="Y589" s="108">
        <f>IF(pbi_fed_amount="n/a",Inputs!Z182,IF(AND(Y$2&lt;=pbi_fed_term,Y$2&lt;=analysis_period),pbi_fed_amount*(1+pbi_fed_escal/100)^X$2,0))</f>
        <v>0</v>
      </c>
      <c r="Z589" s="108">
        <f>IF(pbi_fed_amount="n/a",Inputs!AA182,IF(AND(Z$2&lt;=pbi_fed_term,Z$2&lt;=analysis_period),pbi_fed_amount*(1+pbi_fed_escal/100)^Y$2,0))</f>
        <v>0</v>
      </c>
      <c r="AA589" s="108">
        <f>IF(pbi_fed_amount="n/a",Inputs!AB182,IF(AND(AA$2&lt;=pbi_fed_term,AA$2&lt;=analysis_period),pbi_fed_amount*(1+pbi_fed_escal/100)^Z$2,0))</f>
        <v>0</v>
      </c>
      <c r="AB589" s="108">
        <f>IF(pbi_fed_amount="n/a",Inputs!AC182,IF(AND(AB$2&lt;=pbi_fed_term,AB$2&lt;=analysis_period),pbi_fed_amount*(1+pbi_fed_escal/100)^AA$2,0))</f>
        <v>0</v>
      </c>
      <c r="AC589" s="108">
        <f>IF(pbi_fed_amount="n/a",Inputs!AD182,IF(AND(AC$2&lt;=pbi_fed_term,AC$2&lt;=analysis_period),pbi_fed_amount*(1+pbi_fed_escal/100)^AB$2,0))</f>
        <v>0</v>
      </c>
      <c r="AD589" s="108">
        <f>IF(pbi_fed_amount="n/a",Inputs!AE182,IF(AND(AD$2&lt;=pbi_fed_term,AD$2&lt;=analysis_period),pbi_fed_amount*(1+pbi_fed_escal/100)^AC$2,0))</f>
        <v>0</v>
      </c>
      <c r="AE589" s="108">
        <f>IF(pbi_fed_amount="n/a",Inputs!AF182,IF(AND(AE$2&lt;=pbi_fed_term,AE$2&lt;=analysis_period),pbi_fed_amount*(1+pbi_fed_escal/100)^AD$2,0))</f>
        <v>0</v>
      </c>
      <c r="AF589" s="108">
        <f>IF(pbi_fed_amount="n/a",Inputs!AG182,IF(AND(AF$2&lt;=pbi_fed_term,AF$2&lt;=analysis_period),pbi_fed_amount*(1+pbi_fed_escal/100)^AE$2,0))</f>
        <v>0</v>
      </c>
      <c r="AG589" s="108">
        <f>IF(pbi_fed_amount="n/a",Inputs!AH182,IF(AND(AG$2&lt;=pbi_fed_term,AG$2&lt;=analysis_period),pbi_fed_amount*(1+pbi_fed_escal/100)^AF$2,0))</f>
        <v>0</v>
      </c>
      <c r="AH589" s="108">
        <f>IF(pbi_fed_amount="n/a",Inputs!AI182,IF(AND(AH$2&lt;=pbi_fed_term,AH$2&lt;=analysis_period),pbi_fed_amount*(1+pbi_fed_escal/100)^AG$2,0))</f>
        <v>0</v>
      </c>
      <c r="AI589" s="108">
        <f>IF(pbi_fed_amount="n/a",Inputs!AJ182,IF(AND(AI$2&lt;=pbi_fed_term,AI$2&lt;=analysis_period),pbi_fed_amount*(1+pbi_fed_escal/100)^AH$2,0))</f>
        <v>0</v>
      </c>
      <c r="AJ589" s="108">
        <f>IF(pbi_fed_amount="n/a",Inputs!AK182,IF(AND(AJ$2&lt;=pbi_fed_term,AJ$2&lt;=analysis_period),pbi_fed_amount*(1+pbi_fed_escal/100)^AI$2,0))</f>
        <v>0</v>
      </c>
      <c r="AK589" s="108">
        <f>IF(pbi_fed_amount="n/a",Inputs!AL182,IF(AND(AK$2&lt;=pbi_fed_term,AK$2&lt;=analysis_period),pbi_fed_amount*(1+pbi_fed_escal/100)^AJ$2,0))</f>
        <v>0</v>
      </c>
      <c r="AL589" s="108">
        <f>IF(pbi_fed_amount="n/a",Inputs!AM182,IF(AND(AL$2&lt;=pbi_fed_term,AL$2&lt;=analysis_period),pbi_fed_amount*(1+pbi_fed_escal/100)^AK$2,0))</f>
        <v>0</v>
      </c>
      <c r="AM589" s="108">
        <f>IF(pbi_fed_amount="n/a",Inputs!AN182,IF(AND(AM$2&lt;=pbi_fed_term,AM$2&lt;=analysis_period),pbi_fed_amount*(1+pbi_fed_escal/100)^AL$2,0))</f>
        <v>0</v>
      </c>
      <c r="AN589" s="108">
        <f>IF(pbi_fed_amount="n/a",Inputs!AO182,IF(AND(AN$2&lt;=pbi_fed_term,AN$2&lt;=analysis_period),pbi_fed_amount*(1+pbi_fed_escal/100)^AM$2,0))</f>
        <v>0</v>
      </c>
      <c r="AO589" s="108">
        <f>IF(pbi_fed_amount="n/a",Inputs!AP182,IF(AND(AO$2&lt;=pbi_fed_term,AO$2&lt;=analysis_period),pbi_fed_amount*(1+pbi_fed_escal/100)^AN$2,0))</f>
        <v>0</v>
      </c>
      <c r="AP589" s="108">
        <f>IF(pbi_fed_amount="n/a",Inputs!AQ182,IF(AND(AP$2&lt;=pbi_fed_term,AP$2&lt;=analysis_period),pbi_fed_amount*(1+pbi_fed_escal/100)^AO$2,0))</f>
        <v>0</v>
      </c>
    </row>
    <row r="590" spans="1:42" x14ac:dyDescent="0.4">
      <c r="A590" s="21" t="s">
        <v>334</v>
      </c>
      <c r="C590" s="120">
        <f>C$5</f>
        <v>55524700</v>
      </c>
      <c r="D590" s="120">
        <f t="shared" ref="D590:AP590" si="279">D$5</f>
        <v>55245500</v>
      </c>
      <c r="E590" s="120">
        <f t="shared" si="279"/>
        <v>54974100</v>
      </c>
      <c r="F590" s="120">
        <f t="shared" si="279"/>
        <v>54702700</v>
      </c>
      <c r="G590" s="120">
        <f t="shared" si="279"/>
        <v>54429700</v>
      </c>
      <c r="H590" s="120">
        <f t="shared" si="279"/>
        <v>54154400</v>
      </c>
      <c r="I590" s="120">
        <f t="shared" si="279"/>
        <v>53877600</v>
      </c>
      <c r="J590" s="120">
        <f t="shared" si="279"/>
        <v>53599400</v>
      </c>
      <c r="K590" s="120">
        <f t="shared" si="279"/>
        <v>53319700</v>
      </c>
      <c r="L590" s="120">
        <f t="shared" si="279"/>
        <v>53008400</v>
      </c>
      <c r="M590" s="120">
        <f t="shared" si="279"/>
        <v>52724300</v>
      </c>
      <c r="N590" s="120">
        <f t="shared" si="279"/>
        <v>52443100</v>
      </c>
      <c r="O590" s="120">
        <f t="shared" si="279"/>
        <v>52162700</v>
      </c>
      <c r="P590" s="120">
        <f t="shared" si="279"/>
        <v>51882200</v>
      </c>
      <c r="Q590" s="120">
        <f t="shared" si="279"/>
        <v>51601300</v>
      </c>
      <c r="R590" s="120">
        <f t="shared" si="279"/>
        <v>51320000</v>
      </c>
      <c r="S590" s="120">
        <f t="shared" si="279"/>
        <v>51038500</v>
      </c>
      <c r="T590" s="120">
        <f t="shared" si="279"/>
        <v>50756800</v>
      </c>
      <c r="U590" s="120">
        <f t="shared" si="279"/>
        <v>50475000</v>
      </c>
      <c r="V590" s="120">
        <f t="shared" si="279"/>
        <v>50159600</v>
      </c>
      <c r="W590" s="120">
        <f t="shared" si="279"/>
        <v>49874600</v>
      </c>
      <c r="X590" s="120">
        <f t="shared" si="279"/>
        <v>49593100</v>
      </c>
      <c r="Y590" s="120">
        <f t="shared" si="279"/>
        <v>49312700</v>
      </c>
      <c r="Z590" s="120">
        <f t="shared" si="279"/>
        <v>49032200</v>
      </c>
      <c r="AA590" s="120">
        <f t="shared" si="279"/>
        <v>48751300</v>
      </c>
      <c r="AB590" s="120">
        <f t="shared" si="279"/>
        <v>0</v>
      </c>
      <c r="AC590" s="120">
        <f t="shared" si="279"/>
        <v>0</v>
      </c>
      <c r="AD590" s="120">
        <f t="shared" si="279"/>
        <v>0</v>
      </c>
      <c r="AE590" s="120">
        <f t="shared" si="279"/>
        <v>0</v>
      </c>
      <c r="AF590" s="120">
        <f t="shared" si="279"/>
        <v>0</v>
      </c>
      <c r="AG590" s="120">
        <f t="shared" si="279"/>
        <v>0</v>
      </c>
      <c r="AH590" s="120">
        <f t="shared" si="279"/>
        <v>0</v>
      </c>
      <c r="AI590" s="120">
        <f t="shared" si="279"/>
        <v>0</v>
      </c>
      <c r="AJ590" s="120">
        <f t="shared" si="279"/>
        <v>0</v>
      </c>
      <c r="AK590" s="120">
        <f t="shared" si="279"/>
        <v>0</v>
      </c>
      <c r="AL590" s="120">
        <f t="shared" si="279"/>
        <v>0</v>
      </c>
      <c r="AM590" s="120">
        <f t="shared" si="279"/>
        <v>0</v>
      </c>
      <c r="AN590" s="120">
        <f t="shared" si="279"/>
        <v>0</v>
      </c>
      <c r="AO590" s="120">
        <f t="shared" si="279"/>
        <v>0</v>
      </c>
      <c r="AP590" s="120">
        <f t="shared" si="279"/>
        <v>0</v>
      </c>
    </row>
    <row r="591" spans="1:42" x14ac:dyDescent="0.4">
      <c r="A591" s="21" t="s">
        <v>13</v>
      </c>
      <c r="C591" s="119">
        <f>C589*C590</f>
        <v>0</v>
      </c>
      <c r="D591" s="119">
        <f t="shared" ref="D591:AP591" si="280">D589*D590</f>
        <v>0</v>
      </c>
      <c r="E591" s="119">
        <f t="shared" si="280"/>
        <v>0</v>
      </c>
      <c r="F591" s="119">
        <f t="shared" si="280"/>
        <v>0</v>
      </c>
      <c r="G591" s="119">
        <f t="shared" si="280"/>
        <v>0</v>
      </c>
      <c r="H591" s="119">
        <f t="shared" si="280"/>
        <v>0</v>
      </c>
      <c r="I591" s="119">
        <f t="shared" si="280"/>
        <v>0</v>
      </c>
      <c r="J591" s="119">
        <f t="shared" si="280"/>
        <v>0</v>
      </c>
      <c r="K591" s="119">
        <f t="shared" si="280"/>
        <v>0</v>
      </c>
      <c r="L591" s="119">
        <f t="shared" si="280"/>
        <v>0</v>
      </c>
      <c r="M591" s="119">
        <f t="shared" si="280"/>
        <v>0</v>
      </c>
      <c r="N591" s="119">
        <f t="shared" si="280"/>
        <v>0</v>
      </c>
      <c r="O591" s="119">
        <f t="shared" si="280"/>
        <v>0</v>
      </c>
      <c r="P591" s="119">
        <f t="shared" si="280"/>
        <v>0</v>
      </c>
      <c r="Q591" s="119">
        <f t="shared" si="280"/>
        <v>0</v>
      </c>
      <c r="R591" s="119">
        <f t="shared" si="280"/>
        <v>0</v>
      </c>
      <c r="S591" s="119">
        <f t="shared" si="280"/>
        <v>0</v>
      </c>
      <c r="T591" s="119">
        <f t="shared" si="280"/>
        <v>0</v>
      </c>
      <c r="U591" s="119">
        <f t="shared" si="280"/>
        <v>0</v>
      </c>
      <c r="V591" s="119">
        <f t="shared" si="280"/>
        <v>0</v>
      </c>
      <c r="W591" s="119">
        <f t="shared" si="280"/>
        <v>0</v>
      </c>
      <c r="X591" s="119">
        <f t="shared" si="280"/>
        <v>0</v>
      </c>
      <c r="Y591" s="119">
        <f t="shared" si="280"/>
        <v>0</v>
      </c>
      <c r="Z591" s="119">
        <f t="shared" si="280"/>
        <v>0</v>
      </c>
      <c r="AA591" s="119">
        <f t="shared" si="280"/>
        <v>0</v>
      </c>
      <c r="AB591" s="119">
        <f t="shared" si="280"/>
        <v>0</v>
      </c>
      <c r="AC591" s="119">
        <f t="shared" si="280"/>
        <v>0</v>
      </c>
      <c r="AD591" s="119">
        <f t="shared" si="280"/>
        <v>0</v>
      </c>
      <c r="AE591" s="119">
        <f t="shared" si="280"/>
        <v>0</v>
      </c>
      <c r="AF591" s="119">
        <f t="shared" si="280"/>
        <v>0</v>
      </c>
      <c r="AG591" s="119">
        <f t="shared" si="280"/>
        <v>0</v>
      </c>
      <c r="AH591" s="119">
        <f t="shared" si="280"/>
        <v>0</v>
      </c>
      <c r="AI591" s="119">
        <f t="shared" si="280"/>
        <v>0</v>
      </c>
      <c r="AJ591" s="119">
        <f t="shared" si="280"/>
        <v>0</v>
      </c>
      <c r="AK591" s="119">
        <f t="shared" si="280"/>
        <v>0</v>
      </c>
      <c r="AL591" s="119">
        <f t="shared" si="280"/>
        <v>0</v>
      </c>
      <c r="AM591" s="119">
        <f t="shared" si="280"/>
        <v>0</v>
      </c>
      <c r="AN591" s="119">
        <f t="shared" si="280"/>
        <v>0</v>
      </c>
      <c r="AO591" s="119">
        <f t="shared" si="280"/>
        <v>0</v>
      </c>
      <c r="AP591" s="119">
        <f t="shared" si="280"/>
        <v>0</v>
      </c>
    </row>
    <row r="592" spans="1:42" x14ac:dyDescent="0.4">
      <c r="A592" s="17" t="str">
        <f>Inputs!B131</f>
        <v>State ($/kWh)</v>
      </c>
    </row>
    <row r="593" spans="1:42" x14ac:dyDescent="0.4">
      <c r="A593" s="21" t="s">
        <v>32</v>
      </c>
      <c r="C593" s="97">
        <f>IF(pbi_sta_amount="n/a",Inputs!D183,IF(AND(C$2&lt;=pbi_sta_term,C$2&lt;=analysis_period),pbi_sta_amount*(1+pbi_sta_escal/100)^B$2,0))</f>
        <v>0</v>
      </c>
      <c r="D593" s="97">
        <f>IF(pbi_sta_amount="n/a",Inputs!E183,IF(AND(D$2&lt;=pbi_sta_term,D$2&lt;=analysis_period),pbi_sta_amount*(1+pbi_sta_escal/100)^C$2,0))</f>
        <v>0</v>
      </c>
      <c r="E593" s="97">
        <f>IF(pbi_sta_amount="n/a",Inputs!F183,IF(AND(E$2&lt;=pbi_sta_term,E$2&lt;=analysis_period),pbi_sta_amount*(1+pbi_sta_escal/100)^D$2,0))</f>
        <v>0</v>
      </c>
      <c r="F593" s="97">
        <f>IF(pbi_sta_amount="n/a",Inputs!G183,IF(AND(F$2&lt;=pbi_sta_term,F$2&lt;=analysis_period),pbi_sta_amount*(1+pbi_sta_escal/100)^E$2,0))</f>
        <v>0</v>
      </c>
      <c r="G593" s="97">
        <f>IF(pbi_sta_amount="n/a",Inputs!H183,IF(AND(G$2&lt;=pbi_sta_term,G$2&lt;=analysis_period),pbi_sta_amount*(1+pbi_sta_escal/100)^F$2,0))</f>
        <v>0</v>
      </c>
      <c r="H593" s="97">
        <f>IF(pbi_sta_amount="n/a",Inputs!I183,IF(AND(H$2&lt;=pbi_sta_term,H$2&lt;=analysis_period),pbi_sta_amount*(1+pbi_sta_escal/100)^G$2,0))</f>
        <v>0</v>
      </c>
      <c r="I593" s="97">
        <f>IF(pbi_sta_amount="n/a",Inputs!J183,IF(AND(I$2&lt;=pbi_sta_term,I$2&lt;=analysis_period),pbi_sta_amount*(1+pbi_sta_escal/100)^H$2,0))</f>
        <v>0</v>
      </c>
      <c r="J593" s="97">
        <f>IF(pbi_sta_amount="n/a",Inputs!K183,IF(AND(J$2&lt;=pbi_sta_term,J$2&lt;=analysis_period),pbi_sta_amount*(1+pbi_sta_escal/100)^I$2,0))</f>
        <v>0</v>
      </c>
      <c r="K593" s="97">
        <f>IF(pbi_sta_amount="n/a",Inputs!L183,IF(AND(K$2&lt;=pbi_sta_term,K$2&lt;=analysis_period),pbi_sta_amount*(1+pbi_sta_escal/100)^J$2,0))</f>
        <v>0</v>
      </c>
      <c r="L593" s="97">
        <f>IF(pbi_sta_amount="n/a",Inputs!M183,IF(AND(L$2&lt;=pbi_sta_term,L$2&lt;=analysis_period),pbi_sta_amount*(1+pbi_sta_escal/100)^K$2,0))</f>
        <v>0</v>
      </c>
      <c r="M593" s="97">
        <f>IF(pbi_sta_amount="n/a",Inputs!N183,IF(AND(M$2&lt;=pbi_sta_term,M$2&lt;=analysis_period),pbi_sta_amount*(1+pbi_sta_escal/100)^L$2,0))</f>
        <v>0</v>
      </c>
      <c r="N593" s="97">
        <f>IF(pbi_sta_amount="n/a",Inputs!O183,IF(AND(N$2&lt;=pbi_sta_term,N$2&lt;=analysis_period),pbi_sta_amount*(1+pbi_sta_escal/100)^M$2,0))</f>
        <v>0</v>
      </c>
      <c r="O593" s="97">
        <f>IF(pbi_sta_amount="n/a",Inputs!P183,IF(AND(O$2&lt;=pbi_sta_term,O$2&lt;=analysis_period),pbi_sta_amount*(1+pbi_sta_escal/100)^N$2,0))</f>
        <v>0</v>
      </c>
      <c r="P593" s="97">
        <f>IF(pbi_sta_amount="n/a",Inputs!Q183,IF(AND(P$2&lt;=pbi_sta_term,P$2&lt;=analysis_period),pbi_sta_amount*(1+pbi_sta_escal/100)^O$2,0))</f>
        <v>0</v>
      </c>
      <c r="Q593" s="97">
        <f>IF(pbi_sta_amount="n/a",Inputs!R183,IF(AND(Q$2&lt;=pbi_sta_term,Q$2&lt;=analysis_period),pbi_sta_amount*(1+pbi_sta_escal/100)^P$2,0))</f>
        <v>0</v>
      </c>
      <c r="R593" s="97">
        <f>IF(pbi_sta_amount="n/a",Inputs!S183,IF(AND(R$2&lt;=pbi_sta_term,R$2&lt;=analysis_period),pbi_sta_amount*(1+pbi_sta_escal/100)^Q$2,0))</f>
        <v>0</v>
      </c>
      <c r="S593" s="97">
        <f>IF(pbi_sta_amount="n/a",Inputs!T183,IF(AND(S$2&lt;=pbi_sta_term,S$2&lt;=analysis_period),pbi_sta_amount*(1+pbi_sta_escal/100)^R$2,0))</f>
        <v>0</v>
      </c>
      <c r="T593" s="97">
        <f>IF(pbi_sta_amount="n/a",Inputs!U183,IF(AND(T$2&lt;=pbi_sta_term,T$2&lt;=analysis_period),pbi_sta_amount*(1+pbi_sta_escal/100)^S$2,0))</f>
        <v>0</v>
      </c>
      <c r="U593" s="97">
        <f>IF(pbi_sta_amount="n/a",Inputs!V183,IF(AND(U$2&lt;=pbi_sta_term,U$2&lt;=analysis_period),pbi_sta_amount*(1+pbi_sta_escal/100)^T$2,0))</f>
        <v>0</v>
      </c>
      <c r="V593" s="97">
        <f>IF(pbi_sta_amount="n/a",Inputs!W183,IF(AND(V$2&lt;=pbi_sta_term,V$2&lt;=analysis_period),pbi_sta_amount*(1+pbi_sta_escal/100)^U$2,0))</f>
        <v>0</v>
      </c>
      <c r="W593" s="97">
        <f>IF(pbi_sta_amount="n/a",Inputs!X183,IF(AND(W$2&lt;=pbi_sta_term,W$2&lt;=analysis_period),pbi_sta_amount*(1+pbi_sta_escal/100)^V$2,0))</f>
        <v>0</v>
      </c>
      <c r="X593" s="97">
        <f>IF(pbi_sta_amount="n/a",Inputs!Y183,IF(AND(X$2&lt;=pbi_sta_term,X$2&lt;=analysis_period),pbi_sta_amount*(1+pbi_sta_escal/100)^W$2,0))</f>
        <v>0</v>
      </c>
      <c r="Y593" s="97">
        <f>IF(pbi_sta_amount="n/a",Inputs!Z183,IF(AND(Y$2&lt;=pbi_sta_term,Y$2&lt;=analysis_period),pbi_sta_amount*(1+pbi_sta_escal/100)^X$2,0))</f>
        <v>0</v>
      </c>
      <c r="Z593" s="97">
        <f>IF(pbi_sta_amount="n/a",Inputs!AA183,IF(AND(Z$2&lt;=pbi_sta_term,Z$2&lt;=analysis_period),pbi_sta_amount*(1+pbi_sta_escal/100)^Y$2,0))</f>
        <v>0</v>
      </c>
      <c r="AA593" s="97">
        <f>IF(pbi_sta_amount="n/a",Inputs!AB183,IF(AND(AA$2&lt;=pbi_sta_term,AA$2&lt;=analysis_period),pbi_sta_amount*(1+pbi_sta_escal/100)^Z$2,0))</f>
        <v>0</v>
      </c>
      <c r="AB593" s="97">
        <f>IF(pbi_sta_amount="n/a",Inputs!AC183,IF(AND(AB$2&lt;=pbi_sta_term,AB$2&lt;=analysis_period),pbi_sta_amount*(1+pbi_sta_escal/100)^AA$2,0))</f>
        <v>0</v>
      </c>
      <c r="AC593" s="97">
        <f>IF(pbi_sta_amount="n/a",Inputs!AD183,IF(AND(AC$2&lt;=pbi_sta_term,AC$2&lt;=analysis_period),pbi_sta_amount*(1+pbi_sta_escal/100)^AB$2,0))</f>
        <v>0</v>
      </c>
      <c r="AD593" s="97">
        <f>IF(pbi_sta_amount="n/a",Inputs!AE183,IF(AND(AD$2&lt;=pbi_sta_term,AD$2&lt;=analysis_period),pbi_sta_amount*(1+pbi_sta_escal/100)^AC$2,0))</f>
        <v>0</v>
      </c>
      <c r="AE593" s="97">
        <f>IF(pbi_sta_amount="n/a",Inputs!AF183,IF(AND(AE$2&lt;=pbi_sta_term,AE$2&lt;=analysis_period),pbi_sta_amount*(1+pbi_sta_escal/100)^AD$2,0))</f>
        <v>0</v>
      </c>
      <c r="AF593" s="97">
        <f>IF(pbi_sta_amount="n/a",Inputs!AG183,IF(AND(AF$2&lt;=pbi_sta_term,AF$2&lt;=analysis_period),pbi_sta_amount*(1+pbi_sta_escal/100)^AE$2,0))</f>
        <v>0</v>
      </c>
      <c r="AG593" s="97">
        <f>IF(pbi_sta_amount="n/a",Inputs!AH183,IF(AND(AG$2&lt;=pbi_sta_term,AG$2&lt;=analysis_period),pbi_sta_amount*(1+pbi_sta_escal/100)^AF$2,0))</f>
        <v>0</v>
      </c>
      <c r="AH593" s="97">
        <f>IF(pbi_sta_amount="n/a",Inputs!AI183,IF(AND(AH$2&lt;=pbi_sta_term,AH$2&lt;=analysis_period),pbi_sta_amount*(1+pbi_sta_escal/100)^AG$2,0))</f>
        <v>0</v>
      </c>
      <c r="AI593" s="97">
        <f>IF(pbi_sta_amount="n/a",Inputs!AJ183,IF(AND(AI$2&lt;=pbi_sta_term,AI$2&lt;=analysis_period),pbi_sta_amount*(1+pbi_sta_escal/100)^AH$2,0))</f>
        <v>0</v>
      </c>
      <c r="AJ593" s="97">
        <f>IF(pbi_sta_amount="n/a",Inputs!AK183,IF(AND(AJ$2&lt;=pbi_sta_term,AJ$2&lt;=analysis_period),pbi_sta_amount*(1+pbi_sta_escal/100)^AI$2,0))</f>
        <v>0</v>
      </c>
      <c r="AK593" s="97">
        <f>IF(pbi_sta_amount="n/a",Inputs!AL183,IF(AND(AK$2&lt;=pbi_sta_term,AK$2&lt;=analysis_period),pbi_sta_amount*(1+pbi_sta_escal/100)^AJ$2,0))</f>
        <v>0</v>
      </c>
      <c r="AL593" s="97">
        <f>IF(pbi_sta_amount="n/a",Inputs!AM183,IF(AND(AL$2&lt;=pbi_sta_term,AL$2&lt;=analysis_period),pbi_sta_amount*(1+pbi_sta_escal/100)^AK$2,0))</f>
        <v>0</v>
      </c>
      <c r="AM593" s="97">
        <f>IF(pbi_sta_amount="n/a",Inputs!AN183,IF(AND(AM$2&lt;=pbi_sta_term,AM$2&lt;=analysis_period),pbi_sta_amount*(1+pbi_sta_escal/100)^AL$2,0))</f>
        <v>0</v>
      </c>
      <c r="AN593" s="97">
        <f>IF(pbi_sta_amount="n/a",Inputs!AO183,IF(AND(AN$2&lt;=pbi_sta_term,AN$2&lt;=analysis_period),pbi_sta_amount*(1+pbi_sta_escal/100)^AM$2,0))</f>
        <v>0</v>
      </c>
      <c r="AO593" s="97">
        <f>IF(pbi_sta_amount="n/a",Inputs!AP183,IF(AND(AO$2&lt;=pbi_sta_term,AO$2&lt;=analysis_period),pbi_sta_amount*(1+pbi_sta_escal/100)^AN$2,0))</f>
        <v>0</v>
      </c>
      <c r="AP593" s="97">
        <f>IF(pbi_sta_amount="n/a",Inputs!AQ183,IF(AND(AP$2&lt;=pbi_sta_term,AP$2&lt;=analysis_period),pbi_sta_amount*(1+pbi_sta_escal/100)^AO$2,0))</f>
        <v>0</v>
      </c>
    </row>
    <row r="594" spans="1:42" x14ac:dyDescent="0.4">
      <c r="A594" s="21" t="s">
        <v>334</v>
      </c>
      <c r="C594" s="120">
        <f>C$5</f>
        <v>55524700</v>
      </c>
      <c r="D594" s="120">
        <f t="shared" ref="D594:AP594" si="281">D$5</f>
        <v>55245500</v>
      </c>
      <c r="E594" s="120">
        <f t="shared" si="281"/>
        <v>54974100</v>
      </c>
      <c r="F594" s="120">
        <f t="shared" si="281"/>
        <v>54702700</v>
      </c>
      <c r="G594" s="120">
        <f t="shared" si="281"/>
        <v>54429700</v>
      </c>
      <c r="H594" s="120">
        <f t="shared" si="281"/>
        <v>54154400</v>
      </c>
      <c r="I594" s="120">
        <f t="shared" si="281"/>
        <v>53877600</v>
      </c>
      <c r="J594" s="120">
        <f t="shared" si="281"/>
        <v>53599400</v>
      </c>
      <c r="K594" s="120">
        <f t="shared" si="281"/>
        <v>53319700</v>
      </c>
      <c r="L594" s="120">
        <f t="shared" si="281"/>
        <v>53008400</v>
      </c>
      <c r="M594" s="120">
        <f t="shared" si="281"/>
        <v>52724300</v>
      </c>
      <c r="N594" s="120">
        <f t="shared" si="281"/>
        <v>52443100</v>
      </c>
      <c r="O594" s="120">
        <f t="shared" si="281"/>
        <v>52162700</v>
      </c>
      <c r="P594" s="120">
        <f t="shared" si="281"/>
        <v>51882200</v>
      </c>
      <c r="Q594" s="120">
        <f t="shared" si="281"/>
        <v>51601300</v>
      </c>
      <c r="R594" s="120">
        <f t="shared" si="281"/>
        <v>51320000</v>
      </c>
      <c r="S594" s="120">
        <f t="shared" si="281"/>
        <v>51038500</v>
      </c>
      <c r="T594" s="120">
        <f t="shared" si="281"/>
        <v>50756800</v>
      </c>
      <c r="U594" s="120">
        <f t="shared" si="281"/>
        <v>50475000</v>
      </c>
      <c r="V594" s="120">
        <f t="shared" si="281"/>
        <v>50159600</v>
      </c>
      <c r="W594" s="120">
        <f t="shared" si="281"/>
        <v>49874600</v>
      </c>
      <c r="X594" s="120">
        <f t="shared" si="281"/>
        <v>49593100</v>
      </c>
      <c r="Y594" s="120">
        <f t="shared" si="281"/>
        <v>49312700</v>
      </c>
      <c r="Z594" s="120">
        <f t="shared" si="281"/>
        <v>49032200</v>
      </c>
      <c r="AA594" s="120">
        <f t="shared" si="281"/>
        <v>48751300</v>
      </c>
      <c r="AB594" s="120">
        <f t="shared" si="281"/>
        <v>0</v>
      </c>
      <c r="AC594" s="120">
        <f t="shared" si="281"/>
        <v>0</v>
      </c>
      <c r="AD594" s="120">
        <f t="shared" si="281"/>
        <v>0</v>
      </c>
      <c r="AE594" s="120">
        <f t="shared" si="281"/>
        <v>0</v>
      </c>
      <c r="AF594" s="120">
        <f t="shared" si="281"/>
        <v>0</v>
      </c>
      <c r="AG594" s="120">
        <f t="shared" si="281"/>
        <v>0</v>
      </c>
      <c r="AH594" s="120">
        <f t="shared" si="281"/>
        <v>0</v>
      </c>
      <c r="AI594" s="120">
        <f t="shared" si="281"/>
        <v>0</v>
      </c>
      <c r="AJ594" s="120">
        <f t="shared" si="281"/>
        <v>0</v>
      </c>
      <c r="AK594" s="120">
        <f t="shared" si="281"/>
        <v>0</v>
      </c>
      <c r="AL594" s="120">
        <f t="shared" si="281"/>
        <v>0</v>
      </c>
      <c r="AM594" s="120">
        <f t="shared" si="281"/>
        <v>0</v>
      </c>
      <c r="AN594" s="120">
        <f t="shared" si="281"/>
        <v>0</v>
      </c>
      <c r="AO594" s="120">
        <f t="shared" si="281"/>
        <v>0</v>
      </c>
      <c r="AP594" s="120">
        <f t="shared" si="281"/>
        <v>0</v>
      </c>
    </row>
    <row r="595" spans="1:42" x14ac:dyDescent="0.4">
      <c r="A595" s="21" t="s">
        <v>13</v>
      </c>
      <c r="C595" s="119">
        <f>C593*C594</f>
        <v>0</v>
      </c>
      <c r="D595" s="119">
        <f t="shared" ref="D595:AP595" si="282">D593*D594</f>
        <v>0</v>
      </c>
      <c r="E595" s="119">
        <f t="shared" si="282"/>
        <v>0</v>
      </c>
      <c r="F595" s="119">
        <f t="shared" si="282"/>
        <v>0</v>
      </c>
      <c r="G595" s="119">
        <f t="shared" si="282"/>
        <v>0</v>
      </c>
      <c r="H595" s="119">
        <f t="shared" si="282"/>
        <v>0</v>
      </c>
      <c r="I595" s="119">
        <f t="shared" si="282"/>
        <v>0</v>
      </c>
      <c r="J595" s="119">
        <f t="shared" si="282"/>
        <v>0</v>
      </c>
      <c r="K595" s="119">
        <f t="shared" si="282"/>
        <v>0</v>
      </c>
      <c r="L595" s="119">
        <f t="shared" si="282"/>
        <v>0</v>
      </c>
      <c r="M595" s="119">
        <f t="shared" si="282"/>
        <v>0</v>
      </c>
      <c r="N595" s="119">
        <f t="shared" si="282"/>
        <v>0</v>
      </c>
      <c r="O595" s="119">
        <f t="shared" si="282"/>
        <v>0</v>
      </c>
      <c r="P595" s="119">
        <f t="shared" si="282"/>
        <v>0</v>
      </c>
      <c r="Q595" s="119">
        <f t="shared" si="282"/>
        <v>0</v>
      </c>
      <c r="R595" s="119">
        <f t="shared" si="282"/>
        <v>0</v>
      </c>
      <c r="S595" s="119">
        <f t="shared" si="282"/>
        <v>0</v>
      </c>
      <c r="T595" s="119">
        <f t="shared" si="282"/>
        <v>0</v>
      </c>
      <c r="U595" s="119">
        <f t="shared" si="282"/>
        <v>0</v>
      </c>
      <c r="V595" s="119">
        <f t="shared" si="282"/>
        <v>0</v>
      </c>
      <c r="W595" s="119">
        <f t="shared" si="282"/>
        <v>0</v>
      </c>
      <c r="X595" s="119">
        <f t="shared" si="282"/>
        <v>0</v>
      </c>
      <c r="Y595" s="119">
        <f t="shared" si="282"/>
        <v>0</v>
      </c>
      <c r="Z595" s="119">
        <f t="shared" si="282"/>
        <v>0</v>
      </c>
      <c r="AA595" s="119">
        <f t="shared" si="282"/>
        <v>0</v>
      </c>
      <c r="AB595" s="119">
        <f t="shared" si="282"/>
        <v>0</v>
      </c>
      <c r="AC595" s="119">
        <f t="shared" si="282"/>
        <v>0</v>
      </c>
      <c r="AD595" s="119">
        <f t="shared" si="282"/>
        <v>0</v>
      </c>
      <c r="AE595" s="119">
        <f t="shared" si="282"/>
        <v>0</v>
      </c>
      <c r="AF595" s="119">
        <f t="shared" si="282"/>
        <v>0</v>
      </c>
      <c r="AG595" s="119">
        <f t="shared" si="282"/>
        <v>0</v>
      </c>
      <c r="AH595" s="119">
        <f t="shared" si="282"/>
        <v>0</v>
      </c>
      <c r="AI595" s="119">
        <f t="shared" si="282"/>
        <v>0</v>
      </c>
      <c r="AJ595" s="119">
        <f t="shared" si="282"/>
        <v>0</v>
      </c>
      <c r="AK595" s="119">
        <f t="shared" si="282"/>
        <v>0</v>
      </c>
      <c r="AL595" s="119">
        <f t="shared" si="282"/>
        <v>0</v>
      </c>
      <c r="AM595" s="119">
        <f t="shared" si="282"/>
        <v>0</v>
      </c>
      <c r="AN595" s="119">
        <f t="shared" si="282"/>
        <v>0</v>
      </c>
      <c r="AO595" s="119">
        <f t="shared" si="282"/>
        <v>0</v>
      </c>
      <c r="AP595" s="119">
        <f t="shared" si="282"/>
        <v>0</v>
      </c>
    </row>
    <row r="596" spans="1:42" x14ac:dyDescent="0.4">
      <c r="A596" s="17" t="str">
        <f>Inputs!B132</f>
        <v>Utility ($/kWh)</v>
      </c>
    </row>
    <row r="597" spans="1:42" x14ac:dyDescent="0.4">
      <c r="A597" s="21" t="s">
        <v>32</v>
      </c>
      <c r="C597" s="97">
        <f>IF(pbi_uti_amount="n/a",Inputs!D184,IF(AND(C$2&lt;=pbi_uti_term,C$2&lt;=analysis_period),pbi_uti_amount*(1+pbi_uti_escal/100)^B$2,0))</f>
        <v>0</v>
      </c>
      <c r="D597" s="97">
        <f>IF(pbi_uti_amount="n/a",Inputs!E184,IF(AND(D$2&lt;=pbi_uti_term,D$2&lt;=analysis_period),pbi_uti_amount*(1+pbi_uti_escal/100)^C$2,0))</f>
        <v>0</v>
      </c>
      <c r="E597" s="97">
        <f>IF(pbi_uti_amount="n/a",Inputs!F184,IF(AND(E$2&lt;=pbi_uti_term,E$2&lt;=analysis_period),pbi_uti_amount*(1+pbi_uti_escal/100)^D$2,0))</f>
        <v>0</v>
      </c>
      <c r="F597" s="97">
        <f>IF(pbi_uti_amount="n/a",Inputs!G184,IF(AND(F$2&lt;=pbi_uti_term,F$2&lt;=analysis_period),pbi_uti_amount*(1+pbi_uti_escal/100)^E$2,0))</f>
        <v>0</v>
      </c>
      <c r="G597" s="97">
        <f>IF(pbi_uti_amount="n/a",Inputs!H184,IF(AND(G$2&lt;=pbi_uti_term,G$2&lt;=analysis_period),pbi_uti_amount*(1+pbi_uti_escal/100)^F$2,0))</f>
        <v>0</v>
      </c>
      <c r="H597" s="97">
        <f>IF(pbi_uti_amount="n/a",Inputs!I184,IF(AND(H$2&lt;=pbi_uti_term,H$2&lt;=analysis_period),pbi_uti_amount*(1+pbi_uti_escal/100)^G$2,0))</f>
        <v>0</v>
      </c>
      <c r="I597" s="97">
        <f>IF(pbi_uti_amount="n/a",Inputs!J184,IF(AND(I$2&lt;=pbi_uti_term,I$2&lt;=analysis_period),pbi_uti_amount*(1+pbi_uti_escal/100)^H$2,0))</f>
        <v>0</v>
      </c>
      <c r="J597" s="97">
        <f>IF(pbi_uti_amount="n/a",Inputs!K184,IF(AND(J$2&lt;=pbi_uti_term,J$2&lt;=analysis_period),pbi_uti_amount*(1+pbi_uti_escal/100)^I$2,0))</f>
        <v>0</v>
      </c>
      <c r="K597" s="97">
        <f>IF(pbi_uti_amount="n/a",Inputs!L184,IF(AND(K$2&lt;=pbi_uti_term,K$2&lt;=analysis_period),pbi_uti_amount*(1+pbi_uti_escal/100)^J$2,0))</f>
        <v>0</v>
      </c>
      <c r="L597" s="97">
        <f>IF(pbi_uti_amount="n/a",Inputs!M184,IF(AND(L$2&lt;=pbi_uti_term,L$2&lt;=analysis_period),pbi_uti_amount*(1+pbi_uti_escal/100)^K$2,0))</f>
        <v>0</v>
      </c>
      <c r="M597" s="97">
        <f>IF(pbi_uti_amount="n/a",Inputs!N184,IF(AND(M$2&lt;=pbi_uti_term,M$2&lt;=analysis_period),pbi_uti_amount*(1+pbi_uti_escal/100)^L$2,0))</f>
        <v>0</v>
      </c>
      <c r="N597" s="97">
        <f>IF(pbi_uti_amount="n/a",Inputs!O184,IF(AND(N$2&lt;=pbi_uti_term,N$2&lt;=analysis_period),pbi_uti_amount*(1+pbi_uti_escal/100)^M$2,0))</f>
        <v>0</v>
      </c>
      <c r="O597" s="97">
        <f>IF(pbi_uti_amount="n/a",Inputs!P184,IF(AND(O$2&lt;=pbi_uti_term,O$2&lt;=analysis_period),pbi_uti_amount*(1+pbi_uti_escal/100)^N$2,0))</f>
        <v>0</v>
      </c>
      <c r="P597" s="97">
        <f>IF(pbi_uti_amount="n/a",Inputs!Q184,IF(AND(P$2&lt;=pbi_uti_term,P$2&lt;=analysis_period),pbi_uti_amount*(1+pbi_uti_escal/100)^O$2,0))</f>
        <v>0</v>
      </c>
      <c r="Q597" s="97">
        <f>IF(pbi_uti_amount="n/a",Inputs!R184,IF(AND(Q$2&lt;=pbi_uti_term,Q$2&lt;=analysis_period),pbi_uti_amount*(1+pbi_uti_escal/100)^P$2,0))</f>
        <v>0</v>
      </c>
      <c r="R597" s="97">
        <f>IF(pbi_uti_amount="n/a",Inputs!S184,IF(AND(R$2&lt;=pbi_uti_term,R$2&lt;=analysis_period),pbi_uti_amount*(1+pbi_uti_escal/100)^Q$2,0))</f>
        <v>0</v>
      </c>
      <c r="S597" s="97">
        <f>IF(pbi_uti_amount="n/a",Inputs!T184,IF(AND(S$2&lt;=pbi_uti_term,S$2&lt;=analysis_period),pbi_uti_amount*(1+pbi_uti_escal/100)^R$2,0))</f>
        <v>0</v>
      </c>
      <c r="T597" s="97">
        <f>IF(pbi_uti_amount="n/a",Inputs!U184,IF(AND(T$2&lt;=pbi_uti_term,T$2&lt;=analysis_period),pbi_uti_amount*(1+pbi_uti_escal/100)^S$2,0))</f>
        <v>0</v>
      </c>
      <c r="U597" s="97">
        <f>IF(pbi_uti_amount="n/a",Inputs!V184,IF(AND(U$2&lt;=pbi_uti_term,U$2&lt;=analysis_period),pbi_uti_amount*(1+pbi_uti_escal/100)^T$2,0))</f>
        <v>0</v>
      </c>
      <c r="V597" s="97">
        <f>IF(pbi_uti_amount="n/a",Inputs!W184,IF(AND(V$2&lt;=pbi_uti_term,V$2&lt;=analysis_period),pbi_uti_amount*(1+pbi_uti_escal/100)^U$2,0))</f>
        <v>0</v>
      </c>
      <c r="W597" s="97">
        <f>IF(pbi_uti_amount="n/a",Inputs!X184,IF(AND(W$2&lt;=pbi_uti_term,W$2&lt;=analysis_period),pbi_uti_amount*(1+pbi_uti_escal/100)^V$2,0))</f>
        <v>0</v>
      </c>
      <c r="X597" s="97">
        <f>IF(pbi_uti_amount="n/a",Inputs!Y184,IF(AND(X$2&lt;=pbi_uti_term,X$2&lt;=analysis_period),pbi_uti_amount*(1+pbi_uti_escal/100)^W$2,0))</f>
        <v>0</v>
      </c>
      <c r="Y597" s="97">
        <f>IF(pbi_uti_amount="n/a",Inputs!Z184,IF(AND(Y$2&lt;=pbi_uti_term,Y$2&lt;=analysis_period),pbi_uti_amount*(1+pbi_uti_escal/100)^X$2,0))</f>
        <v>0</v>
      </c>
      <c r="Z597" s="97">
        <f>IF(pbi_uti_amount="n/a",Inputs!AA184,IF(AND(Z$2&lt;=pbi_uti_term,Z$2&lt;=analysis_period),pbi_uti_amount*(1+pbi_uti_escal/100)^Y$2,0))</f>
        <v>0</v>
      </c>
      <c r="AA597" s="97">
        <f>IF(pbi_uti_amount="n/a",Inputs!AB184,IF(AND(AA$2&lt;=pbi_uti_term,AA$2&lt;=analysis_period),pbi_uti_amount*(1+pbi_uti_escal/100)^Z$2,0))</f>
        <v>0</v>
      </c>
      <c r="AB597" s="97">
        <f>IF(pbi_uti_amount="n/a",Inputs!AC184,IF(AND(AB$2&lt;=pbi_uti_term,AB$2&lt;=analysis_period),pbi_uti_amount*(1+pbi_uti_escal/100)^AA$2,0))</f>
        <v>0</v>
      </c>
      <c r="AC597" s="97">
        <f>IF(pbi_uti_amount="n/a",Inputs!AD184,IF(AND(AC$2&lt;=pbi_uti_term,AC$2&lt;=analysis_period),pbi_uti_amount*(1+pbi_uti_escal/100)^AB$2,0))</f>
        <v>0</v>
      </c>
      <c r="AD597" s="97">
        <f>IF(pbi_uti_amount="n/a",Inputs!AE184,IF(AND(AD$2&lt;=pbi_uti_term,AD$2&lt;=analysis_period),pbi_uti_amount*(1+pbi_uti_escal/100)^AC$2,0))</f>
        <v>0</v>
      </c>
      <c r="AE597" s="97">
        <f>IF(pbi_uti_amount="n/a",Inputs!AF184,IF(AND(AE$2&lt;=pbi_uti_term,AE$2&lt;=analysis_period),pbi_uti_amount*(1+pbi_uti_escal/100)^AD$2,0))</f>
        <v>0</v>
      </c>
      <c r="AF597" s="97">
        <f>IF(pbi_uti_amount="n/a",Inputs!AG184,IF(AND(AF$2&lt;=pbi_uti_term,AF$2&lt;=analysis_period),pbi_uti_amount*(1+pbi_uti_escal/100)^AE$2,0))</f>
        <v>0</v>
      </c>
      <c r="AG597" s="97">
        <f>IF(pbi_uti_amount="n/a",Inputs!AH184,IF(AND(AG$2&lt;=pbi_uti_term,AG$2&lt;=analysis_period),pbi_uti_amount*(1+pbi_uti_escal/100)^AF$2,0))</f>
        <v>0</v>
      </c>
      <c r="AH597" s="97">
        <f>IF(pbi_uti_amount="n/a",Inputs!AI184,IF(AND(AH$2&lt;=pbi_uti_term,AH$2&lt;=analysis_period),pbi_uti_amount*(1+pbi_uti_escal/100)^AG$2,0))</f>
        <v>0</v>
      </c>
      <c r="AI597" s="97">
        <f>IF(pbi_uti_amount="n/a",Inputs!AJ184,IF(AND(AI$2&lt;=pbi_uti_term,AI$2&lt;=analysis_period),pbi_uti_amount*(1+pbi_uti_escal/100)^AH$2,0))</f>
        <v>0</v>
      </c>
      <c r="AJ597" s="97">
        <f>IF(pbi_uti_amount="n/a",Inputs!AK184,IF(AND(AJ$2&lt;=pbi_uti_term,AJ$2&lt;=analysis_period),pbi_uti_amount*(1+pbi_uti_escal/100)^AI$2,0))</f>
        <v>0</v>
      </c>
      <c r="AK597" s="97">
        <f>IF(pbi_uti_amount="n/a",Inputs!AL184,IF(AND(AK$2&lt;=pbi_uti_term,AK$2&lt;=analysis_period),pbi_uti_amount*(1+pbi_uti_escal/100)^AJ$2,0))</f>
        <v>0</v>
      </c>
      <c r="AL597" s="97">
        <f>IF(pbi_uti_amount="n/a",Inputs!AM184,IF(AND(AL$2&lt;=pbi_uti_term,AL$2&lt;=analysis_period),pbi_uti_amount*(1+pbi_uti_escal/100)^AK$2,0))</f>
        <v>0</v>
      </c>
      <c r="AM597" s="97">
        <f>IF(pbi_uti_amount="n/a",Inputs!AN184,IF(AND(AM$2&lt;=pbi_uti_term,AM$2&lt;=analysis_period),pbi_uti_amount*(1+pbi_uti_escal/100)^AL$2,0))</f>
        <v>0</v>
      </c>
      <c r="AN597" s="97">
        <f>IF(pbi_uti_amount="n/a",Inputs!AO184,IF(AND(AN$2&lt;=pbi_uti_term,AN$2&lt;=analysis_period),pbi_uti_amount*(1+pbi_uti_escal/100)^AM$2,0))</f>
        <v>0</v>
      </c>
      <c r="AO597" s="97">
        <f>IF(pbi_uti_amount="n/a",Inputs!AP184,IF(AND(AO$2&lt;=pbi_uti_term,AO$2&lt;=analysis_period),pbi_uti_amount*(1+pbi_uti_escal/100)^AN$2,0))</f>
        <v>0</v>
      </c>
      <c r="AP597" s="97">
        <f>IF(pbi_uti_amount="n/a",Inputs!AQ184,IF(AND(AP$2&lt;=pbi_uti_term,AP$2&lt;=analysis_period),pbi_uti_amount*(1+pbi_uti_escal/100)^AO$2,0))</f>
        <v>0</v>
      </c>
    </row>
    <row r="598" spans="1:42" x14ac:dyDescent="0.4">
      <c r="A598" s="21" t="s">
        <v>334</v>
      </c>
      <c r="C598" s="120">
        <f>C$5</f>
        <v>55524700</v>
      </c>
      <c r="D598" s="120">
        <f t="shared" ref="D598:AP598" si="283">D$5</f>
        <v>55245500</v>
      </c>
      <c r="E598" s="120">
        <f t="shared" si="283"/>
        <v>54974100</v>
      </c>
      <c r="F598" s="120">
        <f t="shared" si="283"/>
        <v>54702700</v>
      </c>
      <c r="G598" s="120">
        <f t="shared" si="283"/>
        <v>54429700</v>
      </c>
      <c r="H598" s="120">
        <f t="shared" si="283"/>
        <v>54154400</v>
      </c>
      <c r="I598" s="120">
        <f t="shared" si="283"/>
        <v>53877600</v>
      </c>
      <c r="J598" s="120">
        <f t="shared" si="283"/>
        <v>53599400</v>
      </c>
      <c r="K598" s="120">
        <f t="shared" si="283"/>
        <v>53319700</v>
      </c>
      <c r="L598" s="120">
        <f t="shared" si="283"/>
        <v>53008400</v>
      </c>
      <c r="M598" s="120">
        <f t="shared" si="283"/>
        <v>52724300</v>
      </c>
      <c r="N598" s="120">
        <f t="shared" si="283"/>
        <v>52443100</v>
      </c>
      <c r="O598" s="120">
        <f t="shared" si="283"/>
        <v>52162700</v>
      </c>
      <c r="P598" s="120">
        <f t="shared" si="283"/>
        <v>51882200</v>
      </c>
      <c r="Q598" s="120">
        <f t="shared" si="283"/>
        <v>51601300</v>
      </c>
      <c r="R598" s="120">
        <f t="shared" si="283"/>
        <v>51320000</v>
      </c>
      <c r="S598" s="120">
        <f t="shared" si="283"/>
        <v>51038500</v>
      </c>
      <c r="T598" s="120">
        <f t="shared" si="283"/>
        <v>50756800</v>
      </c>
      <c r="U598" s="120">
        <f t="shared" si="283"/>
        <v>50475000</v>
      </c>
      <c r="V598" s="120">
        <f t="shared" si="283"/>
        <v>50159600</v>
      </c>
      <c r="W598" s="120">
        <f t="shared" si="283"/>
        <v>49874600</v>
      </c>
      <c r="X598" s="120">
        <f t="shared" si="283"/>
        <v>49593100</v>
      </c>
      <c r="Y598" s="120">
        <f t="shared" si="283"/>
        <v>49312700</v>
      </c>
      <c r="Z598" s="120">
        <f t="shared" si="283"/>
        <v>49032200</v>
      </c>
      <c r="AA598" s="120">
        <f t="shared" si="283"/>
        <v>48751300</v>
      </c>
      <c r="AB598" s="120">
        <f t="shared" si="283"/>
        <v>0</v>
      </c>
      <c r="AC598" s="120">
        <f t="shared" si="283"/>
        <v>0</v>
      </c>
      <c r="AD598" s="120">
        <f t="shared" si="283"/>
        <v>0</v>
      </c>
      <c r="AE598" s="120">
        <f t="shared" si="283"/>
        <v>0</v>
      </c>
      <c r="AF598" s="120">
        <f t="shared" si="283"/>
        <v>0</v>
      </c>
      <c r="AG598" s="120">
        <f t="shared" si="283"/>
        <v>0</v>
      </c>
      <c r="AH598" s="120">
        <f t="shared" si="283"/>
        <v>0</v>
      </c>
      <c r="AI598" s="120">
        <f t="shared" si="283"/>
        <v>0</v>
      </c>
      <c r="AJ598" s="120">
        <f t="shared" si="283"/>
        <v>0</v>
      </c>
      <c r="AK598" s="120">
        <f t="shared" si="283"/>
        <v>0</v>
      </c>
      <c r="AL598" s="120">
        <f t="shared" si="283"/>
        <v>0</v>
      </c>
      <c r="AM598" s="120">
        <f t="shared" si="283"/>
        <v>0</v>
      </c>
      <c r="AN598" s="120">
        <f t="shared" si="283"/>
        <v>0</v>
      </c>
      <c r="AO598" s="120">
        <f t="shared" si="283"/>
        <v>0</v>
      </c>
      <c r="AP598" s="120">
        <f t="shared" si="283"/>
        <v>0</v>
      </c>
    </row>
    <row r="599" spans="1:42" x14ac:dyDescent="0.4">
      <c r="A599" s="21" t="s">
        <v>13</v>
      </c>
      <c r="C599" s="119">
        <f>C597*C598</f>
        <v>0</v>
      </c>
      <c r="D599" s="119">
        <f t="shared" ref="D599:AP599" si="284">D597*D598</f>
        <v>0</v>
      </c>
      <c r="E599" s="119">
        <f t="shared" si="284"/>
        <v>0</v>
      </c>
      <c r="F599" s="119">
        <f t="shared" si="284"/>
        <v>0</v>
      </c>
      <c r="G599" s="119">
        <f t="shared" si="284"/>
        <v>0</v>
      </c>
      <c r="H599" s="119">
        <f t="shared" si="284"/>
        <v>0</v>
      </c>
      <c r="I599" s="119">
        <f t="shared" si="284"/>
        <v>0</v>
      </c>
      <c r="J599" s="119">
        <f t="shared" si="284"/>
        <v>0</v>
      </c>
      <c r="K599" s="119">
        <f t="shared" si="284"/>
        <v>0</v>
      </c>
      <c r="L599" s="119">
        <f t="shared" si="284"/>
        <v>0</v>
      </c>
      <c r="M599" s="119">
        <f t="shared" si="284"/>
        <v>0</v>
      </c>
      <c r="N599" s="119">
        <f t="shared" si="284"/>
        <v>0</v>
      </c>
      <c r="O599" s="119">
        <f t="shared" si="284"/>
        <v>0</v>
      </c>
      <c r="P599" s="119">
        <f t="shared" si="284"/>
        <v>0</v>
      </c>
      <c r="Q599" s="119">
        <f t="shared" si="284"/>
        <v>0</v>
      </c>
      <c r="R599" s="119">
        <f t="shared" si="284"/>
        <v>0</v>
      </c>
      <c r="S599" s="119">
        <f t="shared" si="284"/>
        <v>0</v>
      </c>
      <c r="T599" s="119">
        <f t="shared" si="284"/>
        <v>0</v>
      </c>
      <c r="U599" s="119">
        <f t="shared" si="284"/>
        <v>0</v>
      </c>
      <c r="V599" s="119">
        <f t="shared" si="284"/>
        <v>0</v>
      </c>
      <c r="W599" s="119">
        <f t="shared" si="284"/>
        <v>0</v>
      </c>
      <c r="X599" s="119">
        <f t="shared" si="284"/>
        <v>0</v>
      </c>
      <c r="Y599" s="119">
        <f t="shared" si="284"/>
        <v>0</v>
      </c>
      <c r="Z599" s="119">
        <f t="shared" si="284"/>
        <v>0</v>
      </c>
      <c r="AA599" s="119">
        <f t="shared" si="284"/>
        <v>0</v>
      </c>
      <c r="AB599" s="119">
        <f t="shared" si="284"/>
        <v>0</v>
      </c>
      <c r="AC599" s="119">
        <f t="shared" si="284"/>
        <v>0</v>
      </c>
      <c r="AD599" s="119">
        <f t="shared" si="284"/>
        <v>0</v>
      </c>
      <c r="AE599" s="119">
        <f t="shared" si="284"/>
        <v>0</v>
      </c>
      <c r="AF599" s="119">
        <f t="shared" si="284"/>
        <v>0</v>
      </c>
      <c r="AG599" s="119">
        <f t="shared" si="284"/>
        <v>0</v>
      </c>
      <c r="AH599" s="119">
        <f t="shared" si="284"/>
        <v>0</v>
      </c>
      <c r="AI599" s="119">
        <f t="shared" si="284"/>
        <v>0</v>
      </c>
      <c r="AJ599" s="119">
        <f t="shared" si="284"/>
        <v>0</v>
      </c>
      <c r="AK599" s="119">
        <f t="shared" si="284"/>
        <v>0</v>
      </c>
      <c r="AL599" s="119">
        <f t="shared" si="284"/>
        <v>0</v>
      </c>
      <c r="AM599" s="119">
        <f t="shared" si="284"/>
        <v>0</v>
      </c>
      <c r="AN599" s="119">
        <f t="shared" si="284"/>
        <v>0</v>
      </c>
      <c r="AO599" s="119">
        <f t="shared" si="284"/>
        <v>0</v>
      </c>
      <c r="AP599" s="119">
        <f t="shared" si="284"/>
        <v>0</v>
      </c>
    </row>
    <row r="600" spans="1:42" x14ac:dyDescent="0.4">
      <c r="A600" s="17" t="str">
        <f>Inputs!B133</f>
        <v>Other ($/kWh)</v>
      </c>
    </row>
    <row r="601" spans="1:42" x14ac:dyDescent="0.4">
      <c r="A601" s="21" t="s">
        <v>32</v>
      </c>
      <c r="C601" s="97">
        <f>IF(pbi_oth_amount="n/a",Inputs!D185,IF(AND(C$2&lt;=pbi_oth_term,C$2&lt;=analysis_period),pbi_oth_amount*(1+pbi_oth_escal/100)^B$2,0))</f>
        <v>0</v>
      </c>
      <c r="D601" s="97">
        <f>IF(pbi_oth_amount="n/a",Inputs!E185,IF(AND(D$2&lt;=pbi_oth_term,D$2&lt;=analysis_period),pbi_oth_amount*(1+pbi_oth_escal/100)^C$2,0))</f>
        <v>0</v>
      </c>
      <c r="E601" s="97">
        <f>IF(pbi_oth_amount="n/a",Inputs!F185,IF(AND(E$2&lt;=pbi_oth_term,E$2&lt;=analysis_period),pbi_oth_amount*(1+pbi_oth_escal/100)^D$2,0))</f>
        <v>0</v>
      </c>
      <c r="F601" s="97">
        <f>IF(pbi_oth_amount="n/a",Inputs!G185,IF(AND(F$2&lt;=pbi_oth_term,F$2&lt;=analysis_period),pbi_oth_amount*(1+pbi_oth_escal/100)^E$2,0))</f>
        <v>0</v>
      </c>
      <c r="G601" s="97">
        <f>IF(pbi_oth_amount="n/a",Inputs!H185,IF(AND(G$2&lt;=pbi_oth_term,G$2&lt;=analysis_period),pbi_oth_amount*(1+pbi_oth_escal/100)^F$2,0))</f>
        <v>0</v>
      </c>
      <c r="H601" s="97">
        <f>IF(pbi_oth_amount="n/a",Inputs!I185,IF(AND(H$2&lt;=pbi_oth_term,H$2&lt;=analysis_period),pbi_oth_amount*(1+pbi_oth_escal/100)^G$2,0))</f>
        <v>0</v>
      </c>
      <c r="I601" s="97">
        <f>IF(pbi_oth_amount="n/a",Inputs!J185,IF(AND(I$2&lt;=pbi_oth_term,I$2&lt;=analysis_period),pbi_oth_amount*(1+pbi_oth_escal/100)^H$2,0))</f>
        <v>0</v>
      </c>
      <c r="J601" s="97">
        <f>IF(pbi_oth_amount="n/a",Inputs!K185,IF(AND(J$2&lt;=pbi_oth_term,J$2&lt;=analysis_period),pbi_oth_amount*(1+pbi_oth_escal/100)^I$2,0))</f>
        <v>0</v>
      </c>
      <c r="K601" s="97">
        <f>IF(pbi_oth_amount="n/a",Inputs!L185,IF(AND(K$2&lt;=pbi_oth_term,K$2&lt;=analysis_period),pbi_oth_amount*(1+pbi_oth_escal/100)^J$2,0))</f>
        <v>0</v>
      </c>
      <c r="L601" s="97">
        <f>IF(pbi_oth_amount="n/a",Inputs!M185,IF(AND(L$2&lt;=pbi_oth_term,L$2&lt;=analysis_period),pbi_oth_amount*(1+pbi_oth_escal/100)^K$2,0))</f>
        <v>0</v>
      </c>
      <c r="M601" s="97">
        <f>IF(pbi_oth_amount="n/a",Inputs!N185,IF(AND(M$2&lt;=pbi_oth_term,M$2&lt;=analysis_period),pbi_oth_amount*(1+pbi_oth_escal/100)^L$2,0))</f>
        <v>0</v>
      </c>
      <c r="N601" s="97">
        <f>IF(pbi_oth_amount="n/a",Inputs!O185,IF(AND(N$2&lt;=pbi_oth_term,N$2&lt;=analysis_period),pbi_oth_amount*(1+pbi_oth_escal/100)^M$2,0))</f>
        <v>0</v>
      </c>
      <c r="O601" s="97">
        <f>IF(pbi_oth_amount="n/a",Inputs!P185,IF(AND(O$2&lt;=pbi_oth_term,O$2&lt;=analysis_period),pbi_oth_amount*(1+pbi_oth_escal/100)^N$2,0))</f>
        <v>0</v>
      </c>
      <c r="P601" s="97">
        <f>IF(pbi_oth_amount="n/a",Inputs!Q185,IF(AND(P$2&lt;=pbi_oth_term,P$2&lt;=analysis_period),pbi_oth_amount*(1+pbi_oth_escal/100)^O$2,0))</f>
        <v>0</v>
      </c>
      <c r="Q601" s="97">
        <f>IF(pbi_oth_amount="n/a",Inputs!R185,IF(AND(Q$2&lt;=pbi_oth_term,Q$2&lt;=analysis_period),pbi_oth_amount*(1+pbi_oth_escal/100)^P$2,0))</f>
        <v>0</v>
      </c>
      <c r="R601" s="97">
        <f>IF(pbi_oth_amount="n/a",Inputs!S185,IF(AND(R$2&lt;=pbi_oth_term,R$2&lt;=analysis_period),pbi_oth_amount*(1+pbi_oth_escal/100)^Q$2,0))</f>
        <v>0</v>
      </c>
      <c r="S601" s="97">
        <f>IF(pbi_oth_amount="n/a",Inputs!T185,IF(AND(S$2&lt;=pbi_oth_term,S$2&lt;=analysis_period),pbi_oth_amount*(1+pbi_oth_escal/100)^R$2,0))</f>
        <v>0</v>
      </c>
      <c r="T601" s="97">
        <f>IF(pbi_oth_amount="n/a",Inputs!U185,IF(AND(T$2&lt;=pbi_oth_term,T$2&lt;=analysis_period),pbi_oth_amount*(1+pbi_oth_escal/100)^S$2,0))</f>
        <v>0</v>
      </c>
      <c r="U601" s="97">
        <f>IF(pbi_oth_amount="n/a",Inputs!V185,IF(AND(U$2&lt;=pbi_oth_term,U$2&lt;=analysis_period),pbi_oth_amount*(1+pbi_oth_escal/100)^T$2,0))</f>
        <v>0</v>
      </c>
      <c r="V601" s="97">
        <f>IF(pbi_oth_amount="n/a",Inputs!W185,IF(AND(V$2&lt;=pbi_oth_term,V$2&lt;=analysis_period),pbi_oth_amount*(1+pbi_oth_escal/100)^U$2,0))</f>
        <v>0</v>
      </c>
      <c r="W601" s="97">
        <f>IF(pbi_oth_amount="n/a",Inputs!X185,IF(AND(W$2&lt;=pbi_oth_term,W$2&lt;=analysis_period),pbi_oth_amount*(1+pbi_oth_escal/100)^V$2,0))</f>
        <v>0</v>
      </c>
      <c r="X601" s="97">
        <f>IF(pbi_oth_amount="n/a",Inputs!Y185,IF(AND(X$2&lt;=pbi_oth_term,X$2&lt;=analysis_period),pbi_oth_amount*(1+pbi_oth_escal/100)^W$2,0))</f>
        <v>0</v>
      </c>
      <c r="Y601" s="97">
        <f>IF(pbi_oth_amount="n/a",Inputs!Z185,IF(AND(Y$2&lt;=pbi_oth_term,Y$2&lt;=analysis_period),pbi_oth_amount*(1+pbi_oth_escal/100)^X$2,0))</f>
        <v>0</v>
      </c>
      <c r="Z601" s="97">
        <f>IF(pbi_oth_amount="n/a",Inputs!AA185,IF(AND(Z$2&lt;=pbi_oth_term,Z$2&lt;=analysis_period),pbi_oth_amount*(1+pbi_oth_escal/100)^Y$2,0))</f>
        <v>0</v>
      </c>
      <c r="AA601" s="97">
        <f>IF(pbi_oth_amount="n/a",Inputs!AB185,IF(AND(AA$2&lt;=pbi_oth_term,AA$2&lt;=analysis_period),pbi_oth_amount*(1+pbi_oth_escal/100)^Z$2,0))</f>
        <v>0</v>
      </c>
      <c r="AB601" s="97">
        <f>IF(pbi_oth_amount="n/a",Inputs!AC185,IF(AND(AB$2&lt;=pbi_oth_term,AB$2&lt;=analysis_period),pbi_oth_amount*(1+pbi_oth_escal/100)^AA$2,0))</f>
        <v>0</v>
      </c>
      <c r="AC601" s="97">
        <f>IF(pbi_oth_amount="n/a",Inputs!AD185,IF(AND(AC$2&lt;=pbi_oth_term,AC$2&lt;=analysis_period),pbi_oth_amount*(1+pbi_oth_escal/100)^AB$2,0))</f>
        <v>0</v>
      </c>
      <c r="AD601" s="97">
        <f>IF(pbi_oth_amount="n/a",Inputs!AE185,IF(AND(AD$2&lt;=pbi_oth_term,AD$2&lt;=analysis_period),pbi_oth_amount*(1+pbi_oth_escal/100)^AC$2,0))</f>
        <v>0</v>
      </c>
      <c r="AE601" s="97">
        <f>IF(pbi_oth_amount="n/a",Inputs!AF185,IF(AND(AE$2&lt;=pbi_oth_term,AE$2&lt;=analysis_period),pbi_oth_amount*(1+pbi_oth_escal/100)^AD$2,0))</f>
        <v>0</v>
      </c>
      <c r="AF601" s="97">
        <f>IF(pbi_oth_amount="n/a",Inputs!AG185,IF(AND(AF$2&lt;=pbi_oth_term,AF$2&lt;=analysis_period),pbi_oth_amount*(1+pbi_oth_escal/100)^AE$2,0))</f>
        <v>0</v>
      </c>
      <c r="AG601" s="97">
        <f>IF(pbi_oth_amount="n/a",Inputs!AH185,IF(AND(AG$2&lt;=pbi_oth_term,AG$2&lt;=analysis_period),pbi_oth_amount*(1+pbi_oth_escal/100)^AF$2,0))</f>
        <v>0</v>
      </c>
      <c r="AH601" s="97">
        <f>IF(pbi_oth_amount="n/a",Inputs!AI185,IF(AND(AH$2&lt;=pbi_oth_term,AH$2&lt;=analysis_period),pbi_oth_amount*(1+pbi_oth_escal/100)^AG$2,0))</f>
        <v>0</v>
      </c>
      <c r="AI601" s="97">
        <f>IF(pbi_oth_amount="n/a",Inputs!AJ185,IF(AND(AI$2&lt;=pbi_oth_term,AI$2&lt;=analysis_period),pbi_oth_amount*(1+pbi_oth_escal/100)^AH$2,0))</f>
        <v>0</v>
      </c>
      <c r="AJ601" s="97">
        <f>IF(pbi_oth_amount="n/a",Inputs!AK185,IF(AND(AJ$2&lt;=pbi_oth_term,AJ$2&lt;=analysis_period),pbi_oth_amount*(1+pbi_oth_escal/100)^AI$2,0))</f>
        <v>0</v>
      </c>
      <c r="AK601" s="97">
        <f>IF(pbi_oth_amount="n/a",Inputs!AL185,IF(AND(AK$2&lt;=pbi_oth_term,AK$2&lt;=analysis_period),pbi_oth_amount*(1+pbi_oth_escal/100)^AJ$2,0))</f>
        <v>0</v>
      </c>
      <c r="AL601" s="97">
        <f>IF(pbi_oth_amount="n/a",Inputs!AM185,IF(AND(AL$2&lt;=pbi_oth_term,AL$2&lt;=analysis_period),pbi_oth_amount*(1+pbi_oth_escal/100)^AK$2,0))</f>
        <v>0</v>
      </c>
      <c r="AM601" s="97">
        <f>IF(pbi_oth_amount="n/a",Inputs!AN185,IF(AND(AM$2&lt;=pbi_oth_term,AM$2&lt;=analysis_period),pbi_oth_amount*(1+pbi_oth_escal/100)^AL$2,0))</f>
        <v>0</v>
      </c>
      <c r="AN601" s="97">
        <f>IF(pbi_oth_amount="n/a",Inputs!AO185,IF(AND(AN$2&lt;=pbi_oth_term,AN$2&lt;=analysis_period),pbi_oth_amount*(1+pbi_oth_escal/100)^AM$2,0))</f>
        <v>0</v>
      </c>
      <c r="AO601" s="97">
        <f>IF(pbi_oth_amount="n/a",Inputs!AP185,IF(AND(AO$2&lt;=pbi_oth_term,AO$2&lt;=analysis_period),pbi_oth_amount*(1+pbi_oth_escal/100)^AN$2,0))</f>
        <v>0</v>
      </c>
      <c r="AP601" s="97">
        <f>IF(pbi_oth_amount="n/a",Inputs!AQ185,IF(AND(AP$2&lt;=pbi_oth_term,AP$2&lt;=analysis_period),pbi_oth_amount*(1+pbi_oth_escal/100)^AO$2,0))</f>
        <v>0</v>
      </c>
    </row>
    <row r="602" spans="1:42" x14ac:dyDescent="0.4">
      <c r="A602" s="21" t="s">
        <v>334</v>
      </c>
      <c r="C602" s="120">
        <f>C$5</f>
        <v>55524700</v>
      </c>
      <c r="D602" s="120">
        <f t="shared" ref="D602:AP602" si="285">D$5</f>
        <v>55245500</v>
      </c>
      <c r="E602" s="120">
        <f t="shared" si="285"/>
        <v>54974100</v>
      </c>
      <c r="F602" s="120">
        <f t="shared" si="285"/>
        <v>54702700</v>
      </c>
      <c r="G602" s="120">
        <f t="shared" si="285"/>
        <v>54429700</v>
      </c>
      <c r="H602" s="120">
        <f t="shared" si="285"/>
        <v>54154400</v>
      </c>
      <c r="I602" s="120">
        <f t="shared" si="285"/>
        <v>53877600</v>
      </c>
      <c r="J602" s="120">
        <f t="shared" si="285"/>
        <v>53599400</v>
      </c>
      <c r="K602" s="120">
        <f t="shared" si="285"/>
        <v>53319700</v>
      </c>
      <c r="L602" s="120">
        <f t="shared" si="285"/>
        <v>53008400</v>
      </c>
      <c r="M602" s="120">
        <f t="shared" si="285"/>
        <v>52724300</v>
      </c>
      <c r="N602" s="120">
        <f t="shared" si="285"/>
        <v>52443100</v>
      </c>
      <c r="O602" s="120">
        <f t="shared" si="285"/>
        <v>52162700</v>
      </c>
      <c r="P602" s="120">
        <f t="shared" si="285"/>
        <v>51882200</v>
      </c>
      <c r="Q602" s="120">
        <f t="shared" si="285"/>
        <v>51601300</v>
      </c>
      <c r="R602" s="120">
        <f t="shared" si="285"/>
        <v>51320000</v>
      </c>
      <c r="S602" s="120">
        <f t="shared" si="285"/>
        <v>51038500</v>
      </c>
      <c r="T602" s="120">
        <f t="shared" si="285"/>
        <v>50756800</v>
      </c>
      <c r="U602" s="120">
        <f t="shared" si="285"/>
        <v>50475000</v>
      </c>
      <c r="V602" s="120">
        <f t="shared" si="285"/>
        <v>50159600</v>
      </c>
      <c r="W602" s="120">
        <f t="shared" si="285"/>
        <v>49874600</v>
      </c>
      <c r="X602" s="120">
        <f t="shared" si="285"/>
        <v>49593100</v>
      </c>
      <c r="Y602" s="120">
        <f t="shared" si="285"/>
        <v>49312700</v>
      </c>
      <c r="Z602" s="120">
        <f t="shared" si="285"/>
        <v>49032200</v>
      </c>
      <c r="AA602" s="120">
        <f t="shared" si="285"/>
        <v>48751300</v>
      </c>
      <c r="AB602" s="120">
        <f t="shared" si="285"/>
        <v>0</v>
      </c>
      <c r="AC602" s="120">
        <f t="shared" si="285"/>
        <v>0</v>
      </c>
      <c r="AD602" s="120">
        <f t="shared" si="285"/>
        <v>0</v>
      </c>
      <c r="AE602" s="120">
        <f t="shared" si="285"/>
        <v>0</v>
      </c>
      <c r="AF602" s="120">
        <f t="shared" si="285"/>
        <v>0</v>
      </c>
      <c r="AG602" s="120">
        <f t="shared" si="285"/>
        <v>0</v>
      </c>
      <c r="AH602" s="120">
        <f t="shared" si="285"/>
        <v>0</v>
      </c>
      <c r="AI602" s="120">
        <f t="shared" si="285"/>
        <v>0</v>
      </c>
      <c r="AJ602" s="120">
        <f t="shared" si="285"/>
        <v>0</v>
      </c>
      <c r="AK602" s="120">
        <f t="shared" si="285"/>
        <v>0</v>
      </c>
      <c r="AL602" s="120">
        <f t="shared" si="285"/>
        <v>0</v>
      </c>
      <c r="AM602" s="120">
        <f t="shared" si="285"/>
        <v>0</v>
      </c>
      <c r="AN602" s="120">
        <f t="shared" si="285"/>
        <v>0</v>
      </c>
      <c r="AO602" s="120">
        <f t="shared" si="285"/>
        <v>0</v>
      </c>
      <c r="AP602" s="120">
        <f t="shared" si="285"/>
        <v>0</v>
      </c>
    </row>
    <row r="603" spans="1:42" x14ac:dyDescent="0.4">
      <c r="A603" s="21" t="s">
        <v>13</v>
      </c>
      <c r="C603" s="119">
        <f>C601*C602</f>
        <v>0</v>
      </c>
      <c r="D603" s="119">
        <f t="shared" ref="D603:AP603" si="286">D601*D602</f>
        <v>0</v>
      </c>
      <c r="E603" s="119">
        <f t="shared" si="286"/>
        <v>0</v>
      </c>
      <c r="F603" s="119">
        <f t="shared" si="286"/>
        <v>0</v>
      </c>
      <c r="G603" s="119">
        <f t="shared" si="286"/>
        <v>0</v>
      </c>
      <c r="H603" s="119">
        <f t="shared" si="286"/>
        <v>0</v>
      </c>
      <c r="I603" s="119">
        <f t="shared" si="286"/>
        <v>0</v>
      </c>
      <c r="J603" s="119">
        <f t="shared" si="286"/>
        <v>0</v>
      </c>
      <c r="K603" s="119">
        <f t="shared" si="286"/>
        <v>0</v>
      </c>
      <c r="L603" s="119">
        <f t="shared" si="286"/>
        <v>0</v>
      </c>
      <c r="M603" s="119">
        <f t="shared" si="286"/>
        <v>0</v>
      </c>
      <c r="N603" s="119">
        <f t="shared" si="286"/>
        <v>0</v>
      </c>
      <c r="O603" s="119">
        <f t="shared" si="286"/>
        <v>0</v>
      </c>
      <c r="P603" s="119">
        <f t="shared" si="286"/>
        <v>0</v>
      </c>
      <c r="Q603" s="119">
        <f t="shared" si="286"/>
        <v>0</v>
      </c>
      <c r="R603" s="119">
        <f t="shared" si="286"/>
        <v>0</v>
      </c>
      <c r="S603" s="119">
        <f t="shared" si="286"/>
        <v>0</v>
      </c>
      <c r="T603" s="119">
        <f t="shared" si="286"/>
        <v>0</v>
      </c>
      <c r="U603" s="119">
        <f t="shared" si="286"/>
        <v>0</v>
      </c>
      <c r="V603" s="119">
        <f t="shared" si="286"/>
        <v>0</v>
      </c>
      <c r="W603" s="119">
        <f t="shared" si="286"/>
        <v>0</v>
      </c>
      <c r="X603" s="119">
        <f t="shared" si="286"/>
        <v>0</v>
      </c>
      <c r="Y603" s="119">
        <f t="shared" si="286"/>
        <v>0</v>
      </c>
      <c r="Z603" s="119">
        <f t="shared" si="286"/>
        <v>0</v>
      </c>
      <c r="AA603" s="119">
        <f t="shared" si="286"/>
        <v>0</v>
      </c>
      <c r="AB603" s="119">
        <f t="shared" si="286"/>
        <v>0</v>
      </c>
      <c r="AC603" s="119">
        <f t="shared" si="286"/>
        <v>0</v>
      </c>
      <c r="AD603" s="119">
        <f t="shared" si="286"/>
        <v>0</v>
      </c>
      <c r="AE603" s="119">
        <f t="shared" si="286"/>
        <v>0</v>
      </c>
      <c r="AF603" s="119">
        <f t="shared" si="286"/>
        <v>0</v>
      </c>
      <c r="AG603" s="119">
        <f t="shared" si="286"/>
        <v>0</v>
      </c>
      <c r="AH603" s="119">
        <f t="shared" si="286"/>
        <v>0</v>
      </c>
      <c r="AI603" s="119">
        <f t="shared" si="286"/>
        <v>0</v>
      </c>
      <c r="AJ603" s="119">
        <f t="shared" si="286"/>
        <v>0</v>
      </c>
      <c r="AK603" s="119">
        <f t="shared" si="286"/>
        <v>0</v>
      </c>
      <c r="AL603" s="119">
        <f t="shared" si="286"/>
        <v>0</v>
      </c>
      <c r="AM603" s="119">
        <f t="shared" si="286"/>
        <v>0</v>
      </c>
      <c r="AN603" s="119">
        <f t="shared" si="286"/>
        <v>0</v>
      </c>
      <c r="AO603" s="119">
        <f t="shared" si="286"/>
        <v>0</v>
      </c>
      <c r="AP603" s="119">
        <f t="shared" si="286"/>
        <v>0</v>
      </c>
    </row>
    <row r="604" spans="1:42" x14ac:dyDescent="0.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row>
    <row r="605" spans="1:42" x14ac:dyDescent="0.4">
      <c r="A605" s="4" t="s">
        <v>13</v>
      </c>
      <c r="C605" s="145">
        <f>C591+C595+C599+C603</f>
        <v>0</v>
      </c>
      <c r="D605" s="145">
        <f t="shared" ref="D605:AP605" si="287">D591+D595+D599+D603</f>
        <v>0</v>
      </c>
      <c r="E605" s="145">
        <f t="shared" si="287"/>
        <v>0</v>
      </c>
      <c r="F605" s="145">
        <f t="shared" si="287"/>
        <v>0</v>
      </c>
      <c r="G605" s="145">
        <f t="shared" si="287"/>
        <v>0</v>
      </c>
      <c r="H605" s="145">
        <f t="shared" si="287"/>
        <v>0</v>
      </c>
      <c r="I605" s="145">
        <f t="shared" si="287"/>
        <v>0</v>
      </c>
      <c r="J605" s="145">
        <f t="shared" si="287"/>
        <v>0</v>
      </c>
      <c r="K605" s="145">
        <f t="shared" si="287"/>
        <v>0</v>
      </c>
      <c r="L605" s="145">
        <f t="shared" si="287"/>
        <v>0</v>
      </c>
      <c r="M605" s="145">
        <f t="shared" si="287"/>
        <v>0</v>
      </c>
      <c r="N605" s="145">
        <f t="shared" si="287"/>
        <v>0</v>
      </c>
      <c r="O605" s="145">
        <f t="shared" si="287"/>
        <v>0</v>
      </c>
      <c r="P605" s="145">
        <f t="shared" si="287"/>
        <v>0</v>
      </c>
      <c r="Q605" s="145">
        <f t="shared" si="287"/>
        <v>0</v>
      </c>
      <c r="R605" s="145">
        <f t="shared" si="287"/>
        <v>0</v>
      </c>
      <c r="S605" s="145">
        <f t="shared" si="287"/>
        <v>0</v>
      </c>
      <c r="T605" s="145">
        <f t="shared" si="287"/>
        <v>0</v>
      </c>
      <c r="U605" s="145">
        <f t="shared" si="287"/>
        <v>0</v>
      </c>
      <c r="V605" s="145">
        <f t="shared" si="287"/>
        <v>0</v>
      </c>
      <c r="W605" s="145">
        <f t="shared" si="287"/>
        <v>0</v>
      </c>
      <c r="X605" s="145">
        <f t="shared" si="287"/>
        <v>0</v>
      </c>
      <c r="Y605" s="145">
        <f t="shared" si="287"/>
        <v>0</v>
      </c>
      <c r="Z605" s="145">
        <f t="shared" si="287"/>
        <v>0</v>
      </c>
      <c r="AA605" s="145">
        <f t="shared" si="287"/>
        <v>0</v>
      </c>
      <c r="AB605" s="145">
        <f t="shared" si="287"/>
        <v>0</v>
      </c>
      <c r="AC605" s="145">
        <f t="shared" si="287"/>
        <v>0</v>
      </c>
      <c r="AD605" s="145">
        <f t="shared" si="287"/>
        <v>0</v>
      </c>
      <c r="AE605" s="145">
        <f t="shared" si="287"/>
        <v>0</v>
      </c>
      <c r="AF605" s="145">
        <f t="shared" si="287"/>
        <v>0</v>
      </c>
      <c r="AG605" s="145">
        <f t="shared" si="287"/>
        <v>0</v>
      </c>
      <c r="AH605" s="145">
        <f t="shared" si="287"/>
        <v>0</v>
      </c>
      <c r="AI605" s="145">
        <f t="shared" si="287"/>
        <v>0</v>
      </c>
      <c r="AJ605" s="145">
        <f t="shared" si="287"/>
        <v>0</v>
      </c>
      <c r="AK605" s="145">
        <f t="shared" si="287"/>
        <v>0</v>
      </c>
      <c r="AL605" s="145">
        <f t="shared" si="287"/>
        <v>0</v>
      </c>
      <c r="AM605" s="145">
        <f t="shared" si="287"/>
        <v>0</v>
      </c>
      <c r="AN605" s="145">
        <f t="shared" si="287"/>
        <v>0</v>
      </c>
      <c r="AO605" s="145">
        <f t="shared" si="287"/>
        <v>0</v>
      </c>
      <c r="AP605" s="145">
        <f t="shared" si="287"/>
        <v>0</v>
      </c>
    </row>
    <row r="607" spans="1:42" x14ac:dyDescent="0.4">
      <c r="A607" s="80" t="s">
        <v>22</v>
      </c>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row>
    <row r="608" spans="1:42" x14ac:dyDescent="0.4">
      <c r="A608" s="17" t="s">
        <v>24</v>
      </c>
    </row>
    <row r="609" spans="1:42" x14ac:dyDescent="0.4">
      <c r="A609" s="21" t="s">
        <v>27</v>
      </c>
      <c r="B609" s="123"/>
      <c r="C609" s="119">
        <f>IF(C$627="N/A",IF(C$628="N/A",C$629+C$610,C$628),C$627)</f>
        <v>3104693.712689999</v>
      </c>
      <c r="D609" s="119">
        <f t="shared" ref="D609:AP609" si="288">IF(D$627="N/A",IF(D$628="N/A",D$629+D$610,D$628),D$627)</f>
        <v>3073263.8513902831</v>
      </c>
      <c r="E609" s="119">
        <f t="shared" si="288"/>
        <v>3042028.623937882</v>
      </c>
      <c r="F609" s="119">
        <f t="shared" si="288"/>
        <v>3010455.8308564364</v>
      </c>
      <c r="G609" s="119">
        <f t="shared" si="288"/>
        <v>2978432.8177065663</v>
      </c>
      <c r="H609" s="119">
        <f t="shared" si="288"/>
        <v>2945904.0866689808</v>
      </c>
      <c r="I609" s="119">
        <f t="shared" si="288"/>
        <v>2912908.6485737194</v>
      </c>
      <c r="J609" s="119">
        <f t="shared" si="288"/>
        <v>2879453.4494573129</v>
      </c>
      <c r="K609" s="119">
        <f t="shared" si="288"/>
        <v>2845513.4449616894</v>
      </c>
      <c r="L609" s="119">
        <f t="shared" si="288"/>
        <v>-317901.98839738785</v>
      </c>
      <c r="M609" s="119">
        <f t="shared" si="288"/>
        <v>1068653.8781189881</v>
      </c>
      <c r="N609" s="119">
        <f t="shared" si="288"/>
        <v>1042527.5811445167</v>
      </c>
      <c r="O609" s="119">
        <f t="shared" si="288"/>
        <v>1015995.470777855</v>
      </c>
      <c r="P609" s="119">
        <f t="shared" si="288"/>
        <v>989037.33381368895</v>
      </c>
      <c r="Q609" s="119">
        <f t="shared" si="288"/>
        <v>961612.45080868085</v>
      </c>
      <c r="R609" s="119">
        <f t="shared" si="288"/>
        <v>933733.31223363429</v>
      </c>
      <c r="S609" s="119">
        <f t="shared" si="288"/>
        <v>905373.45800983766</v>
      </c>
      <c r="T609" s="119">
        <f t="shared" si="288"/>
        <v>876528.23352271039</v>
      </c>
      <c r="U609" s="119">
        <f t="shared" si="288"/>
        <v>0</v>
      </c>
      <c r="V609" s="119">
        <f t="shared" si="288"/>
        <v>0</v>
      </c>
      <c r="W609" s="119">
        <f t="shared" si="288"/>
        <v>0</v>
      </c>
      <c r="X609" s="119">
        <f t="shared" si="288"/>
        <v>0</v>
      </c>
      <c r="Y609" s="119">
        <f t="shared" si="288"/>
        <v>0</v>
      </c>
      <c r="Z609" s="119">
        <f t="shared" si="288"/>
        <v>0</v>
      </c>
      <c r="AA609" s="119">
        <f t="shared" si="288"/>
        <v>0</v>
      </c>
      <c r="AB609" s="119">
        <f t="shared" si="288"/>
        <v>0</v>
      </c>
      <c r="AC609" s="119">
        <f t="shared" si="288"/>
        <v>0</v>
      </c>
      <c r="AD609" s="119">
        <f t="shared" si="288"/>
        <v>0</v>
      </c>
      <c r="AE609" s="119">
        <f t="shared" si="288"/>
        <v>0</v>
      </c>
      <c r="AF609" s="119">
        <f t="shared" si="288"/>
        <v>0</v>
      </c>
      <c r="AG609" s="119">
        <f t="shared" si="288"/>
        <v>0</v>
      </c>
      <c r="AH609" s="119">
        <f t="shared" si="288"/>
        <v>0</v>
      </c>
      <c r="AI609" s="119">
        <f t="shared" si="288"/>
        <v>0</v>
      </c>
      <c r="AJ609" s="119">
        <f t="shared" si="288"/>
        <v>0</v>
      </c>
      <c r="AK609" s="119">
        <f t="shared" si="288"/>
        <v>0</v>
      </c>
      <c r="AL609" s="119">
        <f t="shared" si="288"/>
        <v>0</v>
      </c>
      <c r="AM609" s="119">
        <f t="shared" si="288"/>
        <v>0</v>
      </c>
      <c r="AN609" s="119">
        <f t="shared" si="288"/>
        <v>0</v>
      </c>
      <c r="AO609" s="119">
        <f t="shared" si="288"/>
        <v>0</v>
      </c>
      <c r="AP609" s="119">
        <f t="shared" si="288"/>
        <v>0</v>
      </c>
    </row>
    <row r="610" spans="1:42" x14ac:dyDescent="0.4">
      <c r="A610" s="21" t="s">
        <v>158</v>
      </c>
      <c r="B610" s="119"/>
      <c r="C610" s="119">
        <f t="shared" ref="C610:AP610" si="289">IF(AND(C$2&lt;=term_tenor,C$2&lt;=analysis_period),B$612*term_int_rate/100,0)</f>
        <v>1246612.096875</v>
      </c>
      <c r="D610" s="119">
        <f t="shared" si="289"/>
        <v>1153708.0160842501</v>
      </c>
      <c r="E610" s="119">
        <f t="shared" si="289"/>
        <v>1057730.2243189483</v>
      </c>
      <c r="F610" s="119">
        <f t="shared" si="289"/>
        <v>958515.30433800165</v>
      </c>
      <c r="G610" s="119">
        <f t="shared" si="289"/>
        <v>855918.27801207989</v>
      </c>
      <c r="H610" s="119">
        <f t="shared" si="289"/>
        <v>749792.5510273556</v>
      </c>
      <c r="I610" s="119">
        <f t="shared" si="289"/>
        <v>639986.97424527432</v>
      </c>
      <c r="J610" s="119">
        <f t="shared" si="289"/>
        <v>526340.89052885212</v>
      </c>
      <c r="K610" s="119">
        <f t="shared" si="289"/>
        <v>408685.26258242904</v>
      </c>
      <c r="L610" s="119">
        <f t="shared" si="289"/>
        <v>286843.8534634661</v>
      </c>
      <c r="M610" s="119">
        <f t="shared" si="289"/>
        <v>317081.1455565088</v>
      </c>
      <c r="N610" s="119">
        <f t="shared" si="289"/>
        <v>279502.50892838481</v>
      </c>
      <c r="O610" s="119">
        <f t="shared" si="289"/>
        <v>241351.25531757824</v>
      </c>
      <c r="P610" s="119">
        <f t="shared" si="289"/>
        <v>202619.04454456441</v>
      </c>
      <c r="Q610" s="119">
        <f t="shared" si="289"/>
        <v>163298.13008110819</v>
      </c>
      <c r="R610" s="119">
        <f t="shared" si="289"/>
        <v>123382.41404472952</v>
      </c>
      <c r="S610" s="119">
        <f t="shared" si="289"/>
        <v>82864.869135284287</v>
      </c>
      <c r="T610" s="119">
        <f t="shared" si="289"/>
        <v>41739.439691556618</v>
      </c>
      <c r="U610" s="119">
        <f t="shared" si="289"/>
        <v>0</v>
      </c>
      <c r="V610" s="119">
        <f t="shared" si="289"/>
        <v>0</v>
      </c>
      <c r="W610" s="119">
        <f t="shared" si="289"/>
        <v>0</v>
      </c>
      <c r="X610" s="119">
        <f t="shared" si="289"/>
        <v>0</v>
      </c>
      <c r="Y610" s="119">
        <f t="shared" si="289"/>
        <v>0</v>
      </c>
      <c r="Z610" s="119">
        <f t="shared" si="289"/>
        <v>0</v>
      </c>
      <c r="AA610" s="119">
        <f t="shared" si="289"/>
        <v>0</v>
      </c>
      <c r="AB610" s="119">
        <f t="shared" si="289"/>
        <v>0</v>
      </c>
      <c r="AC610" s="119">
        <f t="shared" si="289"/>
        <v>0</v>
      </c>
      <c r="AD610" s="119">
        <f t="shared" si="289"/>
        <v>0</v>
      </c>
      <c r="AE610" s="119">
        <f t="shared" si="289"/>
        <v>0</v>
      </c>
      <c r="AF610" s="119">
        <f t="shared" si="289"/>
        <v>0</v>
      </c>
      <c r="AG610" s="119">
        <f t="shared" si="289"/>
        <v>0</v>
      </c>
      <c r="AH610" s="119">
        <f t="shared" si="289"/>
        <v>0</v>
      </c>
      <c r="AI610" s="119">
        <f t="shared" si="289"/>
        <v>0</v>
      </c>
      <c r="AJ610" s="119">
        <f t="shared" si="289"/>
        <v>0</v>
      </c>
      <c r="AK610" s="119">
        <f t="shared" si="289"/>
        <v>0</v>
      </c>
      <c r="AL610" s="119">
        <f t="shared" si="289"/>
        <v>0</v>
      </c>
      <c r="AM610" s="119">
        <f t="shared" si="289"/>
        <v>0</v>
      </c>
      <c r="AN610" s="119">
        <f t="shared" si="289"/>
        <v>0</v>
      </c>
      <c r="AO610" s="119">
        <f t="shared" si="289"/>
        <v>0</v>
      </c>
      <c r="AP610" s="119">
        <f t="shared" si="289"/>
        <v>0</v>
      </c>
    </row>
    <row r="611" spans="1:42" x14ac:dyDescent="0.4">
      <c r="A611" s="21" t="s">
        <v>157</v>
      </c>
      <c r="B611" s="123"/>
      <c r="C611" s="119">
        <f t="shared" ref="C611:AP611" si="290">IF(C$629="N/A",IF(C$2&gt;loan_moratorium,C$609-C$610,0),C$629)</f>
        <v>1858081.615814999</v>
      </c>
      <c r="D611" s="119">
        <f t="shared" si="290"/>
        <v>1919555.835306033</v>
      </c>
      <c r="E611" s="119">
        <f t="shared" si="290"/>
        <v>1984298.3996189337</v>
      </c>
      <c r="F611" s="119">
        <f t="shared" si="290"/>
        <v>2051940.5265184348</v>
      </c>
      <c r="G611" s="119">
        <f t="shared" si="290"/>
        <v>2122514.5396944862</v>
      </c>
      <c r="H611" s="119">
        <f t="shared" si="290"/>
        <v>2196111.5356416251</v>
      </c>
      <c r="I611" s="119">
        <f t="shared" si="290"/>
        <v>2272921.674328445</v>
      </c>
      <c r="J611" s="119">
        <f t="shared" si="290"/>
        <v>2353112.5589284608</v>
      </c>
      <c r="K611" s="119">
        <f t="shared" si="290"/>
        <v>2436828.1823792602</v>
      </c>
      <c r="L611" s="119">
        <f t="shared" si="290"/>
        <v>-604745.84186085395</v>
      </c>
      <c r="M611" s="119">
        <f t="shared" si="290"/>
        <v>751572.73256247933</v>
      </c>
      <c r="N611" s="119">
        <f t="shared" si="290"/>
        <v>763025.07221613196</v>
      </c>
      <c r="O611" s="119">
        <f t="shared" si="290"/>
        <v>774644.21546027681</v>
      </c>
      <c r="P611" s="119">
        <f t="shared" si="290"/>
        <v>786418.28926912451</v>
      </c>
      <c r="Q611" s="119">
        <f t="shared" si="290"/>
        <v>798314.32072757266</v>
      </c>
      <c r="R611" s="119">
        <f t="shared" si="290"/>
        <v>810350.89818890474</v>
      </c>
      <c r="S611" s="119">
        <f t="shared" si="290"/>
        <v>822508.58887455333</v>
      </c>
      <c r="T611" s="119">
        <f t="shared" si="290"/>
        <v>834788.79383115377</v>
      </c>
      <c r="U611" s="119">
        <f t="shared" si="290"/>
        <v>0</v>
      </c>
      <c r="V611" s="119">
        <f t="shared" si="290"/>
        <v>0</v>
      </c>
      <c r="W611" s="119">
        <f t="shared" si="290"/>
        <v>0</v>
      </c>
      <c r="X611" s="119">
        <f t="shared" si="290"/>
        <v>0</v>
      </c>
      <c r="Y611" s="119">
        <f t="shared" si="290"/>
        <v>0</v>
      </c>
      <c r="Z611" s="119">
        <f t="shared" si="290"/>
        <v>0</v>
      </c>
      <c r="AA611" s="119">
        <f t="shared" si="290"/>
        <v>0</v>
      </c>
      <c r="AB611" s="119">
        <f t="shared" si="290"/>
        <v>0</v>
      </c>
      <c r="AC611" s="119">
        <f t="shared" si="290"/>
        <v>0</v>
      </c>
      <c r="AD611" s="119">
        <f t="shared" si="290"/>
        <v>0</v>
      </c>
      <c r="AE611" s="119">
        <f t="shared" si="290"/>
        <v>0</v>
      </c>
      <c r="AF611" s="119">
        <f t="shared" si="290"/>
        <v>0</v>
      </c>
      <c r="AG611" s="119">
        <f t="shared" si="290"/>
        <v>0</v>
      </c>
      <c r="AH611" s="119">
        <f t="shared" si="290"/>
        <v>0</v>
      </c>
      <c r="AI611" s="119">
        <f t="shared" si="290"/>
        <v>0</v>
      </c>
      <c r="AJ611" s="119">
        <f t="shared" si="290"/>
        <v>0</v>
      </c>
      <c r="AK611" s="119">
        <f t="shared" si="290"/>
        <v>0</v>
      </c>
      <c r="AL611" s="119">
        <f t="shared" si="290"/>
        <v>0</v>
      </c>
      <c r="AM611" s="119">
        <f t="shared" si="290"/>
        <v>0</v>
      </c>
      <c r="AN611" s="119">
        <f t="shared" si="290"/>
        <v>0</v>
      </c>
      <c r="AO611" s="119">
        <f t="shared" si="290"/>
        <v>0</v>
      </c>
      <c r="AP611" s="119">
        <f t="shared" si="290"/>
        <v>0</v>
      </c>
    </row>
    <row r="612" spans="1:42" x14ac:dyDescent="0.4">
      <c r="A612" s="21" t="s">
        <v>226</v>
      </c>
      <c r="B612" s="119">
        <f>$B$624</f>
        <v>24932241.9375</v>
      </c>
      <c r="C612" s="119">
        <f>B$612-C$611</f>
        <v>23074160.321685001</v>
      </c>
      <c r="D612" s="119">
        <f t="shared" ref="D612:AP612" si="291">C$612-D$611</f>
        <v>21154604.486378968</v>
      </c>
      <c r="E612" s="119">
        <f t="shared" si="291"/>
        <v>19170306.086760033</v>
      </c>
      <c r="F612" s="119">
        <f t="shared" si="291"/>
        <v>17118365.560241599</v>
      </c>
      <c r="G612" s="119">
        <f t="shared" si="291"/>
        <v>14995851.020547112</v>
      </c>
      <c r="H612" s="119">
        <f t="shared" si="291"/>
        <v>12799739.484905487</v>
      </c>
      <c r="I612" s="119">
        <f t="shared" si="291"/>
        <v>10526817.810577042</v>
      </c>
      <c r="J612" s="119">
        <f t="shared" si="291"/>
        <v>8173705.2516485816</v>
      </c>
      <c r="K612" s="119">
        <f t="shared" si="291"/>
        <v>5736877.0692693219</v>
      </c>
      <c r="L612" s="119">
        <f t="shared" si="291"/>
        <v>6341622.9111301759</v>
      </c>
      <c r="M612" s="119">
        <f t="shared" si="291"/>
        <v>5590050.1785676964</v>
      </c>
      <c r="N612" s="119">
        <f t="shared" si="291"/>
        <v>4827025.1063515646</v>
      </c>
      <c r="O612" s="119">
        <f t="shared" si="291"/>
        <v>4052380.8908912879</v>
      </c>
      <c r="P612" s="119">
        <f t="shared" si="291"/>
        <v>3265962.6016221633</v>
      </c>
      <c r="Q612" s="119">
        <f t="shared" si="291"/>
        <v>2467648.2808945905</v>
      </c>
      <c r="R612" s="119">
        <f t="shared" si="291"/>
        <v>1657297.3827056857</v>
      </c>
      <c r="S612" s="119">
        <f t="shared" si="291"/>
        <v>834788.79383113235</v>
      </c>
      <c r="T612" s="119">
        <f t="shared" si="291"/>
        <v>-2.1420419216156006E-8</v>
      </c>
      <c r="U612" s="119">
        <f t="shared" si="291"/>
        <v>-2.1420419216156006E-8</v>
      </c>
      <c r="V612" s="119">
        <f t="shared" si="291"/>
        <v>-2.1420419216156006E-8</v>
      </c>
      <c r="W612" s="119">
        <f t="shared" si="291"/>
        <v>-2.1420419216156006E-8</v>
      </c>
      <c r="X612" s="119">
        <f t="shared" si="291"/>
        <v>-2.1420419216156006E-8</v>
      </c>
      <c r="Y612" s="119">
        <f t="shared" si="291"/>
        <v>-2.1420419216156006E-8</v>
      </c>
      <c r="Z612" s="119">
        <f t="shared" si="291"/>
        <v>-2.1420419216156006E-8</v>
      </c>
      <c r="AA612" s="119">
        <f t="shared" si="291"/>
        <v>-2.1420419216156006E-8</v>
      </c>
      <c r="AB612" s="119">
        <f t="shared" si="291"/>
        <v>-2.1420419216156006E-8</v>
      </c>
      <c r="AC612" s="119">
        <f t="shared" si="291"/>
        <v>-2.1420419216156006E-8</v>
      </c>
      <c r="AD612" s="119">
        <f t="shared" si="291"/>
        <v>-2.1420419216156006E-8</v>
      </c>
      <c r="AE612" s="119">
        <f t="shared" si="291"/>
        <v>-2.1420419216156006E-8</v>
      </c>
      <c r="AF612" s="119">
        <f t="shared" si="291"/>
        <v>-2.1420419216156006E-8</v>
      </c>
      <c r="AG612" s="119">
        <f t="shared" si="291"/>
        <v>-2.1420419216156006E-8</v>
      </c>
      <c r="AH612" s="119">
        <f t="shared" si="291"/>
        <v>-2.1420419216156006E-8</v>
      </c>
      <c r="AI612" s="119">
        <f t="shared" si="291"/>
        <v>-2.1420419216156006E-8</v>
      </c>
      <c r="AJ612" s="119">
        <f t="shared" si="291"/>
        <v>-2.1420419216156006E-8</v>
      </c>
      <c r="AK612" s="119">
        <f t="shared" si="291"/>
        <v>-2.1420419216156006E-8</v>
      </c>
      <c r="AL612" s="119">
        <f t="shared" si="291"/>
        <v>-2.1420419216156006E-8</v>
      </c>
      <c r="AM612" s="119">
        <f t="shared" si="291"/>
        <v>-2.1420419216156006E-8</v>
      </c>
      <c r="AN612" s="119">
        <f t="shared" si="291"/>
        <v>-2.1420419216156006E-8</v>
      </c>
      <c r="AO612" s="119">
        <f t="shared" si="291"/>
        <v>-2.1420419216156006E-8</v>
      </c>
      <c r="AP612" s="119">
        <f t="shared" si="291"/>
        <v>-2.1420419216156006E-8</v>
      </c>
    </row>
    <row r="613" spans="1:42" x14ac:dyDescent="0.4">
      <c r="B613" s="119"/>
      <c r="C613" s="119"/>
    </row>
    <row r="614" spans="1:42" x14ac:dyDescent="0.4">
      <c r="A614" s="17" t="s">
        <v>232</v>
      </c>
    </row>
    <row r="615" spans="1:42" x14ac:dyDescent="0.4">
      <c r="A615" s="21" t="s">
        <v>29</v>
      </c>
      <c r="B615" s="123"/>
      <c r="C615" s="119">
        <f t="shared" ref="C615:AP615" si="292">IF(AND(C$2&lt;=term_tenor,C$2&lt;=analysis_period),C73,0)</f>
        <v>3914452.99</v>
      </c>
      <c r="D615" s="119">
        <f t="shared" si="292"/>
        <v>3874825.6625000001</v>
      </c>
      <c r="E615" s="119">
        <f t="shared" si="292"/>
        <v>3835443.7328125001</v>
      </c>
      <c r="F615" s="119">
        <f t="shared" si="292"/>
        <v>3795636.1943828124</v>
      </c>
      <c r="G615" s="119">
        <f t="shared" si="292"/>
        <v>3755261.010492383</v>
      </c>
      <c r="H615" s="119">
        <f t="shared" si="292"/>
        <v>3714248.2085046927</v>
      </c>
      <c r="I615" s="119">
        <f t="shared" si="292"/>
        <v>3672646.9739673096</v>
      </c>
      <c r="J615" s="119">
        <f t="shared" si="292"/>
        <v>3630466.0645664926</v>
      </c>
      <c r="K615" s="119">
        <f t="shared" si="292"/>
        <v>3587673.9039306547</v>
      </c>
      <c r="L615" s="119">
        <f t="shared" si="292"/>
        <v>-400816.47472107783</v>
      </c>
      <c r="M615" s="119">
        <f t="shared" si="292"/>
        <v>1347377.7949108945</v>
      </c>
      <c r="N615" s="119">
        <f t="shared" si="292"/>
        <v>1314437.2955336669</v>
      </c>
      <c r="O615" s="119">
        <f t="shared" si="292"/>
        <v>1280985.1394220088</v>
      </c>
      <c r="P615" s="119">
        <f t="shared" si="292"/>
        <v>1246995.8414075589</v>
      </c>
      <c r="Q615" s="119">
        <f t="shared" si="292"/>
        <v>1212418.0616927478</v>
      </c>
      <c r="R615" s="119">
        <f t="shared" si="292"/>
        <v>1177267.5484850663</v>
      </c>
      <c r="S615" s="119">
        <f t="shared" si="292"/>
        <v>1141510.9404471933</v>
      </c>
      <c r="T615" s="119">
        <f t="shared" si="292"/>
        <v>1105142.3689583731</v>
      </c>
      <c r="U615" s="119">
        <f t="shared" si="292"/>
        <v>0</v>
      </c>
      <c r="V615" s="119">
        <f t="shared" si="292"/>
        <v>0</v>
      </c>
      <c r="W615" s="119">
        <f t="shared" si="292"/>
        <v>0</v>
      </c>
      <c r="X615" s="119">
        <f t="shared" si="292"/>
        <v>0</v>
      </c>
      <c r="Y615" s="119">
        <f t="shared" si="292"/>
        <v>0</v>
      </c>
      <c r="Z615" s="119">
        <f t="shared" si="292"/>
        <v>0</v>
      </c>
      <c r="AA615" s="119">
        <f t="shared" si="292"/>
        <v>0</v>
      </c>
      <c r="AB615" s="119">
        <f t="shared" si="292"/>
        <v>0</v>
      </c>
      <c r="AC615" s="119">
        <f t="shared" si="292"/>
        <v>0</v>
      </c>
      <c r="AD615" s="119">
        <f t="shared" si="292"/>
        <v>0</v>
      </c>
      <c r="AE615" s="119">
        <f t="shared" si="292"/>
        <v>0</v>
      </c>
      <c r="AF615" s="119">
        <f t="shared" si="292"/>
        <v>0</v>
      </c>
      <c r="AG615" s="119">
        <f t="shared" si="292"/>
        <v>0</v>
      </c>
      <c r="AH615" s="119">
        <f t="shared" si="292"/>
        <v>0</v>
      </c>
      <c r="AI615" s="119">
        <f t="shared" si="292"/>
        <v>0</v>
      </c>
      <c r="AJ615" s="119">
        <f t="shared" si="292"/>
        <v>0</v>
      </c>
      <c r="AK615" s="119">
        <f t="shared" si="292"/>
        <v>0</v>
      </c>
      <c r="AL615" s="119">
        <f t="shared" si="292"/>
        <v>0</v>
      </c>
      <c r="AM615" s="119">
        <f t="shared" si="292"/>
        <v>0</v>
      </c>
      <c r="AN615" s="119">
        <f t="shared" si="292"/>
        <v>0</v>
      </c>
      <c r="AO615" s="119">
        <f t="shared" si="292"/>
        <v>0</v>
      </c>
      <c r="AP615" s="119">
        <f t="shared" si="292"/>
        <v>0</v>
      </c>
    </row>
    <row r="616" spans="1:42" x14ac:dyDescent="0.4">
      <c r="A616" s="21" t="s">
        <v>278</v>
      </c>
      <c r="B616" s="119">
        <f t="shared" ref="B616:AP616" si="293">IF(AND(B$2&lt;=term_tenor,B$2&lt;=analysis_period),-B649-B655-B687-B719,0)</f>
        <v>0</v>
      </c>
      <c r="C616" s="119">
        <f t="shared" si="293"/>
        <v>0</v>
      </c>
      <c r="D616" s="119">
        <f t="shared" si="293"/>
        <v>0</v>
      </c>
      <c r="E616" s="119">
        <f t="shared" si="293"/>
        <v>0</v>
      </c>
      <c r="F616" s="119">
        <f t="shared" si="293"/>
        <v>0</v>
      </c>
      <c r="G616" s="119">
        <f t="shared" si="293"/>
        <v>0</v>
      </c>
      <c r="H616" s="119">
        <f t="shared" si="293"/>
        <v>0</v>
      </c>
      <c r="I616" s="119">
        <f t="shared" si="293"/>
        <v>0</v>
      </c>
      <c r="J616" s="119">
        <f t="shared" si="293"/>
        <v>0</v>
      </c>
      <c r="K616" s="119">
        <f t="shared" si="293"/>
        <v>0</v>
      </c>
      <c r="L616" s="119">
        <f t="shared" si="293"/>
        <v>0</v>
      </c>
      <c r="M616" s="119">
        <f t="shared" si="293"/>
        <v>0</v>
      </c>
      <c r="N616" s="119">
        <f t="shared" si="293"/>
        <v>0</v>
      </c>
      <c r="O616" s="119">
        <f t="shared" si="293"/>
        <v>0</v>
      </c>
      <c r="P616" s="119">
        <f t="shared" si="293"/>
        <v>0</v>
      </c>
      <c r="Q616" s="119">
        <f t="shared" si="293"/>
        <v>0</v>
      </c>
      <c r="R616" s="119">
        <f t="shared" si="293"/>
        <v>0</v>
      </c>
      <c r="S616" s="119">
        <f t="shared" si="293"/>
        <v>0</v>
      </c>
      <c r="T616" s="119">
        <f t="shared" si="293"/>
        <v>0</v>
      </c>
      <c r="U616" s="119">
        <f t="shared" si="293"/>
        <v>0</v>
      </c>
      <c r="V616" s="119">
        <f t="shared" si="293"/>
        <v>0</v>
      </c>
      <c r="W616" s="119">
        <f t="shared" si="293"/>
        <v>0</v>
      </c>
      <c r="X616" s="119">
        <f t="shared" si="293"/>
        <v>0</v>
      </c>
      <c r="Y616" s="119">
        <f t="shared" si="293"/>
        <v>0</v>
      </c>
      <c r="Z616" s="119">
        <f t="shared" si="293"/>
        <v>0</v>
      </c>
      <c r="AA616" s="119">
        <f t="shared" si="293"/>
        <v>0</v>
      </c>
      <c r="AB616" s="119">
        <f t="shared" si="293"/>
        <v>0</v>
      </c>
      <c r="AC616" s="119">
        <f t="shared" si="293"/>
        <v>0</v>
      </c>
      <c r="AD616" s="119">
        <f t="shared" si="293"/>
        <v>0</v>
      </c>
      <c r="AE616" s="119">
        <f t="shared" si="293"/>
        <v>0</v>
      </c>
      <c r="AF616" s="119">
        <f t="shared" si="293"/>
        <v>0</v>
      </c>
      <c r="AG616" s="119">
        <f t="shared" si="293"/>
        <v>0</v>
      </c>
      <c r="AH616" s="119">
        <f t="shared" si="293"/>
        <v>0</v>
      </c>
      <c r="AI616" s="119">
        <f t="shared" si="293"/>
        <v>0</v>
      </c>
      <c r="AJ616" s="119">
        <f t="shared" si="293"/>
        <v>0</v>
      </c>
      <c r="AK616" s="119">
        <f t="shared" si="293"/>
        <v>0</v>
      </c>
      <c r="AL616" s="119">
        <f t="shared" si="293"/>
        <v>0</v>
      </c>
      <c r="AM616" s="119">
        <f t="shared" si="293"/>
        <v>0</v>
      </c>
      <c r="AN616" s="119">
        <f t="shared" si="293"/>
        <v>0</v>
      </c>
      <c r="AO616" s="119">
        <f t="shared" si="293"/>
        <v>0</v>
      </c>
      <c r="AP616" s="119">
        <f t="shared" si="293"/>
        <v>0</v>
      </c>
    </row>
    <row r="617" spans="1:42" x14ac:dyDescent="0.4">
      <c r="A617" s="21" t="s">
        <v>234</v>
      </c>
      <c r="B617" s="119">
        <f>SUM(B615:B616)</f>
        <v>0</v>
      </c>
      <c r="C617" s="119">
        <f>SUM(C615:C616)</f>
        <v>3914452.99</v>
      </c>
      <c r="D617" s="119">
        <f t="shared" ref="D617:AP617" si="294">SUM(D615:D616)</f>
        <v>3874825.6625000001</v>
      </c>
      <c r="E617" s="119">
        <f t="shared" si="294"/>
        <v>3835443.7328125001</v>
      </c>
      <c r="F617" s="119">
        <f t="shared" si="294"/>
        <v>3795636.1943828124</v>
      </c>
      <c r="G617" s="119">
        <f t="shared" si="294"/>
        <v>3755261.010492383</v>
      </c>
      <c r="H617" s="119">
        <f t="shared" si="294"/>
        <v>3714248.2085046927</v>
      </c>
      <c r="I617" s="119">
        <f t="shared" si="294"/>
        <v>3672646.9739673096</v>
      </c>
      <c r="J617" s="119">
        <f t="shared" si="294"/>
        <v>3630466.0645664926</v>
      </c>
      <c r="K617" s="119">
        <f t="shared" si="294"/>
        <v>3587673.9039306547</v>
      </c>
      <c r="L617" s="119">
        <f t="shared" si="294"/>
        <v>-400816.47472107783</v>
      </c>
      <c r="M617" s="119">
        <f t="shared" si="294"/>
        <v>1347377.7949108945</v>
      </c>
      <c r="N617" s="119">
        <f t="shared" si="294"/>
        <v>1314437.2955336669</v>
      </c>
      <c r="O617" s="119">
        <f t="shared" si="294"/>
        <v>1280985.1394220088</v>
      </c>
      <c r="P617" s="119">
        <f t="shared" si="294"/>
        <v>1246995.8414075589</v>
      </c>
      <c r="Q617" s="119">
        <f t="shared" si="294"/>
        <v>1212418.0616927478</v>
      </c>
      <c r="R617" s="119">
        <f t="shared" si="294"/>
        <v>1177267.5484850663</v>
      </c>
      <c r="S617" s="119">
        <f t="shared" si="294"/>
        <v>1141510.9404471933</v>
      </c>
      <c r="T617" s="119">
        <f t="shared" si="294"/>
        <v>1105142.3689583731</v>
      </c>
      <c r="U617" s="119">
        <f t="shared" si="294"/>
        <v>0</v>
      </c>
      <c r="V617" s="119">
        <f t="shared" si="294"/>
        <v>0</v>
      </c>
      <c r="W617" s="119">
        <f t="shared" si="294"/>
        <v>0</v>
      </c>
      <c r="X617" s="119">
        <f t="shared" si="294"/>
        <v>0</v>
      </c>
      <c r="Y617" s="119">
        <f t="shared" si="294"/>
        <v>0</v>
      </c>
      <c r="Z617" s="119">
        <f t="shared" si="294"/>
        <v>0</v>
      </c>
      <c r="AA617" s="119">
        <f t="shared" si="294"/>
        <v>0</v>
      </c>
      <c r="AB617" s="119">
        <f t="shared" si="294"/>
        <v>0</v>
      </c>
      <c r="AC617" s="119">
        <f t="shared" si="294"/>
        <v>0</v>
      </c>
      <c r="AD617" s="119">
        <f t="shared" si="294"/>
        <v>0</v>
      </c>
      <c r="AE617" s="119">
        <f t="shared" si="294"/>
        <v>0</v>
      </c>
      <c r="AF617" s="119">
        <f t="shared" si="294"/>
        <v>0</v>
      </c>
      <c r="AG617" s="119">
        <f t="shared" si="294"/>
        <v>0</v>
      </c>
      <c r="AH617" s="119">
        <f t="shared" si="294"/>
        <v>0</v>
      </c>
      <c r="AI617" s="119">
        <f t="shared" si="294"/>
        <v>0</v>
      </c>
      <c r="AJ617" s="119">
        <f t="shared" si="294"/>
        <v>0</v>
      </c>
      <c r="AK617" s="119">
        <f t="shared" si="294"/>
        <v>0</v>
      </c>
      <c r="AL617" s="119">
        <f t="shared" si="294"/>
        <v>0</v>
      </c>
      <c r="AM617" s="119">
        <f t="shared" si="294"/>
        <v>0</v>
      </c>
      <c r="AN617" s="119">
        <f t="shared" si="294"/>
        <v>0</v>
      </c>
      <c r="AO617" s="119">
        <f t="shared" si="294"/>
        <v>0</v>
      </c>
      <c r="AP617" s="119">
        <f t="shared" si="294"/>
        <v>0</v>
      </c>
    </row>
    <row r="618" spans="1:42" x14ac:dyDescent="0.4">
      <c r="A618" s="21" t="s">
        <v>235</v>
      </c>
      <c r="B618" s="198">
        <f>IF(AND(B$2&lt;=term_tenor,B$2&lt;=analysis_period),1/(1+term_int_rate/100),0)</f>
        <v>0.95238095238095233</v>
      </c>
      <c r="C618" s="198">
        <f>IF(AND(C$2&lt;=term_tenor,C$2&lt;=analysis_period),1/(1+term_int_rate/100),0)</f>
        <v>0.95238095238095233</v>
      </c>
      <c r="D618" s="198">
        <f t="shared" ref="D618:AP618" si="295">IF(AND(C$2&lt;=term_tenor,C$2&lt;=analysis_period),C618/(1+term_int_rate/100),0)</f>
        <v>0.90702947845804982</v>
      </c>
      <c r="E618" s="198">
        <f t="shared" si="295"/>
        <v>0.86383759853147601</v>
      </c>
      <c r="F618" s="198">
        <f t="shared" si="295"/>
        <v>0.82270247479188185</v>
      </c>
      <c r="G618" s="198">
        <f t="shared" si="295"/>
        <v>0.78352616646845885</v>
      </c>
      <c r="H618" s="198">
        <f t="shared" si="295"/>
        <v>0.74621539663662739</v>
      </c>
      <c r="I618" s="198">
        <f t="shared" si="295"/>
        <v>0.71068133013012125</v>
      </c>
      <c r="J618" s="198">
        <f t="shared" si="295"/>
        <v>0.67683936202868689</v>
      </c>
      <c r="K618" s="198">
        <f t="shared" si="295"/>
        <v>0.64460891621779703</v>
      </c>
      <c r="L618" s="198">
        <f t="shared" si="295"/>
        <v>0.6139132535407591</v>
      </c>
      <c r="M618" s="198">
        <f t="shared" si="295"/>
        <v>0.58467928908643718</v>
      </c>
      <c r="N618" s="198">
        <f t="shared" si="295"/>
        <v>0.55683741817755916</v>
      </c>
      <c r="O618" s="198">
        <f t="shared" si="295"/>
        <v>0.5303213506452944</v>
      </c>
      <c r="P618" s="198">
        <f t="shared" si="295"/>
        <v>0.50506795299551843</v>
      </c>
      <c r="Q618" s="198">
        <f t="shared" si="295"/>
        <v>0.48101709809096993</v>
      </c>
      <c r="R618" s="198">
        <f t="shared" si="295"/>
        <v>0.45811152199139993</v>
      </c>
      <c r="S618" s="198">
        <f t="shared" si="295"/>
        <v>0.43629668761085705</v>
      </c>
      <c r="T618" s="198">
        <f t="shared" si="295"/>
        <v>0.41552065486748291</v>
      </c>
      <c r="U618" s="198">
        <f t="shared" si="295"/>
        <v>0.39573395701665037</v>
      </c>
      <c r="V618" s="198">
        <f t="shared" si="295"/>
        <v>0</v>
      </c>
      <c r="W618" s="198">
        <f t="shared" si="295"/>
        <v>0</v>
      </c>
      <c r="X618" s="198">
        <f t="shared" si="295"/>
        <v>0</v>
      </c>
      <c r="Y618" s="198">
        <f t="shared" si="295"/>
        <v>0</v>
      </c>
      <c r="Z618" s="198">
        <f t="shared" si="295"/>
        <v>0</v>
      </c>
      <c r="AA618" s="198">
        <f t="shared" si="295"/>
        <v>0</v>
      </c>
      <c r="AB618" s="198">
        <f t="shared" si="295"/>
        <v>0</v>
      </c>
      <c r="AC618" s="198">
        <f t="shared" si="295"/>
        <v>0</v>
      </c>
      <c r="AD618" s="198">
        <f t="shared" si="295"/>
        <v>0</v>
      </c>
      <c r="AE618" s="198">
        <f t="shared" si="295"/>
        <v>0</v>
      </c>
      <c r="AF618" s="198">
        <f t="shared" si="295"/>
        <v>0</v>
      </c>
      <c r="AG618" s="198">
        <f t="shared" si="295"/>
        <v>0</v>
      </c>
      <c r="AH618" s="198">
        <f t="shared" si="295"/>
        <v>0</v>
      </c>
      <c r="AI618" s="198">
        <f t="shared" si="295"/>
        <v>0</v>
      </c>
      <c r="AJ618" s="198">
        <f t="shared" si="295"/>
        <v>0</v>
      </c>
      <c r="AK618" s="198">
        <f t="shared" si="295"/>
        <v>0</v>
      </c>
      <c r="AL618" s="198">
        <f t="shared" si="295"/>
        <v>0</v>
      </c>
      <c r="AM618" s="198">
        <f t="shared" si="295"/>
        <v>0</v>
      </c>
      <c r="AN618" s="198">
        <f t="shared" si="295"/>
        <v>0</v>
      </c>
      <c r="AO618" s="198">
        <f t="shared" si="295"/>
        <v>0</v>
      </c>
      <c r="AP618" s="198">
        <f t="shared" si="295"/>
        <v>0</v>
      </c>
    </row>
    <row r="619" spans="1:42" x14ac:dyDescent="0.4">
      <c r="A619" s="21" t="s">
        <v>233</v>
      </c>
      <c r="B619" s="119">
        <f>B617*B618</f>
        <v>0</v>
      </c>
      <c r="C619" s="119">
        <f>C617*C618</f>
        <v>3728050.4666666668</v>
      </c>
      <c r="D619" s="119">
        <f t="shared" ref="D619:AP619" si="296">D617*D618</f>
        <v>3514581.0997732426</v>
      </c>
      <c r="E619" s="119">
        <f t="shared" si="296"/>
        <v>3313200.5034553502</v>
      </c>
      <c r="F619" s="119">
        <f t="shared" si="296"/>
        <v>3122679.2905283798</v>
      </c>
      <c r="G619" s="119">
        <f t="shared" si="296"/>
        <v>2942345.2636395679</v>
      </c>
      <c r="H619" s="119">
        <f t="shared" si="296"/>
        <v>2771629.200116212</v>
      </c>
      <c r="I619" s="119">
        <f t="shared" si="296"/>
        <v>2610081.6365574524</v>
      </c>
      <c r="J619" s="119">
        <f t="shared" si="296"/>
        <v>2457242.3350079823</v>
      </c>
      <c r="K619" s="119">
        <f t="shared" si="296"/>
        <v>2312646.5869556121</v>
      </c>
      <c r="L619" s="119">
        <f t="shared" si="296"/>
        <v>-246066.54606875431</v>
      </c>
      <c r="M619" s="119">
        <f t="shared" si="296"/>
        <v>787783.89125935314</v>
      </c>
      <c r="N619" s="119">
        <f t="shared" si="296"/>
        <v>731927.87000126042</v>
      </c>
      <c r="O619" s="119">
        <f t="shared" si="296"/>
        <v>679333.76929483039</v>
      </c>
      <c r="P619" s="119">
        <f t="shared" si="296"/>
        <v>629817.63701363991</v>
      </c>
      <c r="Q619" s="119">
        <f t="shared" si="296"/>
        <v>583193.81770852406</v>
      </c>
      <c r="R619" s="119">
        <f t="shared" si="296"/>
        <v>539319.82842757797</v>
      </c>
      <c r="S619" s="119">
        <f t="shared" si="296"/>
        <v>498037.44218866475</v>
      </c>
      <c r="T619" s="119">
        <f t="shared" si="296"/>
        <v>459209.48087138461</v>
      </c>
      <c r="U619" s="119">
        <f t="shared" si="296"/>
        <v>0</v>
      </c>
      <c r="V619" s="119">
        <f t="shared" si="296"/>
        <v>0</v>
      </c>
      <c r="W619" s="119">
        <f t="shared" si="296"/>
        <v>0</v>
      </c>
      <c r="X619" s="119">
        <f t="shared" si="296"/>
        <v>0</v>
      </c>
      <c r="Y619" s="119">
        <f t="shared" si="296"/>
        <v>0</v>
      </c>
      <c r="Z619" s="119">
        <f t="shared" si="296"/>
        <v>0</v>
      </c>
      <c r="AA619" s="119">
        <f t="shared" si="296"/>
        <v>0</v>
      </c>
      <c r="AB619" s="119">
        <f t="shared" si="296"/>
        <v>0</v>
      </c>
      <c r="AC619" s="119">
        <f t="shared" si="296"/>
        <v>0</v>
      </c>
      <c r="AD619" s="119">
        <f t="shared" si="296"/>
        <v>0</v>
      </c>
      <c r="AE619" s="119">
        <f t="shared" si="296"/>
        <v>0</v>
      </c>
      <c r="AF619" s="119">
        <f t="shared" si="296"/>
        <v>0</v>
      </c>
      <c r="AG619" s="119">
        <f t="shared" si="296"/>
        <v>0</v>
      </c>
      <c r="AH619" s="119">
        <f t="shared" si="296"/>
        <v>0</v>
      </c>
      <c r="AI619" s="119">
        <f t="shared" si="296"/>
        <v>0</v>
      </c>
      <c r="AJ619" s="119">
        <f t="shared" si="296"/>
        <v>0</v>
      </c>
      <c r="AK619" s="119">
        <f t="shared" si="296"/>
        <v>0</v>
      </c>
      <c r="AL619" s="119">
        <f t="shared" si="296"/>
        <v>0</v>
      </c>
      <c r="AM619" s="119">
        <f t="shared" si="296"/>
        <v>0</v>
      </c>
      <c r="AN619" s="119">
        <f t="shared" si="296"/>
        <v>0</v>
      </c>
      <c r="AO619" s="119">
        <f t="shared" si="296"/>
        <v>0</v>
      </c>
      <c r="AP619" s="119">
        <f t="shared" si="296"/>
        <v>0</v>
      </c>
    </row>
    <row r="620" spans="1:42" x14ac:dyDescent="0.4">
      <c r="A620" s="21"/>
      <c r="B620" s="119"/>
      <c r="C620" s="119"/>
      <c r="D620" s="119"/>
      <c r="E620" s="119"/>
      <c r="F620" s="119"/>
      <c r="G620" s="119"/>
      <c r="H620" s="119"/>
      <c r="I620" s="119"/>
      <c r="J620" s="119"/>
      <c r="K620" s="119"/>
      <c r="L620" s="119"/>
      <c r="M620" s="119"/>
      <c r="N620" s="119"/>
      <c r="O620" s="119"/>
      <c r="P620" s="119"/>
      <c r="Q620" s="119"/>
      <c r="R620" s="119"/>
      <c r="S620" s="119"/>
      <c r="T620" s="119"/>
      <c r="U620" s="119"/>
      <c r="V620" s="119"/>
      <c r="W620" s="119"/>
      <c r="X620" s="119"/>
      <c r="Y620" s="119"/>
      <c r="Z620" s="119"/>
      <c r="AA620" s="119"/>
      <c r="AB620" s="119"/>
      <c r="AC620" s="119"/>
      <c r="AD620" s="119"/>
      <c r="AE620" s="119"/>
      <c r="AF620" s="119"/>
      <c r="AG620" s="119"/>
      <c r="AH620" s="119"/>
      <c r="AI620" s="119"/>
      <c r="AJ620" s="119"/>
      <c r="AK620" s="119"/>
      <c r="AL620" s="119"/>
      <c r="AM620" s="119"/>
      <c r="AN620" s="119"/>
      <c r="AO620" s="119"/>
      <c r="AP620" s="119"/>
    </row>
    <row r="621" spans="1:42" x14ac:dyDescent="0.4">
      <c r="A621" s="17" t="s">
        <v>227</v>
      </c>
      <c r="B621" s="119"/>
      <c r="C621" s="108"/>
      <c r="D621" s="108"/>
      <c r="E621" s="108"/>
      <c r="F621" s="108"/>
      <c r="G621" s="108"/>
      <c r="H621" s="108"/>
      <c r="I621" s="108"/>
      <c r="J621" s="108"/>
      <c r="K621" s="108"/>
      <c r="L621" s="108"/>
      <c r="M621" s="108"/>
      <c r="N621" s="108"/>
      <c r="O621" s="108"/>
      <c r="P621" s="108"/>
      <c r="Q621" s="108"/>
      <c r="R621" s="108"/>
      <c r="S621" s="108"/>
      <c r="T621" s="108"/>
      <c r="U621" s="108"/>
      <c r="V621" s="108"/>
      <c r="W621" s="108"/>
      <c r="X621" s="108"/>
      <c r="Y621" s="108"/>
      <c r="Z621" s="108"/>
      <c r="AA621" s="108"/>
      <c r="AB621" s="108"/>
      <c r="AC621" s="108"/>
      <c r="AD621" s="108"/>
      <c r="AE621" s="108"/>
      <c r="AF621" s="108"/>
      <c r="AG621" s="108"/>
      <c r="AH621" s="108"/>
      <c r="AI621" s="108"/>
      <c r="AJ621" s="108"/>
      <c r="AK621" s="108"/>
      <c r="AL621" s="108"/>
      <c r="AM621" s="108"/>
      <c r="AN621" s="108"/>
      <c r="AO621" s="108"/>
      <c r="AP621" s="108"/>
    </row>
    <row r="622" spans="1:42" x14ac:dyDescent="0.4">
      <c r="A622" s="21" t="s">
        <v>254</v>
      </c>
      <c r="B622" s="119">
        <f t="shared" ref="B622:AP622" si="297">IF(DebtServiceCoverageRatio="Calculated","N/A",IF(AND(B$2&lt;=term_tenor,B$2&lt;=analysis_period),IF(B$631=0,0,B$619/B$631),0))</f>
        <v>0</v>
      </c>
      <c r="C622" s="119">
        <f t="shared" si="297"/>
        <v>2625387.6525821597</v>
      </c>
      <c r="D622" s="119">
        <f t="shared" si="297"/>
        <v>2475057.1125163683</v>
      </c>
      <c r="E622" s="119">
        <f t="shared" si="297"/>
        <v>2333239.7911657398</v>
      </c>
      <c r="F622" s="119">
        <f t="shared" si="297"/>
        <v>2199069.9229073101</v>
      </c>
      <c r="G622" s="119">
        <f t="shared" si="297"/>
        <v>2072074.1293236394</v>
      </c>
      <c r="H622" s="119">
        <f t="shared" si="297"/>
        <v>1951851.5493776142</v>
      </c>
      <c r="I622" s="119">
        <f t="shared" si="297"/>
        <v>1838085.6595475017</v>
      </c>
      <c r="J622" s="119">
        <f t="shared" si="297"/>
        <v>1730452.3485971708</v>
      </c>
      <c r="K622" s="119">
        <f t="shared" si="297"/>
        <v>1628624.3570109946</v>
      </c>
      <c r="L622" s="119">
        <f t="shared" si="297"/>
        <v>-173286.30004841855</v>
      </c>
      <c r="M622" s="119">
        <f t="shared" si="297"/>
        <v>554777.38821081212</v>
      </c>
      <c r="N622" s="119">
        <f t="shared" si="297"/>
        <v>515442.16197271866</v>
      </c>
      <c r="O622" s="119">
        <f t="shared" si="297"/>
        <v>478404.06288368342</v>
      </c>
      <c r="P622" s="119">
        <f t="shared" si="297"/>
        <v>443533.54719270417</v>
      </c>
      <c r="Q622" s="119">
        <f t="shared" si="297"/>
        <v>410699.87162572116</v>
      </c>
      <c r="R622" s="119">
        <f t="shared" si="297"/>
        <v>379802.69607575913</v>
      </c>
      <c r="S622" s="119">
        <f t="shared" si="297"/>
        <v>350730.59309060901</v>
      </c>
      <c r="T622" s="119">
        <f t="shared" si="297"/>
        <v>323386.95836013003</v>
      </c>
      <c r="U622" s="119">
        <f t="shared" si="297"/>
        <v>0</v>
      </c>
      <c r="V622" s="119">
        <f t="shared" si="297"/>
        <v>0</v>
      </c>
      <c r="W622" s="119">
        <f t="shared" si="297"/>
        <v>0</v>
      </c>
      <c r="X622" s="119">
        <f t="shared" si="297"/>
        <v>0</v>
      </c>
      <c r="Y622" s="119">
        <f t="shared" si="297"/>
        <v>0</v>
      </c>
      <c r="Z622" s="119">
        <f t="shared" si="297"/>
        <v>0</v>
      </c>
      <c r="AA622" s="119">
        <f t="shared" si="297"/>
        <v>0</v>
      </c>
      <c r="AB622" s="119">
        <f t="shared" si="297"/>
        <v>0</v>
      </c>
      <c r="AC622" s="119">
        <f t="shared" si="297"/>
        <v>0</v>
      </c>
      <c r="AD622" s="119">
        <f t="shared" si="297"/>
        <v>0</v>
      </c>
      <c r="AE622" s="119">
        <f t="shared" si="297"/>
        <v>0</v>
      </c>
      <c r="AF622" s="119">
        <f t="shared" si="297"/>
        <v>0</v>
      </c>
      <c r="AG622" s="119">
        <f t="shared" si="297"/>
        <v>0</v>
      </c>
      <c r="AH622" s="119">
        <f t="shared" si="297"/>
        <v>0</v>
      </c>
      <c r="AI622" s="119">
        <f t="shared" si="297"/>
        <v>0</v>
      </c>
      <c r="AJ622" s="119">
        <f t="shared" si="297"/>
        <v>0</v>
      </c>
      <c r="AK622" s="119">
        <f t="shared" si="297"/>
        <v>0</v>
      </c>
      <c r="AL622" s="119">
        <f t="shared" si="297"/>
        <v>0</v>
      </c>
      <c r="AM622" s="119">
        <f t="shared" si="297"/>
        <v>0</v>
      </c>
      <c r="AN622" s="119">
        <f t="shared" si="297"/>
        <v>0</v>
      </c>
      <c r="AO622" s="119">
        <f t="shared" si="297"/>
        <v>0</v>
      </c>
      <c r="AP622" s="119">
        <f t="shared" si="297"/>
        <v>0</v>
      </c>
    </row>
    <row r="623" spans="1:42" x14ac:dyDescent="0.4">
      <c r="A623" s="87" t="s">
        <v>358</v>
      </c>
      <c r="B623" s="119">
        <f>IF(dscr_limit_debt_fraction="Yes",B$619/$B$632,B$622)</f>
        <v>0</v>
      </c>
      <c r="C623" s="119">
        <f t="shared" ref="C623:AP623" si="298">IF(dscr_limit_debt_fraction="Yes",C$619/$B$632,C$622)</f>
        <v>2956851.1549428562</v>
      </c>
      <c r="D623" s="119">
        <f t="shared" si="298"/>
        <v>2787540.9082905059</v>
      </c>
      <c r="E623" s="119">
        <f t="shared" si="298"/>
        <v>2627818.7011665106</v>
      </c>
      <c r="F623" s="119">
        <f t="shared" si="298"/>
        <v>2476709.4622972407</v>
      </c>
      <c r="G623" s="119">
        <f t="shared" si="298"/>
        <v>2333680.047741476</v>
      </c>
      <c r="H623" s="119">
        <f t="shared" si="298"/>
        <v>2198278.9864871548</v>
      </c>
      <c r="I623" s="119">
        <f t="shared" si="298"/>
        <v>2070149.7929159049</v>
      </c>
      <c r="J623" s="119">
        <f t="shared" si="298"/>
        <v>1948927.4357219895</v>
      </c>
      <c r="K623" s="119">
        <f t="shared" si="298"/>
        <v>1834243.3378399247</v>
      </c>
      <c r="L623" s="119">
        <f t="shared" si="298"/>
        <v>-195164.244004117</v>
      </c>
      <c r="M623" s="119">
        <f t="shared" si="298"/>
        <v>624819.78973807406</v>
      </c>
      <c r="N623" s="119">
        <f t="shared" si="298"/>
        <v>580518.36666340858</v>
      </c>
      <c r="O623" s="119">
        <f t="shared" si="298"/>
        <v>538804.09031241375</v>
      </c>
      <c r="P623" s="119">
        <f t="shared" si="298"/>
        <v>499531.06162542512</v>
      </c>
      <c r="Q623" s="119">
        <f t="shared" si="298"/>
        <v>462552.03057613724</v>
      </c>
      <c r="R623" s="119">
        <f t="shared" si="298"/>
        <v>427753.98880142131</v>
      </c>
      <c r="S623" s="119">
        <f t="shared" si="298"/>
        <v>395011.44078047958</v>
      </c>
      <c r="T623" s="119">
        <f t="shared" si="298"/>
        <v>364215.5856031946</v>
      </c>
      <c r="U623" s="119">
        <f t="shared" si="298"/>
        <v>0</v>
      </c>
      <c r="V623" s="119">
        <f t="shared" si="298"/>
        <v>0</v>
      </c>
      <c r="W623" s="119">
        <f t="shared" si="298"/>
        <v>0</v>
      </c>
      <c r="X623" s="119">
        <f t="shared" si="298"/>
        <v>0</v>
      </c>
      <c r="Y623" s="119">
        <f t="shared" si="298"/>
        <v>0</v>
      </c>
      <c r="Z623" s="119">
        <f t="shared" si="298"/>
        <v>0</v>
      </c>
      <c r="AA623" s="119">
        <f t="shared" si="298"/>
        <v>0</v>
      </c>
      <c r="AB623" s="119">
        <f t="shared" si="298"/>
        <v>0</v>
      </c>
      <c r="AC623" s="119">
        <f t="shared" si="298"/>
        <v>0</v>
      </c>
      <c r="AD623" s="119">
        <f t="shared" si="298"/>
        <v>0</v>
      </c>
      <c r="AE623" s="119">
        <f t="shared" si="298"/>
        <v>0</v>
      </c>
      <c r="AF623" s="119">
        <f t="shared" si="298"/>
        <v>0</v>
      </c>
      <c r="AG623" s="119">
        <f t="shared" si="298"/>
        <v>0</v>
      </c>
      <c r="AH623" s="119">
        <f t="shared" si="298"/>
        <v>0</v>
      </c>
      <c r="AI623" s="119">
        <f t="shared" si="298"/>
        <v>0</v>
      </c>
      <c r="AJ623" s="119">
        <f t="shared" si="298"/>
        <v>0</v>
      </c>
      <c r="AK623" s="119">
        <f t="shared" si="298"/>
        <v>0</v>
      </c>
      <c r="AL623" s="119">
        <f t="shared" si="298"/>
        <v>0</v>
      </c>
      <c r="AM623" s="119">
        <f t="shared" si="298"/>
        <v>0</v>
      </c>
      <c r="AN623" s="119">
        <f t="shared" si="298"/>
        <v>0</v>
      </c>
      <c r="AO623" s="119">
        <f t="shared" si="298"/>
        <v>0</v>
      </c>
      <c r="AP623" s="119">
        <f t="shared" si="298"/>
        <v>0</v>
      </c>
    </row>
    <row r="624" spans="1:42" x14ac:dyDescent="0.4">
      <c r="A624" s="21" t="s">
        <v>191</v>
      </c>
      <c r="B624" s="175">
        <f>IF(MortgageSizeOfDebt="N/A",IF(dscr_limit_debt_fraction="Yes",SUM(B623:AP623),SUM(B622:AP622)),MortgageSizeOfDebt)</f>
        <v>24932241.9375</v>
      </c>
      <c r="C624" s="119"/>
      <c r="D624" s="119"/>
      <c r="E624" s="119"/>
      <c r="F624" s="119"/>
      <c r="G624" s="119"/>
      <c r="H624" s="119"/>
      <c r="I624" s="119"/>
      <c r="J624" s="119"/>
      <c r="K624" s="119"/>
      <c r="L624" s="119"/>
      <c r="M624" s="119"/>
      <c r="N624" s="119"/>
      <c r="O624" s="119"/>
      <c r="P624" s="119"/>
      <c r="Q624" s="119"/>
      <c r="R624" s="119"/>
      <c r="S624" s="119"/>
      <c r="T624" s="119"/>
      <c r="U624" s="119"/>
      <c r="V624" s="119"/>
      <c r="W624" s="119"/>
      <c r="X624" s="119"/>
      <c r="Y624" s="119"/>
      <c r="Z624" s="119"/>
      <c r="AA624" s="119"/>
      <c r="AB624" s="119"/>
      <c r="AC624" s="119"/>
      <c r="AD624" s="119"/>
      <c r="AE624" s="119"/>
      <c r="AF624" s="119"/>
      <c r="AG624" s="119"/>
      <c r="AH624" s="119"/>
      <c r="AI624" s="119"/>
      <c r="AJ624" s="119"/>
      <c r="AK624" s="119"/>
      <c r="AL624" s="119"/>
      <c r="AM624" s="119"/>
      <c r="AN624" s="119"/>
      <c r="AO624" s="119"/>
      <c r="AP624" s="119"/>
    </row>
    <row r="625" spans="1:42" x14ac:dyDescent="0.4">
      <c r="A625" s="17"/>
      <c r="B625" s="119"/>
      <c r="C625" s="119"/>
      <c r="D625" s="119"/>
      <c r="E625" s="119"/>
      <c r="F625" s="119"/>
      <c r="G625" s="119"/>
      <c r="H625" s="119"/>
      <c r="I625" s="119"/>
      <c r="J625" s="119"/>
      <c r="K625" s="119"/>
      <c r="L625" s="119"/>
      <c r="M625" s="119"/>
      <c r="N625" s="119"/>
      <c r="O625" s="119"/>
      <c r="P625" s="119"/>
      <c r="Q625" s="119"/>
      <c r="R625" s="119"/>
      <c r="S625" s="119"/>
      <c r="T625" s="119"/>
      <c r="U625" s="119"/>
      <c r="V625" s="119"/>
      <c r="W625" s="119"/>
      <c r="X625" s="119"/>
      <c r="Y625" s="119"/>
      <c r="Z625" s="119"/>
      <c r="AA625" s="119"/>
      <c r="AB625" s="119"/>
      <c r="AC625" s="119"/>
      <c r="AD625" s="119"/>
      <c r="AE625" s="119"/>
      <c r="AF625" s="119"/>
      <c r="AG625" s="119"/>
      <c r="AH625" s="119"/>
      <c r="AI625" s="119"/>
      <c r="AJ625" s="119"/>
      <c r="AK625" s="119"/>
      <c r="AL625" s="119"/>
      <c r="AM625" s="119"/>
      <c r="AN625" s="119"/>
      <c r="AO625" s="119"/>
      <c r="AP625" s="119"/>
    </row>
    <row r="626" spans="1:42" x14ac:dyDescent="0.4">
      <c r="A626" s="17" t="s">
        <v>255</v>
      </c>
      <c r="C626" s="119"/>
      <c r="D626" s="119"/>
      <c r="E626" s="119"/>
      <c r="F626" s="119"/>
      <c r="G626" s="119"/>
      <c r="H626" s="119"/>
      <c r="I626" s="119"/>
      <c r="J626" s="119"/>
      <c r="K626" s="119"/>
      <c r="L626" s="119"/>
      <c r="M626" s="119"/>
      <c r="N626" s="119"/>
      <c r="O626" s="119"/>
      <c r="P626" s="119"/>
      <c r="Q626" s="119"/>
      <c r="R626" s="119"/>
      <c r="S626" s="119"/>
      <c r="T626" s="119"/>
      <c r="U626" s="119"/>
      <c r="V626" s="119"/>
      <c r="W626" s="119"/>
      <c r="X626" s="119"/>
      <c r="Y626" s="119"/>
      <c r="Z626" s="119"/>
      <c r="AA626" s="119"/>
      <c r="AB626" s="119"/>
      <c r="AC626" s="119"/>
      <c r="AD626" s="119"/>
      <c r="AE626" s="119"/>
      <c r="AF626" s="119"/>
      <c r="AG626" s="119"/>
      <c r="AH626" s="119"/>
      <c r="AI626" s="119"/>
      <c r="AJ626" s="119"/>
      <c r="AK626" s="119"/>
      <c r="AL626" s="119"/>
      <c r="AM626" s="119"/>
      <c r="AN626" s="119"/>
      <c r="AO626" s="119"/>
      <c r="AP626" s="119"/>
    </row>
    <row r="627" spans="1:42" x14ac:dyDescent="0.4">
      <c r="A627" s="21" t="s">
        <v>256</v>
      </c>
      <c r="B627" s="119"/>
      <c r="C627" s="119">
        <f t="shared" ref="C627:AP627" si="299">IF(C$2&gt;term_tenor,0,IF(DebtPercent="Calculated",IF(C$632=0,0,C$617/C$632),"N/A"))</f>
        <v>3104693.712689999</v>
      </c>
      <c r="D627" s="119">
        <f t="shared" si="299"/>
        <v>3073263.8513902831</v>
      </c>
      <c r="E627" s="119">
        <f t="shared" si="299"/>
        <v>3042028.623937882</v>
      </c>
      <c r="F627" s="119">
        <f t="shared" si="299"/>
        <v>3010455.8308564364</v>
      </c>
      <c r="G627" s="119">
        <f t="shared" si="299"/>
        <v>2978432.8177065663</v>
      </c>
      <c r="H627" s="119">
        <f t="shared" si="299"/>
        <v>2945904.0866689808</v>
      </c>
      <c r="I627" s="119">
        <f t="shared" si="299"/>
        <v>2912908.6485737194</v>
      </c>
      <c r="J627" s="119">
        <f t="shared" si="299"/>
        <v>2879453.4494573129</v>
      </c>
      <c r="K627" s="119">
        <f t="shared" si="299"/>
        <v>2845513.4449616894</v>
      </c>
      <c r="L627" s="119">
        <f t="shared" si="299"/>
        <v>-317901.98839738785</v>
      </c>
      <c r="M627" s="119">
        <f t="shared" si="299"/>
        <v>1068653.8781189881</v>
      </c>
      <c r="N627" s="119">
        <f t="shared" si="299"/>
        <v>1042527.5811445167</v>
      </c>
      <c r="O627" s="119">
        <f t="shared" si="299"/>
        <v>1015995.470777855</v>
      </c>
      <c r="P627" s="119">
        <f t="shared" si="299"/>
        <v>989037.33381368895</v>
      </c>
      <c r="Q627" s="119">
        <f t="shared" si="299"/>
        <v>961612.45080868085</v>
      </c>
      <c r="R627" s="119">
        <f t="shared" si="299"/>
        <v>933733.31223363429</v>
      </c>
      <c r="S627" s="119">
        <f t="shared" si="299"/>
        <v>905373.45800983766</v>
      </c>
      <c r="T627" s="119">
        <f t="shared" si="299"/>
        <v>876528.23352271039</v>
      </c>
      <c r="U627" s="119">
        <f t="shared" si="299"/>
        <v>0</v>
      </c>
      <c r="V627" s="119">
        <f t="shared" si="299"/>
        <v>0</v>
      </c>
      <c r="W627" s="119">
        <f t="shared" si="299"/>
        <v>0</v>
      </c>
      <c r="X627" s="119">
        <f t="shared" si="299"/>
        <v>0</v>
      </c>
      <c r="Y627" s="119">
        <f t="shared" si="299"/>
        <v>0</v>
      </c>
      <c r="Z627" s="119">
        <f t="shared" si="299"/>
        <v>0</v>
      </c>
      <c r="AA627" s="119">
        <f t="shared" si="299"/>
        <v>0</v>
      </c>
      <c r="AB627" s="119">
        <f t="shared" si="299"/>
        <v>0</v>
      </c>
      <c r="AC627" s="119">
        <f t="shared" si="299"/>
        <v>0</v>
      </c>
      <c r="AD627" s="119">
        <f t="shared" si="299"/>
        <v>0</v>
      </c>
      <c r="AE627" s="119">
        <f t="shared" si="299"/>
        <v>0</v>
      </c>
      <c r="AF627" s="119">
        <f t="shared" si="299"/>
        <v>0</v>
      </c>
      <c r="AG627" s="119">
        <f t="shared" si="299"/>
        <v>0</v>
      </c>
      <c r="AH627" s="119">
        <f t="shared" si="299"/>
        <v>0</v>
      </c>
      <c r="AI627" s="119">
        <f t="shared" si="299"/>
        <v>0</v>
      </c>
      <c r="AJ627" s="119">
        <f t="shared" si="299"/>
        <v>0</v>
      </c>
      <c r="AK627" s="119">
        <f t="shared" si="299"/>
        <v>0</v>
      </c>
      <c r="AL627" s="119">
        <f t="shared" si="299"/>
        <v>0</v>
      </c>
      <c r="AM627" s="119">
        <f t="shared" si="299"/>
        <v>0</v>
      </c>
      <c r="AN627" s="119">
        <f t="shared" si="299"/>
        <v>0</v>
      </c>
      <c r="AO627" s="119">
        <f t="shared" si="299"/>
        <v>0</v>
      </c>
      <c r="AP627" s="119">
        <f t="shared" si="299"/>
        <v>0</v>
      </c>
    </row>
    <row r="628" spans="1:42" x14ac:dyDescent="0.4">
      <c r="A628" s="21" t="s">
        <v>257</v>
      </c>
      <c r="B628" s="119"/>
      <c r="C628" s="119" t="str">
        <f t="shared" ref="C628:AP628" si="300">IF(C$2&gt;term_tenor,0,IF(DebtPayment="Fixed principal","N/A",IF(DebtPercent="Calculated","N/A",IF(C$2&lt;loan_moratorium,C$610,IF(AND(C$2&lt;=term_tenor,C$2&lt;=analysis_period),-PMT(term_int_rate/100,term_tenor-loan_moratorium,$B$624),0)))))</f>
        <v>N/A</v>
      </c>
      <c r="D628" s="119" t="str">
        <f t="shared" si="300"/>
        <v>N/A</v>
      </c>
      <c r="E628" s="119" t="str">
        <f t="shared" si="300"/>
        <v>N/A</v>
      </c>
      <c r="F628" s="119" t="str">
        <f t="shared" si="300"/>
        <v>N/A</v>
      </c>
      <c r="G628" s="119" t="str">
        <f t="shared" si="300"/>
        <v>N/A</v>
      </c>
      <c r="H628" s="119" t="str">
        <f t="shared" si="300"/>
        <v>N/A</v>
      </c>
      <c r="I628" s="119" t="str">
        <f t="shared" si="300"/>
        <v>N/A</v>
      </c>
      <c r="J628" s="119" t="str">
        <f t="shared" si="300"/>
        <v>N/A</v>
      </c>
      <c r="K628" s="119" t="str">
        <f t="shared" si="300"/>
        <v>N/A</v>
      </c>
      <c r="L628" s="119" t="str">
        <f t="shared" si="300"/>
        <v>N/A</v>
      </c>
      <c r="M628" s="119" t="str">
        <f t="shared" si="300"/>
        <v>N/A</v>
      </c>
      <c r="N628" s="119" t="str">
        <f t="shared" si="300"/>
        <v>N/A</v>
      </c>
      <c r="O628" s="119" t="str">
        <f t="shared" si="300"/>
        <v>N/A</v>
      </c>
      <c r="P628" s="119" t="str">
        <f t="shared" si="300"/>
        <v>N/A</v>
      </c>
      <c r="Q628" s="119" t="str">
        <f t="shared" si="300"/>
        <v>N/A</v>
      </c>
      <c r="R628" s="119" t="str">
        <f t="shared" si="300"/>
        <v>N/A</v>
      </c>
      <c r="S628" s="119" t="str">
        <f t="shared" si="300"/>
        <v>N/A</v>
      </c>
      <c r="T628" s="119" t="str">
        <f t="shared" si="300"/>
        <v>N/A</v>
      </c>
      <c r="U628" s="119">
        <f t="shared" si="300"/>
        <v>0</v>
      </c>
      <c r="V628" s="119">
        <f t="shared" si="300"/>
        <v>0</v>
      </c>
      <c r="W628" s="119">
        <f t="shared" si="300"/>
        <v>0</v>
      </c>
      <c r="X628" s="119">
        <f t="shared" si="300"/>
        <v>0</v>
      </c>
      <c r="Y628" s="119">
        <f t="shared" si="300"/>
        <v>0</v>
      </c>
      <c r="Z628" s="119">
        <f t="shared" si="300"/>
        <v>0</v>
      </c>
      <c r="AA628" s="119">
        <f t="shared" si="300"/>
        <v>0</v>
      </c>
      <c r="AB628" s="119">
        <f t="shared" si="300"/>
        <v>0</v>
      </c>
      <c r="AC628" s="119">
        <f t="shared" si="300"/>
        <v>0</v>
      </c>
      <c r="AD628" s="119">
        <f t="shared" si="300"/>
        <v>0</v>
      </c>
      <c r="AE628" s="119">
        <f t="shared" si="300"/>
        <v>0</v>
      </c>
      <c r="AF628" s="119">
        <f t="shared" si="300"/>
        <v>0</v>
      </c>
      <c r="AG628" s="119">
        <f t="shared" si="300"/>
        <v>0</v>
      </c>
      <c r="AH628" s="119">
        <f t="shared" si="300"/>
        <v>0</v>
      </c>
      <c r="AI628" s="119">
        <f t="shared" si="300"/>
        <v>0</v>
      </c>
      <c r="AJ628" s="119">
        <f t="shared" si="300"/>
        <v>0</v>
      </c>
      <c r="AK628" s="119">
        <f t="shared" si="300"/>
        <v>0</v>
      </c>
      <c r="AL628" s="119">
        <f t="shared" si="300"/>
        <v>0</v>
      </c>
      <c r="AM628" s="119">
        <f t="shared" si="300"/>
        <v>0</v>
      </c>
      <c r="AN628" s="119">
        <f t="shared" si="300"/>
        <v>0</v>
      </c>
      <c r="AO628" s="119">
        <f t="shared" si="300"/>
        <v>0</v>
      </c>
      <c r="AP628" s="119">
        <f t="shared" si="300"/>
        <v>0</v>
      </c>
    </row>
    <row r="629" spans="1:42" x14ac:dyDescent="0.4">
      <c r="A629" s="21" t="s">
        <v>258</v>
      </c>
      <c r="B629" s="119"/>
      <c r="C629" s="119" t="str">
        <f t="shared" ref="C629:AP629" si="301">IF(C$2&gt;term_tenor,0,IF(DebtPayment="Equal Payments","N/A",IF(DebtPercent="Calculated","N/A",IF(C$2&lt;=loan_moratorium,0,$B$624/(term_tenor-loan_moratorium)))))</f>
        <v>N/A</v>
      </c>
      <c r="D629" s="119" t="str">
        <f t="shared" si="301"/>
        <v>N/A</v>
      </c>
      <c r="E629" s="119" t="str">
        <f t="shared" si="301"/>
        <v>N/A</v>
      </c>
      <c r="F629" s="119" t="str">
        <f t="shared" si="301"/>
        <v>N/A</v>
      </c>
      <c r="G629" s="119" t="str">
        <f t="shared" si="301"/>
        <v>N/A</v>
      </c>
      <c r="H629" s="119" t="str">
        <f t="shared" si="301"/>
        <v>N/A</v>
      </c>
      <c r="I629" s="119" t="str">
        <f t="shared" si="301"/>
        <v>N/A</v>
      </c>
      <c r="J629" s="119" t="str">
        <f t="shared" si="301"/>
        <v>N/A</v>
      </c>
      <c r="K629" s="119" t="str">
        <f t="shared" si="301"/>
        <v>N/A</v>
      </c>
      <c r="L629" s="119" t="str">
        <f t="shared" si="301"/>
        <v>N/A</v>
      </c>
      <c r="M629" s="119" t="str">
        <f t="shared" si="301"/>
        <v>N/A</v>
      </c>
      <c r="N629" s="119" t="str">
        <f t="shared" si="301"/>
        <v>N/A</v>
      </c>
      <c r="O629" s="119" t="str">
        <f t="shared" si="301"/>
        <v>N/A</v>
      </c>
      <c r="P629" s="119" t="str">
        <f t="shared" si="301"/>
        <v>N/A</v>
      </c>
      <c r="Q629" s="119" t="str">
        <f t="shared" si="301"/>
        <v>N/A</v>
      </c>
      <c r="R629" s="119" t="str">
        <f t="shared" si="301"/>
        <v>N/A</v>
      </c>
      <c r="S629" s="119" t="str">
        <f t="shared" si="301"/>
        <v>N/A</v>
      </c>
      <c r="T629" s="119" t="str">
        <f t="shared" si="301"/>
        <v>N/A</v>
      </c>
      <c r="U629" s="119">
        <f t="shared" si="301"/>
        <v>0</v>
      </c>
      <c r="V629" s="119">
        <f t="shared" si="301"/>
        <v>0</v>
      </c>
      <c r="W629" s="119">
        <f t="shared" si="301"/>
        <v>0</v>
      </c>
      <c r="X629" s="119">
        <f t="shared" si="301"/>
        <v>0</v>
      </c>
      <c r="Y629" s="119">
        <f t="shared" si="301"/>
        <v>0</v>
      </c>
      <c r="Z629" s="119">
        <f t="shared" si="301"/>
        <v>0</v>
      </c>
      <c r="AA629" s="119">
        <f t="shared" si="301"/>
        <v>0</v>
      </c>
      <c r="AB629" s="119">
        <f t="shared" si="301"/>
        <v>0</v>
      </c>
      <c r="AC629" s="119">
        <f t="shared" si="301"/>
        <v>0</v>
      </c>
      <c r="AD629" s="119">
        <f t="shared" si="301"/>
        <v>0</v>
      </c>
      <c r="AE629" s="119">
        <f t="shared" si="301"/>
        <v>0</v>
      </c>
      <c r="AF629" s="119">
        <f t="shared" si="301"/>
        <v>0</v>
      </c>
      <c r="AG629" s="119">
        <f t="shared" si="301"/>
        <v>0</v>
      </c>
      <c r="AH629" s="119">
        <f t="shared" si="301"/>
        <v>0</v>
      </c>
      <c r="AI629" s="119">
        <f t="shared" si="301"/>
        <v>0</v>
      </c>
      <c r="AJ629" s="119">
        <f t="shared" si="301"/>
        <v>0</v>
      </c>
      <c r="AK629" s="119">
        <f t="shared" si="301"/>
        <v>0</v>
      </c>
      <c r="AL629" s="119">
        <f t="shared" si="301"/>
        <v>0</v>
      </c>
      <c r="AM629" s="119">
        <f t="shared" si="301"/>
        <v>0</v>
      </c>
      <c r="AN629" s="119">
        <f t="shared" si="301"/>
        <v>0</v>
      </c>
      <c r="AO629" s="119">
        <f t="shared" si="301"/>
        <v>0</v>
      </c>
      <c r="AP629" s="119">
        <f t="shared" si="301"/>
        <v>0</v>
      </c>
    </row>
    <row r="630" spans="1:42" x14ac:dyDescent="0.4">
      <c r="A630" s="21"/>
      <c r="B630" s="119"/>
      <c r="C630" s="119"/>
      <c r="D630" s="119"/>
      <c r="E630" s="119"/>
      <c r="F630" s="119"/>
      <c r="G630" s="119"/>
      <c r="H630" s="119"/>
      <c r="I630" s="119"/>
      <c r="J630" s="119"/>
      <c r="K630" s="119"/>
      <c r="L630" s="119"/>
      <c r="M630" s="119"/>
      <c r="N630" s="119"/>
      <c r="O630" s="119"/>
      <c r="P630" s="119"/>
      <c r="Q630" s="119"/>
      <c r="R630" s="119"/>
      <c r="S630" s="119"/>
      <c r="T630" s="119"/>
      <c r="U630" s="119"/>
      <c r="V630" s="119"/>
      <c r="W630" s="119"/>
      <c r="X630" s="119"/>
      <c r="Y630" s="119"/>
      <c r="Z630" s="119"/>
      <c r="AA630" s="119"/>
      <c r="AB630" s="119"/>
      <c r="AC630" s="119"/>
      <c r="AD630" s="119"/>
      <c r="AE630" s="119"/>
      <c r="AF630" s="119"/>
      <c r="AG630" s="119"/>
      <c r="AH630" s="119"/>
      <c r="AI630" s="119"/>
      <c r="AJ630" s="119"/>
      <c r="AK630" s="119"/>
      <c r="AL630" s="119"/>
      <c r="AM630" s="119"/>
      <c r="AN630" s="119"/>
      <c r="AO630" s="119"/>
      <c r="AP630" s="119"/>
    </row>
    <row r="631" spans="1:42" x14ac:dyDescent="0.4">
      <c r="A631" s="17" t="s">
        <v>225</v>
      </c>
      <c r="B631" s="106">
        <f>MIN(C631:AP631)</f>
        <v>1.42</v>
      </c>
      <c r="C631" s="108">
        <f t="shared" ref="C631:AP631" si="302">IF(DebtServiceCoverageRatio="Calculated",IF(AND(C$2&lt;=term_tenor,C$2&lt;=analysis_period),C$617/C$609,"N/A"),IF(AND(C$2&lt;=term_tenor,C$2&lt;=analysis_period),DebtServiceCoverageRatio,"N/A"))</f>
        <v>1.42</v>
      </c>
      <c r="D631" s="108">
        <f t="shared" si="302"/>
        <v>1.42</v>
      </c>
      <c r="E631" s="108">
        <f t="shared" si="302"/>
        <v>1.42</v>
      </c>
      <c r="F631" s="108">
        <f t="shared" si="302"/>
        <v>1.42</v>
      </c>
      <c r="G631" s="108">
        <f t="shared" si="302"/>
        <v>1.42</v>
      </c>
      <c r="H631" s="108">
        <f t="shared" si="302"/>
        <v>1.42</v>
      </c>
      <c r="I631" s="108">
        <f t="shared" si="302"/>
        <v>1.42</v>
      </c>
      <c r="J631" s="108">
        <f t="shared" si="302"/>
        <v>1.42</v>
      </c>
      <c r="K631" s="108">
        <f t="shared" si="302"/>
        <v>1.42</v>
      </c>
      <c r="L631" s="108">
        <f t="shared" si="302"/>
        <v>1.42</v>
      </c>
      <c r="M631" s="108">
        <f t="shared" si="302"/>
        <v>1.42</v>
      </c>
      <c r="N631" s="108">
        <f t="shared" si="302"/>
        <v>1.42</v>
      </c>
      <c r="O631" s="108">
        <f t="shared" si="302"/>
        <v>1.42</v>
      </c>
      <c r="P631" s="108">
        <f t="shared" si="302"/>
        <v>1.42</v>
      </c>
      <c r="Q631" s="108">
        <f t="shared" si="302"/>
        <v>1.42</v>
      </c>
      <c r="R631" s="108">
        <f t="shared" si="302"/>
        <v>1.42</v>
      </c>
      <c r="S631" s="108">
        <f t="shared" si="302"/>
        <v>1.42</v>
      </c>
      <c r="T631" s="108">
        <f t="shared" si="302"/>
        <v>1.42</v>
      </c>
      <c r="U631" s="108" t="str">
        <f t="shared" si="302"/>
        <v>N/A</v>
      </c>
      <c r="V631" s="108" t="str">
        <f t="shared" si="302"/>
        <v>N/A</v>
      </c>
      <c r="W631" s="108" t="str">
        <f t="shared" si="302"/>
        <v>N/A</v>
      </c>
      <c r="X631" s="108" t="str">
        <f t="shared" si="302"/>
        <v>N/A</v>
      </c>
      <c r="Y631" s="108" t="str">
        <f t="shared" si="302"/>
        <v>N/A</v>
      </c>
      <c r="Z631" s="108" t="str">
        <f t="shared" si="302"/>
        <v>N/A</v>
      </c>
      <c r="AA631" s="108" t="str">
        <f t="shared" si="302"/>
        <v>N/A</v>
      </c>
      <c r="AB631" s="108" t="str">
        <f t="shared" si="302"/>
        <v>N/A</v>
      </c>
      <c r="AC631" s="108" t="str">
        <f t="shared" si="302"/>
        <v>N/A</v>
      </c>
      <c r="AD631" s="108" t="str">
        <f t="shared" si="302"/>
        <v>N/A</v>
      </c>
      <c r="AE631" s="108" t="str">
        <f t="shared" si="302"/>
        <v>N/A</v>
      </c>
      <c r="AF631" s="108" t="str">
        <f t="shared" si="302"/>
        <v>N/A</v>
      </c>
      <c r="AG631" s="108" t="str">
        <f t="shared" si="302"/>
        <v>N/A</v>
      </c>
      <c r="AH631" s="108" t="str">
        <f t="shared" si="302"/>
        <v>N/A</v>
      </c>
      <c r="AI631" s="108" t="str">
        <f t="shared" si="302"/>
        <v>N/A</v>
      </c>
      <c r="AJ631" s="108" t="str">
        <f t="shared" si="302"/>
        <v>N/A</v>
      </c>
      <c r="AK631" s="108" t="str">
        <f t="shared" si="302"/>
        <v>N/A</v>
      </c>
      <c r="AL631" s="108" t="str">
        <f t="shared" si="302"/>
        <v>N/A</v>
      </c>
      <c r="AM631" s="108" t="str">
        <f t="shared" si="302"/>
        <v>N/A</v>
      </c>
      <c r="AN631" s="108" t="str">
        <f t="shared" si="302"/>
        <v>N/A</v>
      </c>
      <c r="AO631" s="108" t="str">
        <f t="shared" si="302"/>
        <v>N/A</v>
      </c>
      <c r="AP631" s="108" t="str">
        <f t="shared" si="302"/>
        <v>N/A</v>
      </c>
    </row>
    <row r="632" spans="1:42" x14ac:dyDescent="0.4">
      <c r="A632" s="86" t="s">
        <v>358</v>
      </c>
      <c r="B632" s="106">
        <f>IF(dscr_limit_debt_fraction="Yes",SUM(B622:AP622)/(-$B$113*dscr_maximum_debt_fraction/100)*DebtServiceCoverageRatio,B631)</f>
        <v>1.2608177656946398</v>
      </c>
      <c r="C632" s="108">
        <f>IF(dscr_limit_debt_fraction="Yes",$B$632,C$631)</f>
        <v>1.2608177656946398</v>
      </c>
      <c r="D632" s="108">
        <f t="shared" ref="D632:AP632" si="303">IF(dscr_limit_debt_fraction="Yes",$B$632,D$631)</f>
        <v>1.2608177656946398</v>
      </c>
      <c r="E632" s="108">
        <f t="shared" si="303"/>
        <v>1.2608177656946398</v>
      </c>
      <c r="F632" s="108">
        <f t="shared" si="303"/>
        <v>1.2608177656946398</v>
      </c>
      <c r="G632" s="108">
        <f t="shared" si="303"/>
        <v>1.2608177656946398</v>
      </c>
      <c r="H632" s="108">
        <f t="shared" si="303"/>
        <v>1.2608177656946398</v>
      </c>
      <c r="I632" s="108">
        <f t="shared" si="303"/>
        <v>1.2608177656946398</v>
      </c>
      <c r="J632" s="108">
        <f t="shared" si="303"/>
        <v>1.2608177656946398</v>
      </c>
      <c r="K632" s="108">
        <f t="shared" si="303"/>
        <v>1.2608177656946398</v>
      </c>
      <c r="L632" s="108">
        <f t="shared" si="303"/>
        <v>1.2608177656946398</v>
      </c>
      <c r="M632" s="108">
        <f t="shared" si="303"/>
        <v>1.2608177656946398</v>
      </c>
      <c r="N632" s="108">
        <f t="shared" si="303"/>
        <v>1.2608177656946398</v>
      </c>
      <c r="O632" s="108">
        <f t="shared" si="303"/>
        <v>1.2608177656946398</v>
      </c>
      <c r="P632" s="108">
        <f t="shared" si="303"/>
        <v>1.2608177656946398</v>
      </c>
      <c r="Q632" s="108">
        <f t="shared" si="303"/>
        <v>1.2608177656946398</v>
      </c>
      <c r="R632" s="108">
        <f t="shared" si="303"/>
        <v>1.2608177656946398</v>
      </c>
      <c r="S632" s="108">
        <f t="shared" si="303"/>
        <v>1.2608177656946398</v>
      </c>
      <c r="T632" s="108">
        <f t="shared" si="303"/>
        <v>1.2608177656946398</v>
      </c>
      <c r="U632" s="108">
        <f t="shared" si="303"/>
        <v>1.2608177656946398</v>
      </c>
      <c r="V632" s="108">
        <f t="shared" si="303"/>
        <v>1.2608177656946398</v>
      </c>
      <c r="W632" s="108">
        <f t="shared" si="303"/>
        <v>1.2608177656946398</v>
      </c>
      <c r="X632" s="108">
        <f t="shared" si="303"/>
        <v>1.2608177656946398</v>
      </c>
      <c r="Y632" s="108">
        <f t="shared" si="303"/>
        <v>1.2608177656946398</v>
      </c>
      <c r="Z632" s="108">
        <f t="shared" si="303"/>
        <v>1.2608177656946398</v>
      </c>
      <c r="AA632" s="108">
        <f t="shared" si="303"/>
        <v>1.2608177656946398</v>
      </c>
      <c r="AB632" s="108">
        <f t="shared" si="303"/>
        <v>1.2608177656946398</v>
      </c>
      <c r="AC632" s="108">
        <f t="shared" si="303"/>
        <v>1.2608177656946398</v>
      </c>
      <c r="AD632" s="108">
        <f t="shared" si="303"/>
        <v>1.2608177656946398</v>
      </c>
      <c r="AE632" s="108">
        <f t="shared" si="303"/>
        <v>1.2608177656946398</v>
      </c>
      <c r="AF632" s="108">
        <f t="shared" si="303"/>
        <v>1.2608177656946398</v>
      </c>
      <c r="AG632" s="108">
        <f t="shared" si="303"/>
        <v>1.2608177656946398</v>
      </c>
      <c r="AH632" s="108">
        <f t="shared" si="303"/>
        <v>1.2608177656946398</v>
      </c>
      <c r="AI632" s="108">
        <f t="shared" si="303"/>
        <v>1.2608177656946398</v>
      </c>
      <c r="AJ632" s="108">
        <f t="shared" si="303"/>
        <v>1.2608177656946398</v>
      </c>
      <c r="AK632" s="108">
        <f t="shared" si="303"/>
        <v>1.2608177656946398</v>
      </c>
      <c r="AL632" s="108">
        <f t="shared" si="303"/>
        <v>1.2608177656946398</v>
      </c>
      <c r="AM632" s="108">
        <f t="shared" si="303"/>
        <v>1.2608177656946398</v>
      </c>
      <c r="AN632" s="108">
        <f t="shared" si="303"/>
        <v>1.2608177656946398</v>
      </c>
      <c r="AO632" s="108">
        <f t="shared" si="303"/>
        <v>1.2608177656946398</v>
      </c>
      <c r="AP632" s="108">
        <f t="shared" si="303"/>
        <v>1.2608177656946398</v>
      </c>
    </row>
    <row r="633" spans="1:42" x14ac:dyDescent="0.4">
      <c r="A633" s="22"/>
      <c r="B633" s="178"/>
    </row>
    <row r="634" spans="1:42" x14ac:dyDescent="0.4">
      <c r="A634" s="80" t="s">
        <v>51</v>
      </c>
      <c r="B634" s="212"/>
      <c r="C634" s="212"/>
      <c r="D634" s="212"/>
      <c r="E634" s="212"/>
      <c r="F634" s="212"/>
      <c r="G634" s="212"/>
      <c r="H634" s="212"/>
      <c r="I634" s="212"/>
      <c r="J634" s="212"/>
      <c r="K634" s="212"/>
      <c r="L634" s="212"/>
      <c r="M634" s="212"/>
      <c r="N634" s="212"/>
      <c r="O634" s="212"/>
      <c r="P634" s="212"/>
      <c r="Q634" s="212"/>
      <c r="R634" s="212"/>
      <c r="S634" s="212"/>
      <c r="T634" s="212"/>
      <c r="U634" s="212"/>
      <c r="V634" s="212"/>
      <c r="W634" s="212"/>
      <c r="X634" s="212"/>
      <c r="Y634" s="212"/>
      <c r="Z634" s="212"/>
      <c r="AA634" s="212"/>
      <c r="AB634" s="212"/>
      <c r="AC634" s="212"/>
      <c r="AD634" s="212"/>
      <c r="AE634" s="212"/>
      <c r="AF634" s="212"/>
      <c r="AG634" s="212"/>
      <c r="AH634" s="212"/>
      <c r="AI634" s="212"/>
      <c r="AJ634" s="212"/>
      <c r="AK634" s="212"/>
      <c r="AL634" s="212"/>
      <c r="AM634" s="212"/>
      <c r="AN634" s="212"/>
      <c r="AO634" s="212"/>
      <c r="AP634" s="212"/>
    </row>
    <row r="635" spans="1:42" x14ac:dyDescent="0.4">
      <c r="A635" s="19" t="s">
        <v>260</v>
      </c>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row>
    <row r="636" spans="1:42" x14ac:dyDescent="0.4">
      <c r="A636" s="4" t="s">
        <v>261</v>
      </c>
      <c r="B636" s="156">
        <v>0</v>
      </c>
      <c r="C636" s="156">
        <f>B639</f>
        <v>0</v>
      </c>
      <c r="D636" s="156">
        <f t="shared" ref="D636:AP636" si="304">C639</f>
        <v>0</v>
      </c>
      <c r="E636" s="156">
        <f t="shared" si="304"/>
        <v>0</v>
      </c>
      <c r="F636" s="156">
        <f t="shared" si="304"/>
        <v>0</v>
      </c>
      <c r="G636" s="156">
        <f t="shared" si="304"/>
        <v>0</v>
      </c>
      <c r="H636" s="156">
        <f t="shared" si="304"/>
        <v>0</v>
      </c>
      <c r="I636" s="156">
        <f t="shared" si="304"/>
        <v>0</v>
      </c>
      <c r="J636" s="156">
        <f t="shared" si="304"/>
        <v>0</v>
      </c>
      <c r="K636" s="156">
        <f t="shared" si="304"/>
        <v>0</v>
      </c>
      <c r="L636" s="156">
        <f t="shared" si="304"/>
        <v>0</v>
      </c>
      <c r="M636" s="156">
        <f t="shared" si="304"/>
        <v>0</v>
      </c>
      <c r="N636" s="156">
        <f t="shared" si="304"/>
        <v>0</v>
      </c>
      <c r="O636" s="156">
        <f t="shared" si="304"/>
        <v>0</v>
      </c>
      <c r="P636" s="156">
        <f t="shared" si="304"/>
        <v>0</v>
      </c>
      <c r="Q636" s="156">
        <f t="shared" si="304"/>
        <v>0</v>
      </c>
      <c r="R636" s="156">
        <f t="shared" si="304"/>
        <v>0</v>
      </c>
      <c r="S636" s="156">
        <f t="shared" si="304"/>
        <v>0</v>
      </c>
      <c r="T636" s="156">
        <f t="shared" si="304"/>
        <v>0</v>
      </c>
      <c r="U636" s="156">
        <f t="shared" si="304"/>
        <v>0</v>
      </c>
      <c r="V636" s="156">
        <f t="shared" si="304"/>
        <v>0</v>
      </c>
      <c r="W636" s="156">
        <f t="shared" si="304"/>
        <v>0</v>
      </c>
      <c r="X636" s="156">
        <f t="shared" si="304"/>
        <v>0</v>
      </c>
      <c r="Y636" s="156">
        <f t="shared" si="304"/>
        <v>0</v>
      </c>
      <c r="Z636" s="156">
        <f t="shared" si="304"/>
        <v>0</v>
      </c>
      <c r="AA636" s="156">
        <f t="shared" si="304"/>
        <v>0</v>
      </c>
      <c r="AB636" s="156">
        <f t="shared" si="304"/>
        <v>0</v>
      </c>
      <c r="AC636" s="156">
        <f t="shared" si="304"/>
        <v>0</v>
      </c>
      <c r="AD636" s="156">
        <f t="shared" si="304"/>
        <v>0</v>
      </c>
      <c r="AE636" s="156">
        <f t="shared" si="304"/>
        <v>0</v>
      </c>
      <c r="AF636" s="156">
        <f t="shared" si="304"/>
        <v>0</v>
      </c>
      <c r="AG636" s="156">
        <f t="shared" si="304"/>
        <v>0</v>
      </c>
      <c r="AH636" s="156">
        <f t="shared" si="304"/>
        <v>0</v>
      </c>
      <c r="AI636" s="156">
        <f t="shared" si="304"/>
        <v>0</v>
      </c>
      <c r="AJ636" s="156">
        <f t="shared" si="304"/>
        <v>0</v>
      </c>
      <c r="AK636" s="156">
        <f t="shared" si="304"/>
        <v>0</v>
      </c>
      <c r="AL636" s="156">
        <f t="shared" si="304"/>
        <v>0</v>
      </c>
      <c r="AM636" s="156">
        <f t="shared" si="304"/>
        <v>0</v>
      </c>
      <c r="AN636" s="156">
        <f t="shared" si="304"/>
        <v>0</v>
      </c>
      <c r="AO636" s="156">
        <f t="shared" si="304"/>
        <v>0</v>
      </c>
      <c r="AP636" s="156">
        <f t="shared" si="304"/>
        <v>0</v>
      </c>
    </row>
    <row r="637" spans="1:42" x14ac:dyDescent="0.4">
      <c r="A637" s="4" t="s">
        <v>23</v>
      </c>
      <c r="B637" s="156">
        <f t="array" ref="B637:AP637">Inputs!C212:AQ212</f>
        <v>0</v>
      </c>
      <c r="C637" s="156">
        <v>0</v>
      </c>
      <c r="D637" s="156">
        <v>0</v>
      </c>
      <c r="E637" s="156">
        <v>0</v>
      </c>
      <c r="F637" s="156">
        <v>0</v>
      </c>
      <c r="G637" s="156">
        <v>0</v>
      </c>
      <c r="H637" s="156">
        <v>0</v>
      </c>
      <c r="I637" s="156">
        <v>0</v>
      </c>
      <c r="J637" s="156">
        <v>0</v>
      </c>
      <c r="K637" s="156">
        <v>0</v>
      </c>
      <c r="L637" s="156">
        <v>0</v>
      </c>
      <c r="M637" s="156">
        <v>0</v>
      </c>
      <c r="N637" s="156">
        <v>0</v>
      </c>
      <c r="O637" s="156">
        <v>0</v>
      </c>
      <c r="P637" s="156">
        <v>0</v>
      </c>
      <c r="Q637" s="156">
        <v>0</v>
      </c>
      <c r="R637" s="156">
        <v>0</v>
      </c>
      <c r="S637" s="156">
        <v>0</v>
      </c>
      <c r="T637" s="156">
        <v>0</v>
      </c>
      <c r="U637" s="156">
        <v>0</v>
      </c>
      <c r="V637" s="156">
        <v>0</v>
      </c>
      <c r="W637" s="156">
        <v>0</v>
      </c>
      <c r="X637" s="156">
        <v>0</v>
      </c>
      <c r="Y637" s="156">
        <v>0</v>
      </c>
      <c r="Z637" s="156">
        <v>0</v>
      </c>
      <c r="AA637" s="156">
        <v>0</v>
      </c>
      <c r="AB637" s="156">
        <v>0</v>
      </c>
      <c r="AC637" s="156">
        <v>0</v>
      </c>
      <c r="AD637" s="156">
        <v>0</v>
      </c>
      <c r="AE637" s="156">
        <v>0</v>
      </c>
      <c r="AF637" s="156">
        <v>0</v>
      </c>
      <c r="AG637" s="156">
        <v>0</v>
      </c>
      <c r="AH637" s="156">
        <v>0</v>
      </c>
      <c r="AI637" s="156">
        <v>0</v>
      </c>
      <c r="AJ637" s="156">
        <v>0</v>
      </c>
      <c r="AK637" s="156">
        <v>0</v>
      </c>
      <c r="AL637" s="156">
        <v>0</v>
      </c>
      <c r="AM637" s="156">
        <v>0</v>
      </c>
      <c r="AN637" s="156">
        <v>0</v>
      </c>
      <c r="AO637" s="156">
        <v>0</v>
      </c>
      <c r="AP637" s="156">
        <v>0</v>
      </c>
    </row>
    <row r="638" spans="1:42" x14ac:dyDescent="0.4">
      <c r="A638" s="4" t="s">
        <v>262</v>
      </c>
      <c r="B638" s="157">
        <f t="array" ref="B638:AP638">Inputs!C213:AQ213</f>
        <v>0</v>
      </c>
      <c r="C638" s="157">
        <v>0</v>
      </c>
      <c r="D638" s="157">
        <v>0</v>
      </c>
      <c r="E638" s="157">
        <v>0</v>
      </c>
      <c r="F638" s="157">
        <v>0</v>
      </c>
      <c r="G638" s="157">
        <v>0</v>
      </c>
      <c r="H638" s="157">
        <v>0</v>
      </c>
      <c r="I638" s="157">
        <v>0</v>
      </c>
      <c r="J638" s="157">
        <v>0</v>
      </c>
      <c r="K638" s="157">
        <v>0</v>
      </c>
      <c r="L638" s="157">
        <v>0</v>
      </c>
      <c r="M638" s="157">
        <v>0</v>
      </c>
      <c r="N638" s="157">
        <v>0</v>
      </c>
      <c r="O638" s="157">
        <v>0</v>
      </c>
      <c r="P638" s="157">
        <v>0</v>
      </c>
      <c r="Q638" s="157">
        <v>0</v>
      </c>
      <c r="R638" s="157">
        <v>0</v>
      </c>
      <c r="S638" s="157">
        <v>0</v>
      </c>
      <c r="T638" s="157">
        <v>0</v>
      </c>
      <c r="U638" s="157">
        <v>0</v>
      </c>
      <c r="V638" s="157">
        <v>0</v>
      </c>
      <c r="W638" s="157">
        <v>0</v>
      </c>
      <c r="X638" s="157">
        <v>0</v>
      </c>
      <c r="Y638" s="157">
        <v>0</v>
      </c>
      <c r="Z638" s="157">
        <v>0</v>
      </c>
      <c r="AA638" s="157">
        <v>0</v>
      </c>
      <c r="AB638" s="157">
        <v>0</v>
      </c>
      <c r="AC638" s="157">
        <v>0</v>
      </c>
      <c r="AD638" s="157">
        <v>0</v>
      </c>
      <c r="AE638" s="157">
        <v>0</v>
      </c>
      <c r="AF638" s="157">
        <v>0</v>
      </c>
      <c r="AG638" s="157">
        <v>0</v>
      </c>
      <c r="AH638" s="157">
        <v>0</v>
      </c>
      <c r="AI638" s="157">
        <v>0</v>
      </c>
      <c r="AJ638" s="157">
        <v>0</v>
      </c>
      <c r="AK638" s="157">
        <v>0</v>
      </c>
      <c r="AL638" s="157">
        <v>0</v>
      </c>
      <c r="AM638" s="157">
        <v>0</v>
      </c>
      <c r="AN638" s="157">
        <v>0</v>
      </c>
      <c r="AO638" s="157">
        <v>0</v>
      </c>
      <c r="AP638" s="157">
        <v>0</v>
      </c>
    </row>
    <row r="639" spans="1:42" x14ac:dyDescent="0.4">
      <c r="A639" s="4" t="s">
        <v>226</v>
      </c>
      <c r="B639" s="156">
        <f t="array" ref="B639:AP639">Inputs!C214:AQ214</f>
        <v>0</v>
      </c>
      <c r="C639" s="156">
        <v>0</v>
      </c>
      <c r="D639" s="156">
        <v>0</v>
      </c>
      <c r="E639" s="156">
        <v>0</v>
      </c>
      <c r="F639" s="156">
        <v>0</v>
      </c>
      <c r="G639" s="156">
        <v>0</v>
      </c>
      <c r="H639" s="156">
        <v>0</v>
      </c>
      <c r="I639" s="156">
        <v>0</v>
      </c>
      <c r="J639" s="156">
        <v>0</v>
      </c>
      <c r="K639" s="156">
        <v>0</v>
      </c>
      <c r="L639" s="156">
        <v>0</v>
      </c>
      <c r="M639" s="156">
        <v>0</v>
      </c>
      <c r="N639" s="156">
        <v>0</v>
      </c>
      <c r="O639" s="156">
        <v>0</v>
      </c>
      <c r="P639" s="156">
        <v>0</v>
      </c>
      <c r="Q639" s="156">
        <v>0</v>
      </c>
      <c r="R639" s="156">
        <v>0</v>
      </c>
      <c r="S639" s="156">
        <v>0</v>
      </c>
      <c r="T639" s="156">
        <v>0</v>
      </c>
      <c r="U639" s="156">
        <v>0</v>
      </c>
      <c r="V639" s="156">
        <v>0</v>
      </c>
      <c r="W639" s="156">
        <v>0</v>
      </c>
      <c r="X639" s="156">
        <v>0</v>
      </c>
      <c r="Y639" s="156">
        <v>0</v>
      </c>
      <c r="Z639" s="156">
        <v>0</v>
      </c>
      <c r="AA639" s="156">
        <v>0</v>
      </c>
      <c r="AB639" s="156">
        <v>0</v>
      </c>
      <c r="AC639" s="156">
        <v>0</v>
      </c>
      <c r="AD639" s="156">
        <v>0</v>
      </c>
      <c r="AE639" s="156">
        <v>0</v>
      </c>
      <c r="AF639" s="156">
        <v>0</v>
      </c>
      <c r="AG639" s="156">
        <v>0</v>
      </c>
      <c r="AH639" s="156">
        <v>0</v>
      </c>
      <c r="AI639" s="156">
        <v>0</v>
      </c>
      <c r="AJ639" s="156">
        <v>0</v>
      </c>
      <c r="AK639" s="156">
        <v>0</v>
      </c>
      <c r="AL639" s="156">
        <v>0</v>
      </c>
      <c r="AM639" s="156">
        <v>0</v>
      </c>
      <c r="AN639" s="156">
        <v>0</v>
      </c>
      <c r="AO639" s="156">
        <v>0</v>
      </c>
      <c r="AP639" s="156">
        <v>0</v>
      </c>
    </row>
    <row r="640" spans="1:42" x14ac:dyDescent="0.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row>
    <row r="641" spans="1:42" x14ac:dyDescent="0.4">
      <c r="A641" s="19" t="s">
        <v>259</v>
      </c>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row>
    <row r="642" spans="1:42" x14ac:dyDescent="0.4">
      <c r="A642" s="4" t="s">
        <v>261</v>
      </c>
      <c r="B642" s="156">
        <v>0</v>
      </c>
      <c r="C642" s="156">
        <f>B645</f>
        <v>0</v>
      </c>
      <c r="D642" s="156">
        <f t="shared" ref="D642:AP642" si="305">C645</f>
        <v>0</v>
      </c>
      <c r="E642" s="156">
        <f t="shared" si="305"/>
        <v>0</v>
      </c>
      <c r="F642" s="156">
        <f t="shared" si="305"/>
        <v>0</v>
      </c>
      <c r="G642" s="156">
        <f t="shared" si="305"/>
        <v>0</v>
      </c>
      <c r="H642" s="156">
        <f t="shared" si="305"/>
        <v>0</v>
      </c>
      <c r="I642" s="156">
        <f t="shared" si="305"/>
        <v>0</v>
      </c>
      <c r="J642" s="156">
        <f t="shared" si="305"/>
        <v>0</v>
      </c>
      <c r="K642" s="156">
        <f t="shared" si="305"/>
        <v>0</v>
      </c>
      <c r="L642" s="156">
        <f t="shared" si="305"/>
        <v>0</v>
      </c>
      <c r="M642" s="156">
        <f t="shared" si="305"/>
        <v>0</v>
      </c>
      <c r="N642" s="156">
        <f t="shared" si="305"/>
        <v>0</v>
      </c>
      <c r="O642" s="156">
        <f t="shared" si="305"/>
        <v>0</v>
      </c>
      <c r="P642" s="156">
        <f t="shared" si="305"/>
        <v>0</v>
      </c>
      <c r="Q642" s="156">
        <f t="shared" si="305"/>
        <v>0</v>
      </c>
      <c r="R642" s="156">
        <f t="shared" si="305"/>
        <v>0</v>
      </c>
      <c r="S642" s="156">
        <f t="shared" si="305"/>
        <v>0</v>
      </c>
      <c r="T642" s="156">
        <f t="shared" si="305"/>
        <v>0</v>
      </c>
      <c r="U642" s="156">
        <f t="shared" si="305"/>
        <v>0</v>
      </c>
      <c r="V642" s="156">
        <f t="shared" si="305"/>
        <v>0</v>
      </c>
      <c r="W642" s="156">
        <f t="shared" si="305"/>
        <v>0</v>
      </c>
      <c r="X642" s="156">
        <f t="shared" si="305"/>
        <v>0</v>
      </c>
      <c r="Y642" s="156">
        <f t="shared" si="305"/>
        <v>0</v>
      </c>
      <c r="Z642" s="156">
        <f t="shared" si="305"/>
        <v>0</v>
      </c>
      <c r="AA642" s="156">
        <f t="shared" si="305"/>
        <v>0</v>
      </c>
      <c r="AB642" s="156">
        <f t="shared" si="305"/>
        <v>0</v>
      </c>
      <c r="AC642" s="156">
        <f t="shared" si="305"/>
        <v>0</v>
      </c>
      <c r="AD642" s="156">
        <f t="shared" si="305"/>
        <v>0</v>
      </c>
      <c r="AE642" s="156">
        <f t="shared" si="305"/>
        <v>0</v>
      </c>
      <c r="AF642" s="156">
        <f t="shared" si="305"/>
        <v>0</v>
      </c>
      <c r="AG642" s="156">
        <f t="shared" si="305"/>
        <v>0</v>
      </c>
      <c r="AH642" s="156">
        <f t="shared" si="305"/>
        <v>0</v>
      </c>
      <c r="AI642" s="156">
        <f t="shared" si="305"/>
        <v>0</v>
      </c>
      <c r="AJ642" s="156">
        <f t="shared" si="305"/>
        <v>0</v>
      </c>
      <c r="AK642" s="156">
        <f t="shared" si="305"/>
        <v>0</v>
      </c>
      <c r="AL642" s="156">
        <f t="shared" si="305"/>
        <v>0</v>
      </c>
      <c r="AM642" s="156">
        <f t="shared" si="305"/>
        <v>0</v>
      </c>
      <c r="AN642" s="156">
        <f t="shared" si="305"/>
        <v>0</v>
      </c>
      <c r="AO642" s="156">
        <f t="shared" si="305"/>
        <v>0</v>
      </c>
      <c r="AP642" s="156">
        <f t="shared" si="305"/>
        <v>0</v>
      </c>
    </row>
    <row r="643" spans="1:42" x14ac:dyDescent="0.4">
      <c r="A643" s="4" t="s">
        <v>23</v>
      </c>
      <c r="B643" s="156">
        <f t="shared" ref="B643:AP643" si="306">IF(B$2&lt;analysis_period,B645-B642,0)</f>
        <v>0</v>
      </c>
      <c r="C643" s="156">
        <f t="shared" si="306"/>
        <v>0</v>
      </c>
      <c r="D643" s="156">
        <f t="shared" si="306"/>
        <v>0</v>
      </c>
      <c r="E643" s="156">
        <f t="shared" si="306"/>
        <v>0</v>
      </c>
      <c r="F643" s="156">
        <f t="shared" si="306"/>
        <v>0</v>
      </c>
      <c r="G643" s="156">
        <f t="shared" si="306"/>
        <v>0</v>
      </c>
      <c r="H643" s="156">
        <f t="shared" si="306"/>
        <v>0</v>
      </c>
      <c r="I643" s="156">
        <f t="shared" si="306"/>
        <v>0</v>
      </c>
      <c r="J643" s="156">
        <f t="shared" si="306"/>
        <v>0</v>
      </c>
      <c r="K643" s="156">
        <f t="shared" si="306"/>
        <v>0</v>
      </c>
      <c r="L643" s="156">
        <f t="shared" si="306"/>
        <v>0</v>
      </c>
      <c r="M643" s="156">
        <f t="shared" si="306"/>
        <v>0</v>
      </c>
      <c r="N643" s="156">
        <f t="shared" si="306"/>
        <v>0</v>
      </c>
      <c r="O643" s="156">
        <f t="shared" si="306"/>
        <v>0</v>
      </c>
      <c r="P643" s="156">
        <f t="shared" si="306"/>
        <v>0</v>
      </c>
      <c r="Q643" s="156">
        <f t="shared" si="306"/>
        <v>0</v>
      </c>
      <c r="R643" s="156">
        <f t="shared" si="306"/>
        <v>0</v>
      </c>
      <c r="S643" s="156">
        <f t="shared" si="306"/>
        <v>0</v>
      </c>
      <c r="T643" s="156">
        <f t="shared" si="306"/>
        <v>0</v>
      </c>
      <c r="U643" s="156">
        <f t="shared" si="306"/>
        <v>0</v>
      </c>
      <c r="V643" s="156">
        <f t="shared" si="306"/>
        <v>0</v>
      </c>
      <c r="W643" s="156">
        <f t="shared" si="306"/>
        <v>0</v>
      </c>
      <c r="X643" s="156">
        <f t="shared" si="306"/>
        <v>0</v>
      </c>
      <c r="Y643" s="156">
        <f t="shared" si="306"/>
        <v>0</v>
      </c>
      <c r="Z643" s="156">
        <f t="shared" si="306"/>
        <v>0</v>
      </c>
      <c r="AA643" s="156">
        <f t="shared" si="306"/>
        <v>0</v>
      </c>
      <c r="AB643" s="156">
        <f t="shared" si="306"/>
        <v>0</v>
      </c>
      <c r="AC643" s="156">
        <f t="shared" si="306"/>
        <v>0</v>
      </c>
      <c r="AD643" s="156">
        <f t="shared" si="306"/>
        <v>0</v>
      </c>
      <c r="AE643" s="156">
        <f t="shared" si="306"/>
        <v>0</v>
      </c>
      <c r="AF643" s="156">
        <f t="shared" si="306"/>
        <v>0</v>
      </c>
      <c r="AG643" s="156">
        <f t="shared" si="306"/>
        <v>0</v>
      </c>
      <c r="AH643" s="156">
        <f t="shared" si="306"/>
        <v>0</v>
      </c>
      <c r="AI643" s="156">
        <f t="shared" si="306"/>
        <v>0</v>
      </c>
      <c r="AJ643" s="156">
        <f t="shared" si="306"/>
        <v>0</v>
      </c>
      <c r="AK643" s="156">
        <f t="shared" si="306"/>
        <v>0</v>
      </c>
      <c r="AL643" s="156">
        <f t="shared" si="306"/>
        <v>0</v>
      </c>
      <c r="AM643" s="156">
        <f t="shared" si="306"/>
        <v>0</v>
      </c>
      <c r="AN643" s="156">
        <f t="shared" si="306"/>
        <v>0</v>
      </c>
      <c r="AO643" s="156">
        <f t="shared" si="306"/>
        <v>0</v>
      </c>
      <c r="AP643" s="156">
        <f t="shared" si="306"/>
        <v>0</v>
      </c>
    </row>
    <row r="644" spans="1:42" x14ac:dyDescent="0.4">
      <c r="A644" s="4" t="s">
        <v>262</v>
      </c>
      <c r="B644" s="157">
        <v>0</v>
      </c>
      <c r="C644" s="157">
        <f t="shared" ref="C644:AP644" si="307">IF(C$2=analysis_period,-C642,0)</f>
        <v>0</v>
      </c>
      <c r="D644" s="157">
        <f t="shared" si="307"/>
        <v>0</v>
      </c>
      <c r="E644" s="157">
        <f t="shared" si="307"/>
        <v>0</v>
      </c>
      <c r="F644" s="157">
        <f t="shared" si="307"/>
        <v>0</v>
      </c>
      <c r="G644" s="157">
        <f t="shared" si="307"/>
        <v>0</v>
      </c>
      <c r="H644" s="157">
        <f t="shared" si="307"/>
        <v>0</v>
      </c>
      <c r="I644" s="157">
        <f t="shared" si="307"/>
        <v>0</v>
      </c>
      <c r="J644" s="157">
        <f t="shared" si="307"/>
        <v>0</v>
      </c>
      <c r="K644" s="157">
        <f t="shared" si="307"/>
        <v>0</v>
      </c>
      <c r="L644" s="157">
        <f t="shared" si="307"/>
        <v>0</v>
      </c>
      <c r="M644" s="157">
        <f t="shared" si="307"/>
        <v>0</v>
      </c>
      <c r="N644" s="157">
        <f t="shared" si="307"/>
        <v>0</v>
      </c>
      <c r="O644" s="157">
        <f t="shared" si="307"/>
        <v>0</v>
      </c>
      <c r="P644" s="157">
        <f t="shared" si="307"/>
        <v>0</v>
      </c>
      <c r="Q644" s="157">
        <f t="shared" si="307"/>
        <v>0</v>
      </c>
      <c r="R644" s="157">
        <f t="shared" si="307"/>
        <v>0</v>
      </c>
      <c r="S644" s="157">
        <f t="shared" si="307"/>
        <v>0</v>
      </c>
      <c r="T644" s="157">
        <f t="shared" si="307"/>
        <v>0</v>
      </c>
      <c r="U644" s="157">
        <f t="shared" si="307"/>
        <v>0</v>
      </c>
      <c r="V644" s="157">
        <f t="shared" si="307"/>
        <v>0</v>
      </c>
      <c r="W644" s="157">
        <f t="shared" si="307"/>
        <v>0</v>
      </c>
      <c r="X644" s="157">
        <f t="shared" si="307"/>
        <v>0</v>
      </c>
      <c r="Y644" s="157">
        <f t="shared" si="307"/>
        <v>0</v>
      </c>
      <c r="Z644" s="157">
        <f t="shared" si="307"/>
        <v>0</v>
      </c>
      <c r="AA644" s="157">
        <f t="shared" si="307"/>
        <v>0</v>
      </c>
      <c r="AB644" s="157">
        <f t="shared" si="307"/>
        <v>0</v>
      </c>
      <c r="AC644" s="157">
        <f t="shared" si="307"/>
        <v>0</v>
      </c>
      <c r="AD644" s="157">
        <f t="shared" si="307"/>
        <v>0</v>
      </c>
      <c r="AE644" s="157">
        <f t="shared" si="307"/>
        <v>0</v>
      </c>
      <c r="AF644" s="157">
        <f t="shared" si="307"/>
        <v>0</v>
      </c>
      <c r="AG644" s="157">
        <f t="shared" si="307"/>
        <v>0</v>
      </c>
      <c r="AH644" s="157">
        <f t="shared" si="307"/>
        <v>0</v>
      </c>
      <c r="AI644" s="157">
        <f t="shared" si="307"/>
        <v>0</v>
      </c>
      <c r="AJ644" s="157">
        <f t="shared" si="307"/>
        <v>0</v>
      </c>
      <c r="AK644" s="157">
        <f t="shared" si="307"/>
        <v>0</v>
      </c>
      <c r="AL644" s="157">
        <f t="shared" si="307"/>
        <v>0</v>
      </c>
      <c r="AM644" s="157">
        <f t="shared" si="307"/>
        <v>0</v>
      </c>
      <c r="AN644" s="157">
        <f t="shared" si="307"/>
        <v>0</v>
      </c>
      <c r="AO644" s="157">
        <f t="shared" si="307"/>
        <v>0</v>
      </c>
      <c r="AP644" s="157">
        <f t="shared" si="307"/>
        <v>0</v>
      </c>
    </row>
    <row r="645" spans="1:42" x14ac:dyDescent="0.4">
      <c r="A645" s="4" t="s">
        <v>226</v>
      </c>
      <c r="B645" s="156">
        <f>C$67*(months_working_reserve/12)</f>
        <v>0</v>
      </c>
      <c r="C645" s="156">
        <f t="shared" ref="C645:AP645" si="308">D$71*(months_working_reserve/12)</f>
        <v>0</v>
      </c>
      <c r="D645" s="156">
        <f t="shared" si="308"/>
        <v>0</v>
      </c>
      <c r="E645" s="156">
        <f t="shared" si="308"/>
        <v>0</v>
      </c>
      <c r="F645" s="156">
        <f t="shared" si="308"/>
        <v>0</v>
      </c>
      <c r="G645" s="156">
        <f t="shared" si="308"/>
        <v>0</v>
      </c>
      <c r="H645" s="156">
        <f t="shared" si="308"/>
        <v>0</v>
      </c>
      <c r="I645" s="156">
        <f t="shared" si="308"/>
        <v>0</v>
      </c>
      <c r="J645" s="156">
        <f t="shared" si="308"/>
        <v>0</v>
      </c>
      <c r="K645" s="156">
        <f t="shared" si="308"/>
        <v>0</v>
      </c>
      <c r="L645" s="156">
        <f t="shared" si="308"/>
        <v>0</v>
      </c>
      <c r="M645" s="156">
        <f t="shared" si="308"/>
        <v>0</v>
      </c>
      <c r="N645" s="156">
        <f t="shared" si="308"/>
        <v>0</v>
      </c>
      <c r="O645" s="156">
        <f t="shared" si="308"/>
        <v>0</v>
      </c>
      <c r="P645" s="156">
        <f t="shared" si="308"/>
        <v>0</v>
      </c>
      <c r="Q645" s="156">
        <f t="shared" si="308"/>
        <v>0</v>
      </c>
      <c r="R645" s="156">
        <f t="shared" si="308"/>
        <v>0</v>
      </c>
      <c r="S645" s="156">
        <f t="shared" si="308"/>
        <v>0</v>
      </c>
      <c r="T645" s="156">
        <f t="shared" si="308"/>
        <v>0</v>
      </c>
      <c r="U645" s="156">
        <f t="shared" si="308"/>
        <v>0</v>
      </c>
      <c r="V645" s="156">
        <f t="shared" si="308"/>
        <v>0</v>
      </c>
      <c r="W645" s="156">
        <f t="shared" si="308"/>
        <v>0</v>
      </c>
      <c r="X645" s="156">
        <f t="shared" si="308"/>
        <v>0</v>
      </c>
      <c r="Y645" s="156">
        <f t="shared" si="308"/>
        <v>0</v>
      </c>
      <c r="Z645" s="156">
        <f t="shared" si="308"/>
        <v>0</v>
      </c>
      <c r="AA645" s="156">
        <f t="shared" si="308"/>
        <v>0</v>
      </c>
      <c r="AB645" s="156">
        <f t="shared" si="308"/>
        <v>0</v>
      </c>
      <c r="AC645" s="156">
        <f t="shared" si="308"/>
        <v>0</v>
      </c>
      <c r="AD645" s="156">
        <f t="shared" si="308"/>
        <v>0</v>
      </c>
      <c r="AE645" s="156">
        <f t="shared" si="308"/>
        <v>0</v>
      </c>
      <c r="AF645" s="156">
        <f t="shared" si="308"/>
        <v>0</v>
      </c>
      <c r="AG645" s="156">
        <f t="shared" si="308"/>
        <v>0</v>
      </c>
      <c r="AH645" s="156">
        <f t="shared" si="308"/>
        <v>0</v>
      </c>
      <c r="AI645" s="156">
        <f t="shared" si="308"/>
        <v>0</v>
      </c>
      <c r="AJ645" s="156">
        <f t="shared" si="308"/>
        <v>0</v>
      </c>
      <c r="AK645" s="156">
        <f t="shared" si="308"/>
        <v>0</v>
      </c>
      <c r="AL645" s="156">
        <f t="shared" si="308"/>
        <v>0</v>
      </c>
      <c r="AM645" s="156">
        <f t="shared" si="308"/>
        <v>0</v>
      </c>
      <c r="AN645" s="156">
        <f t="shared" si="308"/>
        <v>0</v>
      </c>
      <c r="AO645" s="156">
        <f t="shared" si="308"/>
        <v>0</v>
      </c>
      <c r="AP645" s="156">
        <f t="shared" si="308"/>
        <v>0</v>
      </c>
    </row>
    <row r="646" spans="1:42" x14ac:dyDescent="0.4">
      <c r="B646" s="156"/>
      <c r="C646" s="156"/>
      <c r="D646" s="156"/>
      <c r="E646" s="156"/>
      <c r="F646" s="156"/>
      <c r="G646" s="156"/>
      <c r="H646" s="156"/>
      <c r="I646" s="156"/>
      <c r="J646" s="156"/>
      <c r="K646" s="156"/>
      <c r="L646" s="156"/>
      <c r="M646" s="156"/>
      <c r="N646" s="156"/>
      <c r="O646" s="156"/>
      <c r="P646" s="156"/>
      <c r="Q646" s="156"/>
      <c r="R646" s="156"/>
      <c r="S646" s="156"/>
      <c r="T646" s="156"/>
      <c r="U646" s="156"/>
      <c r="V646" s="156"/>
      <c r="W646" s="156"/>
      <c r="X646" s="156"/>
      <c r="Y646" s="156"/>
      <c r="Z646" s="156"/>
      <c r="AA646" s="156"/>
      <c r="AB646" s="156"/>
      <c r="AC646" s="156"/>
      <c r="AD646" s="156"/>
      <c r="AE646" s="156"/>
      <c r="AF646" s="156"/>
      <c r="AG646" s="156"/>
      <c r="AH646" s="156"/>
      <c r="AI646" s="156"/>
      <c r="AJ646" s="156"/>
      <c r="AK646" s="156"/>
      <c r="AL646" s="156"/>
      <c r="AM646" s="156"/>
      <c r="AN646" s="156"/>
      <c r="AO646" s="156"/>
      <c r="AP646" s="156"/>
    </row>
    <row r="647" spans="1:42" x14ac:dyDescent="0.4">
      <c r="A647" s="19" t="s">
        <v>271</v>
      </c>
      <c r="B647" s="156"/>
      <c r="C647" s="156"/>
      <c r="D647" s="156"/>
      <c r="E647" s="156"/>
      <c r="F647" s="156"/>
      <c r="G647" s="156"/>
      <c r="H647" s="156"/>
      <c r="I647" s="156"/>
      <c r="J647" s="156"/>
      <c r="K647" s="156"/>
      <c r="L647" s="156"/>
      <c r="M647" s="156"/>
      <c r="N647" s="156"/>
      <c r="O647" s="156"/>
      <c r="P647" s="156"/>
      <c r="Q647" s="156"/>
      <c r="R647" s="156"/>
      <c r="S647" s="156"/>
      <c r="T647" s="156"/>
      <c r="U647" s="156"/>
      <c r="V647" s="156"/>
      <c r="W647" s="156"/>
      <c r="X647" s="156"/>
      <c r="Y647" s="156"/>
      <c r="Z647" s="156"/>
      <c r="AA647" s="156"/>
      <c r="AB647" s="156"/>
      <c r="AC647" s="156"/>
      <c r="AD647" s="156"/>
      <c r="AE647" s="156"/>
      <c r="AF647" s="156"/>
      <c r="AG647" s="156"/>
      <c r="AH647" s="156"/>
      <c r="AI647" s="156"/>
      <c r="AJ647" s="156"/>
      <c r="AK647" s="156"/>
      <c r="AL647" s="156"/>
      <c r="AM647" s="156"/>
      <c r="AN647" s="156"/>
      <c r="AO647" s="156"/>
      <c r="AP647" s="156"/>
    </row>
    <row r="648" spans="1:42" x14ac:dyDescent="0.4">
      <c r="A648" s="4" t="s">
        <v>261</v>
      </c>
      <c r="B648" s="156">
        <v>0</v>
      </c>
      <c r="C648" s="156">
        <f>B651</f>
        <v>0</v>
      </c>
      <c r="D648" s="156">
        <f t="shared" ref="D648" si="309">C651</f>
        <v>0</v>
      </c>
      <c r="E648" s="156">
        <f t="shared" ref="E648" si="310">D651</f>
        <v>0</v>
      </c>
      <c r="F648" s="156">
        <f t="shared" ref="F648" si="311">E651</f>
        <v>0</v>
      </c>
      <c r="G648" s="156">
        <f t="shared" ref="G648" si="312">F651</f>
        <v>0</v>
      </c>
      <c r="H648" s="156">
        <f t="shared" ref="H648" si="313">G651</f>
        <v>0</v>
      </c>
      <c r="I648" s="156">
        <f t="shared" ref="I648" si="314">H651</f>
        <v>0</v>
      </c>
      <c r="J648" s="156">
        <f t="shared" ref="J648" si="315">I651</f>
        <v>0</v>
      </c>
      <c r="K648" s="156">
        <f t="shared" ref="K648" si="316">J651</f>
        <v>0</v>
      </c>
      <c r="L648" s="156">
        <f t="shared" ref="L648" si="317">K651</f>
        <v>0</v>
      </c>
      <c r="M648" s="156">
        <f t="shared" ref="M648" si="318">L651</f>
        <v>0</v>
      </c>
      <c r="N648" s="156">
        <f t="shared" ref="N648" si="319">M651</f>
        <v>0</v>
      </c>
      <c r="O648" s="156">
        <f t="shared" ref="O648" si="320">N651</f>
        <v>0</v>
      </c>
      <c r="P648" s="156">
        <f t="shared" ref="P648" si="321">O651</f>
        <v>0</v>
      </c>
      <c r="Q648" s="156">
        <f t="shared" ref="Q648" si="322">P651</f>
        <v>0</v>
      </c>
      <c r="R648" s="156">
        <f t="shared" ref="R648" si="323">Q651</f>
        <v>0</v>
      </c>
      <c r="S648" s="156">
        <f t="shared" ref="S648" si="324">R651</f>
        <v>0</v>
      </c>
      <c r="T648" s="156">
        <f t="shared" ref="T648" si="325">S651</f>
        <v>0</v>
      </c>
      <c r="U648" s="156">
        <f t="shared" ref="U648" si="326">T651</f>
        <v>0</v>
      </c>
      <c r="V648" s="156">
        <f t="shared" ref="V648" si="327">U651</f>
        <v>0</v>
      </c>
      <c r="W648" s="156">
        <f t="shared" ref="W648" si="328">V651</f>
        <v>0</v>
      </c>
      <c r="X648" s="156">
        <f t="shared" ref="X648" si="329">W651</f>
        <v>0</v>
      </c>
      <c r="Y648" s="156">
        <f t="shared" ref="Y648" si="330">X651</f>
        <v>0</v>
      </c>
      <c r="Z648" s="156">
        <f t="shared" ref="Z648" si="331">Y651</f>
        <v>0</v>
      </c>
      <c r="AA648" s="156">
        <f t="shared" ref="AA648" si="332">Z651</f>
        <v>0</v>
      </c>
      <c r="AB648" s="156">
        <f t="shared" ref="AB648" si="333">AA651</f>
        <v>0</v>
      </c>
      <c r="AC648" s="156">
        <f t="shared" ref="AC648" si="334">AB651</f>
        <v>0</v>
      </c>
      <c r="AD648" s="156">
        <f t="shared" ref="AD648" si="335">AC651</f>
        <v>0</v>
      </c>
      <c r="AE648" s="156">
        <f t="shared" ref="AE648" si="336">AD651</f>
        <v>0</v>
      </c>
      <c r="AF648" s="156">
        <f t="shared" ref="AF648" si="337">AE651</f>
        <v>0</v>
      </c>
      <c r="AG648" s="156">
        <f t="shared" ref="AG648" si="338">AF651</f>
        <v>0</v>
      </c>
      <c r="AH648" s="156">
        <f t="shared" ref="AH648" si="339">AG651</f>
        <v>0</v>
      </c>
      <c r="AI648" s="156">
        <f t="shared" ref="AI648" si="340">AH651</f>
        <v>0</v>
      </c>
      <c r="AJ648" s="156">
        <f t="shared" ref="AJ648" si="341">AI651</f>
        <v>0</v>
      </c>
      <c r="AK648" s="156">
        <f t="shared" ref="AK648" si="342">AJ651</f>
        <v>0</v>
      </c>
      <c r="AL648" s="156">
        <f t="shared" ref="AL648" si="343">AK651</f>
        <v>0</v>
      </c>
      <c r="AM648" s="156">
        <f t="shared" ref="AM648" si="344">AL651</f>
        <v>0</v>
      </c>
      <c r="AN648" s="156">
        <f t="shared" ref="AN648" si="345">AM651</f>
        <v>0</v>
      </c>
      <c r="AO648" s="156">
        <f t="shared" ref="AO648" si="346">AN651</f>
        <v>0</v>
      </c>
      <c r="AP648" s="156">
        <f t="shared" ref="AP648" si="347">AO651</f>
        <v>0</v>
      </c>
    </row>
    <row r="649" spans="1:42" x14ac:dyDescent="0.4">
      <c r="A649" s="4" t="s">
        <v>23</v>
      </c>
      <c r="B649" s="156">
        <f t="shared" ref="B649:AP649" si="348">IF(B$2&lt;analysis_period,B651-B648,0)</f>
        <v>0</v>
      </c>
      <c r="C649" s="156">
        <f t="shared" si="348"/>
        <v>0</v>
      </c>
      <c r="D649" s="156">
        <f t="shared" si="348"/>
        <v>0</v>
      </c>
      <c r="E649" s="156">
        <f t="shared" si="348"/>
        <v>0</v>
      </c>
      <c r="F649" s="156">
        <f t="shared" si="348"/>
        <v>0</v>
      </c>
      <c r="G649" s="156">
        <f t="shared" si="348"/>
        <v>0</v>
      </c>
      <c r="H649" s="156">
        <f t="shared" si="348"/>
        <v>0</v>
      </c>
      <c r="I649" s="156">
        <f t="shared" si="348"/>
        <v>0</v>
      </c>
      <c r="J649" s="156">
        <f t="shared" si="348"/>
        <v>0</v>
      </c>
      <c r="K649" s="156">
        <f t="shared" si="348"/>
        <v>0</v>
      </c>
      <c r="L649" s="156">
        <f t="shared" si="348"/>
        <v>0</v>
      </c>
      <c r="M649" s="156">
        <f t="shared" si="348"/>
        <v>0</v>
      </c>
      <c r="N649" s="156">
        <f t="shared" si="348"/>
        <v>0</v>
      </c>
      <c r="O649" s="156">
        <f t="shared" si="348"/>
        <v>0</v>
      </c>
      <c r="P649" s="156">
        <f t="shared" si="348"/>
        <v>0</v>
      </c>
      <c r="Q649" s="156">
        <f t="shared" si="348"/>
        <v>0</v>
      </c>
      <c r="R649" s="156">
        <f t="shared" si="348"/>
        <v>0</v>
      </c>
      <c r="S649" s="156">
        <f t="shared" si="348"/>
        <v>0</v>
      </c>
      <c r="T649" s="156">
        <f t="shared" si="348"/>
        <v>0</v>
      </c>
      <c r="U649" s="156">
        <f t="shared" si="348"/>
        <v>0</v>
      </c>
      <c r="V649" s="156">
        <f t="shared" si="348"/>
        <v>0</v>
      </c>
      <c r="W649" s="156">
        <f t="shared" si="348"/>
        <v>0</v>
      </c>
      <c r="X649" s="156">
        <f t="shared" si="348"/>
        <v>0</v>
      </c>
      <c r="Y649" s="156">
        <f t="shared" si="348"/>
        <v>0</v>
      </c>
      <c r="Z649" s="156">
        <f t="shared" si="348"/>
        <v>0</v>
      </c>
      <c r="AA649" s="156">
        <f t="shared" si="348"/>
        <v>0</v>
      </c>
      <c r="AB649" s="156">
        <f t="shared" si="348"/>
        <v>0</v>
      </c>
      <c r="AC649" s="156">
        <f t="shared" si="348"/>
        <v>0</v>
      </c>
      <c r="AD649" s="156">
        <f t="shared" si="348"/>
        <v>0</v>
      </c>
      <c r="AE649" s="156">
        <f t="shared" si="348"/>
        <v>0</v>
      </c>
      <c r="AF649" s="156">
        <f t="shared" si="348"/>
        <v>0</v>
      </c>
      <c r="AG649" s="156">
        <f t="shared" si="348"/>
        <v>0</v>
      </c>
      <c r="AH649" s="156">
        <f t="shared" si="348"/>
        <v>0</v>
      </c>
      <c r="AI649" s="156">
        <f t="shared" si="348"/>
        <v>0</v>
      </c>
      <c r="AJ649" s="156">
        <f t="shared" si="348"/>
        <v>0</v>
      </c>
      <c r="AK649" s="156">
        <f t="shared" si="348"/>
        <v>0</v>
      </c>
      <c r="AL649" s="156">
        <f t="shared" si="348"/>
        <v>0</v>
      </c>
      <c r="AM649" s="156">
        <f t="shared" si="348"/>
        <v>0</v>
      </c>
      <c r="AN649" s="156">
        <f t="shared" si="348"/>
        <v>0</v>
      </c>
      <c r="AO649" s="156">
        <f t="shared" si="348"/>
        <v>0</v>
      </c>
      <c r="AP649" s="156">
        <f t="shared" si="348"/>
        <v>0</v>
      </c>
    </row>
    <row r="650" spans="1:42" x14ac:dyDescent="0.4">
      <c r="A650" s="4" t="s">
        <v>262</v>
      </c>
      <c r="B650" s="157">
        <v>0</v>
      </c>
      <c r="C650" s="157">
        <f t="shared" ref="C650:AP650" si="349">IF(C$2=analysis_period,-C648,0)</f>
        <v>0</v>
      </c>
      <c r="D650" s="157">
        <f t="shared" si="349"/>
        <v>0</v>
      </c>
      <c r="E650" s="157">
        <f t="shared" si="349"/>
        <v>0</v>
      </c>
      <c r="F650" s="157">
        <f t="shared" si="349"/>
        <v>0</v>
      </c>
      <c r="G650" s="157">
        <f t="shared" si="349"/>
        <v>0</v>
      </c>
      <c r="H650" s="157">
        <f t="shared" si="349"/>
        <v>0</v>
      </c>
      <c r="I650" s="157">
        <f t="shared" si="349"/>
        <v>0</v>
      </c>
      <c r="J650" s="157">
        <f t="shared" si="349"/>
        <v>0</v>
      </c>
      <c r="K650" s="157">
        <f t="shared" si="349"/>
        <v>0</v>
      </c>
      <c r="L650" s="157">
        <f t="shared" si="349"/>
        <v>0</v>
      </c>
      <c r="M650" s="157">
        <f t="shared" si="349"/>
        <v>0</v>
      </c>
      <c r="N650" s="157">
        <f t="shared" si="349"/>
        <v>0</v>
      </c>
      <c r="O650" s="157">
        <f t="shared" si="349"/>
        <v>0</v>
      </c>
      <c r="P650" s="157">
        <f t="shared" si="349"/>
        <v>0</v>
      </c>
      <c r="Q650" s="157">
        <f t="shared" si="349"/>
        <v>0</v>
      </c>
      <c r="R650" s="157">
        <f t="shared" si="349"/>
        <v>0</v>
      </c>
      <c r="S650" s="157">
        <f t="shared" si="349"/>
        <v>0</v>
      </c>
      <c r="T650" s="157">
        <f t="shared" si="349"/>
        <v>0</v>
      </c>
      <c r="U650" s="157">
        <f t="shared" si="349"/>
        <v>0</v>
      </c>
      <c r="V650" s="157">
        <f t="shared" si="349"/>
        <v>0</v>
      </c>
      <c r="W650" s="157">
        <f t="shared" si="349"/>
        <v>0</v>
      </c>
      <c r="X650" s="157">
        <f t="shared" si="349"/>
        <v>0</v>
      </c>
      <c r="Y650" s="157">
        <f t="shared" si="349"/>
        <v>0</v>
      </c>
      <c r="Z650" s="157">
        <f t="shared" si="349"/>
        <v>0</v>
      </c>
      <c r="AA650" s="157">
        <f t="shared" si="349"/>
        <v>0</v>
      </c>
      <c r="AB650" s="157">
        <f t="shared" si="349"/>
        <v>0</v>
      </c>
      <c r="AC650" s="157">
        <f t="shared" si="349"/>
        <v>0</v>
      </c>
      <c r="AD650" s="157">
        <f t="shared" si="349"/>
        <v>0</v>
      </c>
      <c r="AE650" s="157">
        <f t="shared" si="349"/>
        <v>0</v>
      </c>
      <c r="AF650" s="157">
        <f t="shared" si="349"/>
        <v>0</v>
      </c>
      <c r="AG650" s="157">
        <f t="shared" si="349"/>
        <v>0</v>
      </c>
      <c r="AH650" s="157">
        <f t="shared" si="349"/>
        <v>0</v>
      </c>
      <c r="AI650" s="157">
        <f t="shared" si="349"/>
        <v>0</v>
      </c>
      <c r="AJ650" s="157">
        <f t="shared" si="349"/>
        <v>0</v>
      </c>
      <c r="AK650" s="157">
        <f t="shared" si="349"/>
        <v>0</v>
      </c>
      <c r="AL650" s="157">
        <f t="shared" si="349"/>
        <v>0</v>
      </c>
      <c r="AM650" s="157">
        <f t="shared" si="349"/>
        <v>0</v>
      </c>
      <c r="AN650" s="157">
        <f t="shared" si="349"/>
        <v>0</v>
      </c>
      <c r="AO650" s="157">
        <f t="shared" si="349"/>
        <v>0</v>
      </c>
      <c r="AP650" s="157">
        <f t="shared" si="349"/>
        <v>0</v>
      </c>
    </row>
    <row r="651" spans="1:42" x14ac:dyDescent="0.4">
      <c r="A651" s="4" t="s">
        <v>226</v>
      </c>
      <c r="B651" s="156">
        <f t="shared" ref="B651:AP651" si="350">(months_receivables_reserve/12)*(C$16+SUM(C18:C20))</f>
        <v>0</v>
      </c>
      <c r="C651" s="156">
        <f t="shared" si="350"/>
        <v>0</v>
      </c>
      <c r="D651" s="156">
        <f t="shared" si="350"/>
        <v>0</v>
      </c>
      <c r="E651" s="156">
        <f t="shared" si="350"/>
        <v>0</v>
      </c>
      <c r="F651" s="156">
        <f t="shared" si="350"/>
        <v>0</v>
      </c>
      <c r="G651" s="156">
        <f t="shared" si="350"/>
        <v>0</v>
      </c>
      <c r="H651" s="156">
        <f t="shared" si="350"/>
        <v>0</v>
      </c>
      <c r="I651" s="156">
        <f t="shared" si="350"/>
        <v>0</v>
      </c>
      <c r="J651" s="156">
        <f t="shared" si="350"/>
        <v>0</v>
      </c>
      <c r="K651" s="156">
        <f t="shared" si="350"/>
        <v>0</v>
      </c>
      <c r="L651" s="156">
        <f t="shared" si="350"/>
        <v>0</v>
      </c>
      <c r="M651" s="156">
        <f t="shared" si="350"/>
        <v>0</v>
      </c>
      <c r="N651" s="156">
        <f t="shared" si="350"/>
        <v>0</v>
      </c>
      <c r="O651" s="156">
        <f t="shared" si="350"/>
        <v>0</v>
      </c>
      <c r="P651" s="156">
        <f t="shared" si="350"/>
        <v>0</v>
      </c>
      <c r="Q651" s="156">
        <f t="shared" si="350"/>
        <v>0</v>
      </c>
      <c r="R651" s="156">
        <f t="shared" si="350"/>
        <v>0</v>
      </c>
      <c r="S651" s="156">
        <f t="shared" si="350"/>
        <v>0</v>
      </c>
      <c r="T651" s="156">
        <f t="shared" si="350"/>
        <v>0</v>
      </c>
      <c r="U651" s="156">
        <f t="shared" si="350"/>
        <v>0</v>
      </c>
      <c r="V651" s="156">
        <f t="shared" si="350"/>
        <v>0</v>
      </c>
      <c r="W651" s="156">
        <f t="shared" si="350"/>
        <v>0</v>
      </c>
      <c r="X651" s="156">
        <f t="shared" si="350"/>
        <v>0</v>
      </c>
      <c r="Y651" s="156">
        <f t="shared" si="350"/>
        <v>0</v>
      </c>
      <c r="Z651" s="156">
        <f t="shared" si="350"/>
        <v>0</v>
      </c>
      <c r="AA651" s="156">
        <f t="shared" si="350"/>
        <v>0</v>
      </c>
      <c r="AB651" s="156">
        <f t="shared" si="350"/>
        <v>0</v>
      </c>
      <c r="AC651" s="156">
        <f t="shared" si="350"/>
        <v>0</v>
      </c>
      <c r="AD651" s="156">
        <f t="shared" si="350"/>
        <v>0</v>
      </c>
      <c r="AE651" s="156">
        <f t="shared" si="350"/>
        <v>0</v>
      </c>
      <c r="AF651" s="156">
        <f t="shared" si="350"/>
        <v>0</v>
      </c>
      <c r="AG651" s="156">
        <f t="shared" si="350"/>
        <v>0</v>
      </c>
      <c r="AH651" s="156">
        <f t="shared" si="350"/>
        <v>0</v>
      </c>
      <c r="AI651" s="156">
        <f t="shared" si="350"/>
        <v>0</v>
      </c>
      <c r="AJ651" s="156">
        <f t="shared" si="350"/>
        <v>0</v>
      </c>
      <c r="AK651" s="156">
        <f t="shared" si="350"/>
        <v>0</v>
      </c>
      <c r="AL651" s="156">
        <f t="shared" si="350"/>
        <v>0</v>
      </c>
      <c r="AM651" s="156">
        <f t="shared" si="350"/>
        <v>0</v>
      </c>
      <c r="AN651" s="156">
        <f t="shared" si="350"/>
        <v>0</v>
      </c>
      <c r="AO651" s="156">
        <f t="shared" si="350"/>
        <v>0</v>
      </c>
      <c r="AP651" s="156">
        <f t="shared" si="350"/>
        <v>0</v>
      </c>
    </row>
    <row r="652" spans="1:42" x14ac:dyDescent="0.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row>
    <row r="653" spans="1:42" x14ac:dyDescent="0.4">
      <c r="A653" s="19" t="s">
        <v>263</v>
      </c>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row>
    <row r="654" spans="1:42" x14ac:dyDescent="0.4">
      <c r="A654" s="4" t="s">
        <v>261</v>
      </c>
      <c r="B654" s="156">
        <v>0</v>
      </c>
      <c r="C654" s="156">
        <f>B657</f>
        <v>0</v>
      </c>
      <c r="D654" s="156">
        <f t="shared" ref="D654:AP654" si="351">C657</f>
        <v>0</v>
      </c>
      <c r="E654" s="156">
        <f t="shared" si="351"/>
        <v>0</v>
      </c>
      <c r="F654" s="156">
        <f t="shared" si="351"/>
        <v>0</v>
      </c>
      <c r="G654" s="156">
        <f t="shared" si="351"/>
        <v>0</v>
      </c>
      <c r="H654" s="156">
        <f t="shared" si="351"/>
        <v>0</v>
      </c>
      <c r="I654" s="156">
        <f t="shared" si="351"/>
        <v>0</v>
      </c>
      <c r="J654" s="156">
        <f t="shared" si="351"/>
        <v>0</v>
      </c>
      <c r="K654" s="156">
        <f t="shared" si="351"/>
        <v>0</v>
      </c>
      <c r="L654" s="156">
        <f t="shared" si="351"/>
        <v>0</v>
      </c>
      <c r="M654" s="156">
        <f t="shared" si="351"/>
        <v>0</v>
      </c>
      <c r="N654" s="156">
        <f t="shared" si="351"/>
        <v>0</v>
      </c>
      <c r="O654" s="156">
        <f t="shared" si="351"/>
        <v>0</v>
      </c>
      <c r="P654" s="156">
        <f t="shared" si="351"/>
        <v>0</v>
      </c>
      <c r="Q654" s="156">
        <f t="shared" si="351"/>
        <v>0</v>
      </c>
      <c r="R654" s="156">
        <f t="shared" si="351"/>
        <v>0</v>
      </c>
      <c r="S654" s="156">
        <f t="shared" si="351"/>
        <v>0</v>
      </c>
      <c r="T654" s="156">
        <f t="shared" si="351"/>
        <v>0</v>
      </c>
      <c r="U654" s="156">
        <f t="shared" si="351"/>
        <v>0</v>
      </c>
      <c r="V654" s="156">
        <f t="shared" si="351"/>
        <v>0</v>
      </c>
      <c r="W654" s="156">
        <f t="shared" si="351"/>
        <v>0</v>
      </c>
      <c r="X654" s="156">
        <f t="shared" si="351"/>
        <v>0</v>
      </c>
      <c r="Y654" s="156">
        <f t="shared" si="351"/>
        <v>0</v>
      </c>
      <c r="Z654" s="156">
        <f t="shared" si="351"/>
        <v>0</v>
      </c>
      <c r="AA654" s="156">
        <f t="shared" si="351"/>
        <v>0</v>
      </c>
      <c r="AB654" s="156">
        <f t="shared" si="351"/>
        <v>0</v>
      </c>
      <c r="AC654" s="156">
        <f t="shared" si="351"/>
        <v>0</v>
      </c>
      <c r="AD654" s="156">
        <f t="shared" si="351"/>
        <v>0</v>
      </c>
      <c r="AE654" s="156">
        <f t="shared" si="351"/>
        <v>0</v>
      </c>
      <c r="AF654" s="156">
        <f t="shared" si="351"/>
        <v>0</v>
      </c>
      <c r="AG654" s="156">
        <f t="shared" si="351"/>
        <v>0</v>
      </c>
      <c r="AH654" s="156">
        <f t="shared" si="351"/>
        <v>0</v>
      </c>
      <c r="AI654" s="156">
        <f t="shared" si="351"/>
        <v>0</v>
      </c>
      <c r="AJ654" s="156">
        <f t="shared" si="351"/>
        <v>0</v>
      </c>
      <c r="AK654" s="156">
        <f t="shared" si="351"/>
        <v>0</v>
      </c>
      <c r="AL654" s="156">
        <f t="shared" si="351"/>
        <v>0</v>
      </c>
      <c r="AM654" s="156">
        <f t="shared" si="351"/>
        <v>0</v>
      </c>
      <c r="AN654" s="156">
        <f t="shared" si="351"/>
        <v>0</v>
      </c>
      <c r="AO654" s="156">
        <f t="shared" si="351"/>
        <v>0</v>
      </c>
      <c r="AP654" s="156">
        <f t="shared" si="351"/>
        <v>0</v>
      </c>
    </row>
    <row r="655" spans="1:42" x14ac:dyDescent="0.4">
      <c r="A655" s="4" t="s">
        <v>52</v>
      </c>
      <c r="B655" s="156">
        <v>0</v>
      </c>
      <c r="C655" s="156">
        <f>C683</f>
        <v>0</v>
      </c>
      <c r="D655" s="156">
        <f t="shared" ref="D655:AP655" si="352">D683</f>
        <v>0</v>
      </c>
      <c r="E655" s="156">
        <f t="shared" si="352"/>
        <v>0</v>
      </c>
      <c r="F655" s="156">
        <f t="shared" si="352"/>
        <v>0</v>
      </c>
      <c r="G655" s="156">
        <f t="shared" si="352"/>
        <v>0</v>
      </c>
      <c r="H655" s="156">
        <f t="shared" si="352"/>
        <v>0</v>
      </c>
      <c r="I655" s="156">
        <f t="shared" si="352"/>
        <v>0</v>
      </c>
      <c r="J655" s="156">
        <f t="shared" si="352"/>
        <v>0</v>
      </c>
      <c r="K655" s="156">
        <f t="shared" si="352"/>
        <v>0</v>
      </c>
      <c r="L655" s="156">
        <f t="shared" si="352"/>
        <v>0</v>
      </c>
      <c r="M655" s="156">
        <f t="shared" si="352"/>
        <v>0</v>
      </c>
      <c r="N655" s="156">
        <f t="shared" si="352"/>
        <v>0</v>
      </c>
      <c r="O655" s="156">
        <f t="shared" si="352"/>
        <v>0</v>
      </c>
      <c r="P655" s="156">
        <f t="shared" si="352"/>
        <v>0</v>
      </c>
      <c r="Q655" s="156">
        <f t="shared" si="352"/>
        <v>0</v>
      </c>
      <c r="R655" s="156">
        <f t="shared" si="352"/>
        <v>0</v>
      </c>
      <c r="S655" s="156">
        <f t="shared" si="352"/>
        <v>0</v>
      </c>
      <c r="T655" s="156">
        <f t="shared" si="352"/>
        <v>0</v>
      </c>
      <c r="U655" s="156">
        <f t="shared" si="352"/>
        <v>0</v>
      </c>
      <c r="V655" s="156">
        <f t="shared" si="352"/>
        <v>0</v>
      </c>
      <c r="W655" s="156">
        <f t="shared" si="352"/>
        <v>0</v>
      </c>
      <c r="X655" s="156">
        <f t="shared" si="352"/>
        <v>0</v>
      </c>
      <c r="Y655" s="156">
        <f t="shared" si="352"/>
        <v>0</v>
      </c>
      <c r="Z655" s="156">
        <f t="shared" si="352"/>
        <v>0</v>
      </c>
      <c r="AA655" s="156">
        <f t="shared" si="352"/>
        <v>0</v>
      </c>
      <c r="AB655" s="156">
        <f t="shared" si="352"/>
        <v>0</v>
      </c>
      <c r="AC655" s="156">
        <f t="shared" si="352"/>
        <v>0</v>
      </c>
      <c r="AD655" s="156">
        <f t="shared" si="352"/>
        <v>0</v>
      </c>
      <c r="AE655" s="156">
        <f t="shared" si="352"/>
        <v>0</v>
      </c>
      <c r="AF655" s="156">
        <f t="shared" si="352"/>
        <v>0</v>
      </c>
      <c r="AG655" s="156">
        <f t="shared" si="352"/>
        <v>0</v>
      </c>
      <c r="AH655" s="156">
        <f t="shared" si="352"/>
        <v>0</v>
      </c>
      <c r="AI655" s="156">
        <f t="shared" si="352"/>
        <v>0</v>
      </c>
      <c r="AJ655" s="156">
        <f t="shared" si="352"/>
        <v>0</v>
      </c>
      <c r="AK655" s="156">
        <f t="shared" si="352"/>
        <v>0</v>
      </c>
      <c r="AL655" s="156">
        <f t="shared" si="352"/>
        <v>0</v>
      </c>
      <c r="AM655" s="156">
        <f t="shared" si="352"/>
        <v>0</v>
      </c>
      <c r="AN655" s="156">
        <f t="shared" si="352"/>
        <v>0</v>
      </c>
      <c r="AO655" s="156">
        <f t="shared" si="352"/>
        <v>0</v>
      </c>
      <c r="AP655" s="156">
        <f t="shared" si="352"/>
        <v>0</v>
      </c>
    </row>
    <row r="656" spans="1:42" x14ac:dyDescent="0.4">
      <c r="A656" s="4" t="s">
        <v>262</v>
      </c>
      <c r="B656" s="157">
        <v>0</v>
      </c>
      <c r="C656" s="157">
        <f>-C671</f>
        <v>0</v>
      </c>
      <c r="D656" s="157">
        <f t="shared" ref="D656:AP656" si="353">-D671</f>
        <v>0</v>
      </c>
      <c r="E656" s="157">
        <f t="shared" si="353"/>
        <v>0</v>
      </c>
      <c r="F656" s="157">
        <f t="shared" si="353"/>
        <v>0</v>
      </c>
      <c r="G656" s="157">
        <f t="shared" si="353"/>
        <v>0</v>
      </c>
      <c r="H656" s="157">
        <f t="shared" si="353"/>
        <v>0</v>
      </c>
      <c r="I656" s="157">
        <f t="shared" si="353"/>
        <v>0</v>
      </c>
      <c r="J656" s="157">
        <f t="shared" si="353"/>
        <v>0</v>
      </c>
      <c r="K656" s="157">
        <f t="shared" si="353"/>
        <v>0</v>
      </c>
      <c r="L656" s="157">
        <f t="shared" si="353"/>
        <v>0</v>
      </c>
      <c r="M656" s="157">
        <f t="shared" si="353"/>
        <v>0</v>
      </c>
      <c r="N656" s="157">
        <f t="shared" si="353"/>
        <v>0</v>
      </c>
      <c r="O656" s="157">
        <f t="shared" si="353"/>
        <v>0</v>
      </c>
      <c r="P656" s="157">
        <f t="shared" si="353"/>
        <v>0</v>
      </c>
      <c r="Q656" s="157">
        <f t="shared" si="353"/>
        <v>0</v>
      </c>
      <c r="R656" s="157">
        <f t="shared" si="353"/>
        <v>0</v>
      </c>
      <c r="S656" s="157">
        <f t="shared" si="353"/>
        <v>0</v>
      </c>
      <c r="T656" s="157">
        <f t="shared" si="353"/>
        <v>0</v>
      </c>
      <c r="U656" s="157">
        <f t="shared" si="353"/>
        <v>0</v>
      </c>
      <c r="V656" s="157">
        <f t="shared" si="353"/>
        <v>0</v>
      </c>
      <c r="W656" s="157">
        <f t="shared" si="353"/>
        <v>0</v>
      </c>
      <c r="X656" s="157">
        <f t="shared" si="353"/>
        <v>0</v>
      </c>
      <c r="Y656" s="157">
        <f t="shared" si="353"/>
        <v>0</v>
      </c>
      <c r="Z656" s="157">
        <f t="shared" si="353"/>
        <v>0</v>
      </c>
      <c r="AA656" s="157">
        <f t="shared" si="353"/>
        <v>0</v>
      </c>
      <c r="AB656" s="157">
        <f t="shared" si="353"/>
        <v>0</v>
      </c>
      <c r="AC656" s="157">
        <f t="shared" si="353"/>
        <v>0</v>
      </c>
      <c r="AD656" s="157">
        <f t="shared" si="353"/>
        <v>0</v>
      </c>
      <c r="AE656" s="157">
        <f t="shared" si="353"/>
        <v>0</v>
      </c>
      <c r="AF656" s="157">
        <f t="shared" si="353"/>
        <v>0</v>
      </c>
      <c r="AG656" s="157">
        <f t="shared" si="353"/>
        <v>0</v>
      </c>
      <c r="AH656" s="157">
        <f t="shared" si="353"/>
        <v>0</v>
      </c>
      <c r="AI656" s="157">
        <f t="shared" si="353"/>
        <v>0</v>
      </c>
      <c r="AJ656" s="157">
        <f t="shared" si="353"/>
        <v>0</v>
      </c>
      <c r="AK656" s="157">
        <f t="shared" si="353"/>
        <v>0</v>
      </c>
      <c r="AL656" s="157">
        <f t="shared" si="353"/>
        <v>0</v>
      </c>
      <c r="AM656" s="157">
        <f t="shared" si="353"/>
        <v>0</v>
      </c>
      <c r="AN656" s="157">
        <f t="shared" si="353"/>
        <v>0</v>
      </c>
      <c r="AO656" s="157">
        <f t="shared" si="353"/>
        <v>0</v>
      </c>
      <c r="AP656" s="157">
        <f t="shared" si="353"/>
        <v>0</v>
      </c>
    </row>
    <row r="657" spans="1:42" x14ac:dyDescent="0.4">
      <c r="A657" s="4" t="s">
        <v>226</v>
      </c>
      <c r="B657" s="156">
        <f>SUM(B654:B656)</f>
        <v>0</v>
      </c>
      <c r="C657" s="156">
        <f>SUM(C654:C656)</f>
        <v>0</v>
      </c>
      <c r="D657" s="156">
        <f t="shared" ref="D657:AP657" si="354">SUM(D654:D656)</f>
        <v>0</v>
      </c>
      <c r="E657" s="156">
        <f t="shared" si="354"/>
        <v>0</v>
      </c>
      <c r="F657" s="156">
        <f t="shared" si="354"/>
        <v>0</v>
      </c>
      <c r="G657" s="156">
        <f t="shared" si="354"/>
        <v>0</v>
      </c>
      <c r="H657" s="156">
        <f t="shared" si="354"/>
        <v>0</v>
      </c>
      <c r="I657" s="156">
        <f t="shared" si="354"/>
        <v>0</v>
      </c>
      <c r="J657" s="156">
        <f t="shared" si="354"/>
        <v>0</v>
      </c>
      <c r="K657" s="156">
        <f t="shared" si="354"/>
        <v>0</v>
      </c>
      <c r="L657" s="156">
        <f t="shared" si="354"/>
        <v>0</v>
      </c>
      <c r="M657" s="156">
        <f t="shared" si="354"/>
        <v>0</v>
      </c>
      <c r="N657" s="156">
        <f t="shared" si="354"/>
        <v>0</v>
      </c>
      <c r="O657" s="156">
        <f t="shared" si="354"/>
        <v>0</v>
      </c>
      <c r="P657" s="156">
        <f t="shared" si="354"/>
        <v>0</v>
      </c>
      <c r="Q657" s="156">
        <f t="shared" si="354"/>
        <v>0</v>
      </c>
      <c r="R657" s="156">
        <f t="shared" si="354"/>
        <v>0</v>
      </c>
      <c r="S657" s="156">
        <f t="shared" si="354"/>
        <v>0</v>
      </c>
      <c r="T657" s="156">
        <f t="shared" si="354"/>
        <v>0</v>
      </c>
      <c r="U657" s="156">
        <f t="shared" si="354"/>
        <v>0</v>
      </c>
      <c r="V657" s="156">
        <f t="shared" si="354"/>
        <v>0</v>
      </c>
      <c r="W657" s="156">
        <f t="shared" si="354"/>
        <v>0</v>
      </c>
      <c r="X657" s="156">
        <f t="shared" si="354"/>
        <v>0</v>
      </c>
      <c r="Y657" s="156">
        <f t="shared" si="354"/>
        <v>0</v>
      </c>
      <c r="Z657" s="156">
        <f t="shared" si="354"/>
        <v>0</v>
      </c>
      <c r="AA657" s="156">
        <f t="shared" si="354"/>
        <v>0</v>
      </c>
      <c r="AB657" s="156">
        <f t="shared" si="354"/>
        <v>0</v>
      </c>
      <c r="AC657" s="156">
        <f t="shared" si="354"/>
        <v>0</v>
      </c>
      <c r="AD657" s="156">
        <f t="shared" si="354"/>
        <v>0</v>
      </c>
      <c r="AE657" s="156">
        <f t="shared" si="354"/>
        <v>0</v>
      </c>
      <c r="AF657" s="156">
        <f t="shared" si="354"/>
        <v>0</v>
      </c>
      <c r="AG657" s="156">
        <f t="shared" si="354"/>
        <v>0</v>
      </c>
      <c r="AH657" s="156">
        <f t="shared" si="354"/>
        <v>0</v>
      </c>
      <c r="AI657" s="156">
        <f t="shared" si="354"/>
        <v>0</v>
      </c>
      <c r="AJ657" s="156">
        <f t="shared" si="354"/>
        <v>0</v>
      </c>
      <c r="AK657" s="156">
        <f t="shared" si="354"/>
        <v>0</v>
      </c>
      <c r="AL657" s="156">
        <f t="shared" si="354"/>
        <v>0</v>
      </c>
      <c r="AM657" s="156">
        <f t="shared" si="354"/>
        <v>0</v>
      </c>
      <c r="AN657" s="156">
        <f t="shared" si="354"/>
        <v>0</v>
      </c>
      <c r="AO657" s="156">
        <f t="shared" si="354"/>
        <v>0</v>
      </c>
      <c r="AP657" s="156">
        <f t="shared" si="354"/>
        <v>0</v>
      </c>
    </row>
    <row r="658" spans="1:42" x14ac:dyDescent="0.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row>
    <row r="659" spans="1:42" x14ac:dyDescent="0.4">
      <c r="A659" s="4" t="s">
        <v>264</v>
      </c>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row>
    <row r="660" spans="1:42" x14ac:dyDescent="0.4">
      <c r="A660" s="4" t="s">
        <v>265</v>
      </c>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row>
    <row r="661" spans="1:42" x14ac:dyDescent="0.4">
      <c r="A661" s="4">
        <v>1</v>
      </c>
      <c r="B661" s="171">
        <f t="shared" ref="B661:B670" si="355">SUM(C661:AP661)</f>
        <v>0</v>
      </c>
      <c r="C661" s="156">
        <f t="shared" ref="C661:AP661" si="356">IF(C$2&gt;analysis_period,0,IF(C$2=equip1_reserve_freq*$A661,equip1_reserve_cost*system_capacity*1000*(1+inflation_rate/100)^B$2,0))</f>
        <v>0</v>
      </c>
      <c r="D661" s="156">
        <f t="shared" si="356"/>
        <v>0</v>
      </c>
      <c r="E661" s="156">
        <f t="shared" si="356"/>
        <v>0</v>
      </c>
      <c r="F661" s="156">
        <f t="shared" si="356"/>
        <v>0</v>
      </c>
      <c r="G661" s="156">
        <f t="shared" si="356"/>
        <v>0</v>
      </c>
      <c r="H661" s="156">
        <f t="shared" si="356"/>
        <v>0</v>
      </c>
      <c r="I661" s="156">
        <f t="shared" si="356"/>
        <v>0</v>
      </c>
      <c r="J661" s="156">
        <f t="shared" si="356"/>
        <v>0</v>
      </c>
      <c r="K661" s="156">
        <f t="shared" si="356"/>
        <v>0</v>
      </c>
      <c r="L661" s="156">
        <f t="shared" si="356"/>
        <v>0</v>
      </c>
      <c r="M661" s="156">
        <f t="shared" si="356"/>
        <v>0</v>
      </c>
      <c r="N661" s="156">
        <f t="shared" si="356"/>
        <v>0</v>
      </c>
      <c r="O661" s="156">
        <f t="shared" si="356"/>
        <v>0</v>
      </c>
      <c r="P661" s="156">
        <f t="shared" si="356"/>
        <v>0</v>
      </c>
      <c r="Q661" s="156">
        <f t="shared" si="356"/>
        <v>0</v>
      </c>
      <c r="R661" s="156">
        <f t="shared" si="356"/>
        <v>0</v>
      </c>
      <c r="S661" s="156">
        <f t="shared" si="356"/>
        <v>0</v>
      </c>
      <c r="T661" s="156">
        <f t="shared" si="356"/>
        <v>0</v>
      </c>
      <c r="U661" s="156">
        <f t="shared" si="356"/>
        <v>0</v>
      </c>
      <c r="V661" s="156">
        <f t="shared" si="356"/>
        <v>0</v>
      </c>
      <c r="W661" s="156">
        <f t="shared" si="356"/>
        <v>0</v>
      </c>
      <c r="X661" s="156">
        <f t="shared" si="356"/>
        <v>0</v>
      </c>
      <c r="Y661" s="156">
        <f t="shared" si="356"/>
        <v>0</v>
      </c>
      <c r="Z661" s="156">
        <f t="shared" si="356"/>
        <v>0</v>
      </c>
      <c r="AA661" s="156">
        <f t="shared" si="356"/>
        <v>0</v>
      </c>
      <c r="AB661" s="156">
        <f t="shared" si="356"/>
        <v>0</v>
      </c>
      <c r="AC661" s="156">
        <f t="shared" si="356"/>
        <v>0</v>
      </c>
      <c r="AD661" s="156">
        <f t="shared" si="356"/>
        <v>0</v>
      </c>
      <c r="AE661" s="156">
        <f t="shared" si="356"/>
        <v>0</v>
      </c>
      <c r="AF661" s="156">
        <f t="shared" si="356"/>
        <v>0</v>
      </c>
      <c r="AG661" s="156">
        <f t="shared" si="356"/>
        <v>0</v>
      </c>
      <c r="AH661" s="156">
        <f t="shared" si="356"/>
        <v>0</v>
      </c>
      <c r="AI661" s="156">
        <f t="shared" si="356"/>
        <v>0</v>
      </c>
      <c r="AJ661" s="156">
        <f t="shared" si="356"/>
        <v>0</v>
      </c>
      <c r="AK661" s="156">
        <f t="shared" si="356"/>
        <v>0</v>
      </c>
      <c r="AL661" s="156">
        <f t="shared" si="356"/>
        <v>0</v>
      </c>
      <c r="AM661" s="156">
        <f t="shared" si="356"/>
        <v>0</v>
      </c>
      <c r="AN661" s="156">
        <f t="shared" si="356"/>
        <v>0</v>
      </c>
      <c r="AO661" s="156">
        <f t="shared" si="356"/>
        <v>0</v>
      </c>
      <c r="AP661" s="156">
        <f t="shared" si="356"/>
        <v>0</v>
      </c>
    </row>
    <row r="662" spans="1:42" x14ac:dyDescent="0.4">
      <c r="A662" s="4">
        <f>A661+1</f>
        <v>2</v>
      </c>
      <c r="B662" s="171">
        <f t="shared" si="355"/>
        <v>0</v>
      </c>
      <c r="C662" s="156">
        <f t="shared" ref="C662:AP662" si="357">IF(C$2&gt;analysis_period,0,IF(C$2=equip1_reserve_freq*$A662,equip1_reserve_cost*system_capacity*1000*(1+inflation_rate/100)^B$2,0))</f>
        <v>0</v>
      </c>
      <c r="D662" s="156">
        <f t="shared" si="357"/>
        <v>0</v>
      </c>
      <c r="E662" s="156">
        <f t="shared" si="357"/>
        <v>0</v>
      </c>
      <c r="F662" s="156">
        <f t="shared" si="357"/>
        <v>0</v>
      </c>
      <c r="G662" s="156">
        <f t="shared" si="357"/>
        <v>0</v>
      </c>
      <c r="H662" s="156">
        <f t="shared" si="357"/>
        <v>0</v>
      </c>
      <c r="I662" s="156">
        <f t="shared" si="357"/>
        <v>0</v>
      </c>
      <c r="J662" s="156">
        <f t="shared" si="357"/>
        <v>0</v>
      </c>
      <c r="K662" s="156">
        <f t="shared" si="357"/>
        <v>0</v>
      </c>
      <c r="L662" s="156">
        <f t="shared" si="357"/>
        <v>0</v>
      </c>
      <c r="M662" s="156">
        <f t="shared" si="357"/>
        <v>0</v>
      </c>
      <c r="N662" s="156">
        <f t="shared" si="357"/>
        <v>0</v>
      </c>
      <c r="O662" s="156">
        <f t="shared" si="357"/>
        <v>0</v>
      </c>
      <c r="P662" s="156">
        <f t="shared" si="357"/>
        <v>0</v>
      </c>
      <c r="Q662" s="156">
        <f t="shared" si="357"/>
        <v>0</v>
      </c>
      <c r="R662" s="156">
        <f t="shared" si="357"/>
        <v>0</v>
      </c>
      <c r="S662" s="156">
        <f t="shared" si="357"/>
        <v>0</v>
      </c>
      <c r="T662" s="156">
        <f t="shared" si="357"/>
        <v>0</v>
      </c>
      <c r="U662" s="156">
        <f t="shared" si="357"/>
        <v>0</v>
      </c>
      <c r="V662" s="156">
        <f t="shared" si="357"/>
        <v>0</v>
      </c>
      <c r="W662" s="156">
        <f t="shared" si="357"/>
        <v>0</v>
      </c>
      <c r="X662" s="156">
        <f t="shared" si="357"/>
        <v>0</v>
      </c>
      <c r="Y662" s="156">
        <f t="shared" si="357"/>
        <v>0</v>
      </c>
      <c r="Z662" s="156">
        <f t="shared" si="357"/>
        <v>0</v>
      </c>
      <c r="AA662" s="156">
        <f t="shared" si="357"/>
        <v>0</v>
      </c>
      <c r="AB662" s="156">
        <f t="shared" si="357"/>
        <v>0</v>
      </c>
      <c r="AC662" s="156">
        <f t="shared" si="357"/>
        <v>0</v>
      </c>
      <c r="AD662" s="156">
        <f t="shared" si="357"/>
        <v>0</v>
      </c>
      <c r="AE662" s="156">
        <f t="shared" si="357"/>
        <v>0</v>
      </c>
      <c r="AF662" s="156">
        <f t="shared" si="357"/>
        <v>0</v>
      </c>
      <c r="AG662" s="156">
        <f t="shared" si="357"/>
        <v>0</v>
      </c>
      <c r="AH662" s="156">
        <f t="shared" si="357"/>
        <v>0</v>
      </c>
      <c r="AI662" s="156">
        <f t="shared" si="357"/>
        <v>0</v>
      </c>
      <c r="AJ662" s="156">
        <f t="shared" si="357"/>
        <v>0</v>
      </c>
      <c r="AK662" s="156">
        <f t="shared" si="357"/>
        <v>0</v>
      </c>
      <c r="AL662" s="156">
        <f t="shared" si="357"/>
        <v>0</v>
      </c>
      <c r="AM662" s="156">
        <f t="shared" si="357"/>
        <v>0</v>
      </c>
      <c r="AN662" s="156">
        <f t="shared" si="357"/>
        <v>0</v>
      </c>
      <c r="AO662" s="156">
        <f t="shared" si="357"/>
        <v>0</v>
      </c>
      <c r="AP662" s="156">
        <f t="shared" si="357"/>
        <v>0</v>
      </c>
    </row>
    <row r="663" spans="1:42" x14ac:dyDescent="0.4">
      <c r="A663" s="4">
        <f t="shared" ref="A663:A670" si="358">A662+1</f>
        <v>3</v>
      </c>
      <c r="B663" s="171">
        <f t="shared" si="355"/>
        <v>0</v>
      </c>
      <c r="C663" s="156">
        <f t="shared" ref="C663:AP663" si="359">IF(C$2&gt;analysis_period,0,IF(C$2=equip1_reserve_freq*$A663,equip1_reserve_cost*system_capacity*1000*(1+inflation_rate/100)^B$2,0))</f>
        <v>0</v>
      </c>
      <c r="D663" s="156">
        <f t="shared" si="359"/>
        <v>0</v>
      </c>
      <c r="E663" s="156">
        <f t="shared" si="359"/>
        <v>0</v>
      </c>
      <c r="F663" s="156">
        <f t="shared" si="359"/>
        <v>0</v>
      </c>
      <c r="G663" s="156">
        <f t="shared" si="359"/>
        <v>0</v>
      </c>
      <c r="H663" s="156">
        <f t="shared" si="359"/>
        <v>0</v>
      </c>
      <c r="I663" s="156">
        <f t="shared" si="359"/>
        <v>0</v>
      </c>
      <c r="J663" s="156">
        <f t="shared" si="359"/>
        <v>0</v>
      </c>
      <c r="K663" s="156">
        <f t="shared" si="359"/>
        <v>0</v>
      </c>
      <c r="L663" s="156">
        <f t="shared" si="359"/>
        <v>0</v>
      </c>
      <c r="M663" s="156">
        <f t="shared" si="359"/>
        <v>0</v>
      </c>
      <c r="N663" s="156">
        <f t="shared" si="359"/>
        <v>0</v>
      </c>
      <c r="O663" s="156">
        <f t="shared" si="359"/>
        <v>0</v>
      </c>
      <c r="P663" s="156">
        <f t="shared" si="359"/>
        <v>0</v>
      </c>
      <c r="Q663" s="156">
        <f t="shared" si="359"/>
        <v>0</v>
      </c>
      <c r="R663" s="156">
        <f t="shared" si="359"/>
        <v>0</v>
      </c>
      <c r="S663" s="156">
        <f t="shared" si="359"/>
        <v>0</v>
      </c>
      <c r="T663" s="156">
        <f t="shared" si="359"/>
        <v>0</v>
      </c>
      <c r="U663" s="156">
        <f t="shared" si="359"/>
        <v>0</v>
      </c>
      <c r="V663" s="156">
        <f t="shared" si="359"/>
        <v>0</v>
      </c>
      <c r="W663" s="156">
        <f t="shared" si="359"/>
        <v>0</v>
      </c>
      <c r="X663" s="156">
        <f t="shared" si="359"/>
        <v>0</v>
      </c>
      <c r="Y663" s="156">
        <f t="shared" si="359"/>
        <v>0</v>
      </c>
      <c r="Z663" s="156">
        <f t="shared" si="359"/>
        <v>0</v>
      </c>
      <c r="AA663" s="156">
        <f t="shared" si="359"/>
        <v>0</v>
      </c>
      <c r="AB663" s="156">
        <f t="shared" si="359"/>
        <v>0</v>
      </c>
      <c r="AC663" s="156">
        <f t="shared" si="359"/>
        <v>0</v>
      </c>
      <c r="AD663" s="156">
        <f t="shared" si="359"/>
        <v>0</v>
      </c>
      <c r="AE663" s="156">
        <f t="shared" si="359"/>
        <v>0</v>
      </c>
      <c r="AF663" s="156">
        <f t="shared" si="359"/>
        <v>0</v>
      </c>
      <c r="AG663" s="156">
        <f t="shared" si="359"/>
        <v>0</v>
      </c>
      <c r="AH663" s="156">
        <f t="shared" si="359"/>
        <v>0</v>
      </c>
      <c r="AI663" s="156">
        <f t="shared" si="359"/>
        <v>0</v>
      </c>
      <c r="AJ663" s="156">
        <f t="shared" si="359"/>
        <v>0</v>
      </c>
      <c r="AK663" s="156">
        <f t="shared" si="359"/>
        <v>0</v>
      </c>
      <c r="AL663" s="156">
        <f t="shared" si="359"/>
        <v>0</v>
      </c>
      <c r="AM663" s="156">
        <f t="shared" si="359"/>
        <v>0</v>
      </c>
      <c r="AN663" s="156">
        <f t="shared" si="359"/>
        <v>0</v>
      </c>
      <c r="AO663" s="156">
        <f t="shared" si="359"/>
        <v>0</v>
      </c>
      <c r="AP663" s="156">
        <f t="shared" si="359"/>
        <v>0</v>
      </c>
    </row>
    <row r="664" spans="1:42" x14ac:dyDescent="0.4">
      <c r="A664" s="4">
        <f t="shared" si="358"/>
        <v>4</v>
      </c>
      <c r="B664" s="171">
        <f t="shared" si="355"/>
        <v>0</v>
      </c>
      <c r="C664" s="156">
        <f t="shared" ref="C664:AP664" si="360">IF(C$2&gt;analysis_period,0,IF(C$2=equip1_reserve_freq*$A664,equip1_reserve_cost*system_capacity*1000*(1+inflation_rate/100)^B$2,0))</f>
        <v>0</v>
      </c>
      <c r="D664" s="156">
        <f t="shared" si="360"/>
        <v>0</v>
      </c>
      <c r="E664" s="156">
        <f t="shared" si="360"/>
        <v>0</v>
      </c>
      <c r="F664" s="156">
        <f t="shared" si="360"/>
        <v>0</v>
      </c>
      <c r="G664" s="156">
        <f t="shared" si="360"/>
        <v>0</v>
      </c>
      <c r="H664" s="156">
        <f t="shared" si="360"/>
        <v>0</v>
      </c>
      <c r="I664" s="156">
        <f t="shared" si="360"/>
        <v>0</v>
      </c>
      <c r="J664" s="156">
        <f t="shared" si="360"/>
        <v>0</v>
      </c>
      <c r="K664" s="156">
        <f t="shared" si="360"/>
        <v>0</v>
      </c>
      <c r="L664" s="156">
        <f t="shared" si="360"/>
        <v>0</v>
      </c>
      <c r="M664" s="156">
        <f t="shared" si="360"/>
        <v>0</v>
      </c>
      <c r="N664" s="156">
        <f t="shared" si="360"/>
        <v>0</v>
      </c>
      <c r="O664" s="156">
        <f t="shared" si="360"/>
        <v>0</v>
      </c>
      <c r="P664" s="156">
        <f t="shared" si="360"/>
        <v>0</v>
      </c>
      <c r="Q664" s="156">
        <f t="shared" si="360"/>
        <v>0</v>
      </c>
      <c r="R664" s="156">
        <f t="shared" si="360"/>
        <v>0</v>
      </c>
      <c r="S664" s="156">
        <f t="shared" si="360"/>
        <v>0</v>
      </c>
      <c r="T664" s="156">
        <f t="shared" si="360"/>
        <v>0</v>
      </c>
      <c r="U664" s="156">
        <f t="shared" si="360"/>
        <v>0</v>
      </c>
      <c r="V664" s="156">
        <f t="shared" si="360"/>
        <v>0</v>
      </c>
      <c r="W664" s="156">
        <f t="shared" si="360"/>
        <v>0</v>
      </c>
      <c r="X664" s="156">
        <f t="shared" si="360"/>
        <v>0</v>
      </c>
      <c r="Y664" s="156">
        <f t="shared" si="360"/>
        <v>0</v>
      </c>
      <c r="Z664" s="156">
        <f t="shared" si="360"/>
        <v>0</v>
      </c>
      <c r="AA664" s="156">
        <f t="shared" si="360"/>
        <v>0</v>
      </c>
      <c r="AB664" s="156">
        <f t="shared" si="360"/>
        <v>0</v>
      </c>
      <c r="AC664" s="156">
        <f t="shared" si="360"/>
        <v>0</v>
      </c>
      <c r="AD664" s="156">
        <f t="shared" si="360"/>
        <v>0</v>
      </c>
      <c r="AE664" s="156">
        <f t="shared" si="360"/>
        <v>0</v>
      </c>
      <c r="AF664" s="156">
        <f t="shared" si="360"/>
        <v>0</v>
      </c>
      <c r="AG664" s="156">
        <f t="shared" si="360"/>
        <v>0</v>
      </c>
      <c r="AH664" s="156">
        <f t="shared" si="360"/>
        <v>0</v>
      </c>
      <c r="AI664" s="156">
        <f t="shared" si="360"/>
        <v>0</v>
      </c>
      <c r="AJ664" s="156">
        <f t="shared" si="360"/>
        <v>0</v>
      </c>
      <c r="AK664" s="156">
        <f t="shared" si="360"/>
        <v>0</v>
      </c>
      <c r="AL664" s="156">
        <f t="shared" si="360"/>
        <v>0</v>
      </c>
      <c r="AM664" s="156">
        <f t="shared" si="360"/>
        <v>0</v>
      </c>
      <c r="AN664" s="156">
        <f t="shared" si="360"/>
        <v>0</v>
      </c>
      <c r="AO664" s="156">
        <f t="shared" si="360"/>
        <v>0</v>
      </c>
      <c r="AP664" s="156">
        <f t="shared" si="360"/>
        <v>0</v>
      </c>
    </row>
    <row r="665" spans="1:42" x14ac:dyDescent="0.4">
      <c r="A665" s="4">
        <f t="shared" si="358"/>
        <v>5</v>
      </c>
      <c r="B665" s="171">
        <f t="shared" si="355"/>
        <v>0</v>
      </c>
      <c r="C665" s="156">
        <f t="shared" ref="C665:AP665" si="361">IF(C$2&gt;analysis_period,0,IF(C$2=equip1_reserve_freq*$A665,equip1_reserve_cost*system_capacity*1000*(1+inflation_rate/100)^B$2,0))</f>
        <v>0</v>
      </c>
      <c r="D665" s="156">
        <f t="shared" si="361"/>
        <v>0</v>
      </c>
      <c r="E665" s="156">
        <f t="shared" si="361"/>
        <v>0</v>
      </c>
      <c r="F665" s="156">
        <f t="shared" si="361"/>
        <v>0</v>
      </c>
      <c r="G665" s="156">
        <f t="shared" si="361"/>
        <v>0</v>
      </c>
      <c r="H665" s="156">
        <f t="shared" si="361"/>
        <v>0</v>
      </c>
      <c r="I665" s="156">
        <f t="shared" si="361"/>
        <v>0</v>
      </c>
      <c r="J665" s="156">
        <f t="shared" si="361"/>
        <v>0</v>
      </c>
      <c r="K665" s="156">
        <f t="shared" si="361"/>
        <v>0</v>
      </c>
      <c r="L665" s="156">
        <f t="shared" si="361"/>
        <v>0</v>
      </c>
      <c r="M665" s="156">
        <f t="shared" si="361"/>
        <v>0</v>
      </c>
      <c r="N665" s="156">
        <f t="shared" si="361"/>
        <v>0</v>
      </c>
      <c r="O665" s="156">
        <f t="shared" si="361"/>
        <v>0</v>
      </c>
      <c r="P665" s="156">
        <f t="shared" si="361"/>
        <v>0</v>
      </c>
      <c r="Q665" s="156">
        <f t="shared" si="361"/>
        <v>0</v>
      </c>
      <c r="R665" s="156">
        <f t="shared" si="361"/>
        <v>0</v>
      </c>
      <c r="S665" s="156">
        <f t="shared" si="361"/>
        <v>0</v>
      </c>
      <c r="T665" s="156">
        <f t="shared" si="361"/>
        <v>0</v>
      </c>
      <c r="U665" s="156">
        <f t="shared" si="361"/>
        <v>0</v>
      </c>
      <c r="V665" s="156">
        <f t="shared" si="361"/>
        <v>0</v>
      </c>
      <c r="W665" s="156">
        <f t="shared" si="361"/>
        <v>0</v>
      </c>
      <c r="X665" s="156">
        <f t="shared" si="361"/>
        <v>0</v>
      </c>
      <c r="Y665" s="156">
        <f t="shared" si="361"/>
        <v>0</v>
      </c>
      <c r="Z665" s="156">
        <f t="shared" si="361"/>
        <v>0</v>
      </c>
      <c r="AA665" s="156">
        <f t="shared" si="361"/>
        <v>0</v>
      </c>
      <c r="AB665" s="156">
        <f t="shared" si="361"/>
        <v>0</v>
      </c>
      <c r="AC665" s="156">
        <f t="shared" si="361"/>
        <v>0</v>
      </c>
      <c r="AD665" s="156">
        <f t="shared" si="361"/>
        <v>0</v>
      </c>
      <c r="AE665" s="156">
        <f t="shared" si="361"/>
        <v>0</v>
      </c>
      <c r="AF665" s="156">
        <f t="shared" si="361"/>
        <v>0</v>
      </c>
      <c r="AG665" s="156">
        <f t="shared" si="361"/>
        <v>0</v>
      </c>
      <c r="AH665" s="156">
        <f t="shared" si="361"/>
        <v>0</v>
      </c>
      <c r="AI665" s="156">
        <f t="shared" si="361"/>
        <v>0</v>
      </c>
      <c r="AJ665" s="156">
        <f t="shared" si="361"/>
        <v>0</v>
      </c>
      <c r="AK665" s="156">
        <f t="shared" si="361"/>
        <v>0</v>
      </c>
      <c r="AL665" s="156">
        <f t="shared" si="361"/>
        <v>0</v>
      </c>
      <c r="AM665" s="156">
        <f t="shared" si="361"/>
        <v>0</v>
      </c>
      <c r="AN665" s="156">
        <f t="shared" si="361"/>
        <v>0</v>
      </c>
      <c r="AO665" s="156">
        <f t="shared" si="361"/>
        <v>0</v>
      </c>
      <c r="AP665" s="156">
        <f t="shared" si="361"/>
        <v>0</v>
      </c>
    </row>
    <row r="666" spans="1:42" x14ac:dyDescent="0.4">
      <c r="A666" s="4">
        <f t="shared" si="358"/>
        <v>6</v>
      </c>
      <c r="B666" s="171">
        <f t="shared" si="355"/>
        <v>0</v>
      </c>
      <c r="C666" s="156">
        <f t="shared" ref="C666:AP666" si="362">IF(C$2&gt;analysis_period,0,IF(C$2=equip1_reserve_freq*$A666,equip1_reserve_cost*system_capacity*1000*(1+inflation_rate/100)^B$2,0))</f>
        <v>0</v>
      </c>
      <c r="D666" s="156">
        <f t="shared" si="362"/>
        <v>0</v>
      </c>
      <c r="E666" s="156">
        <f t="shared" si="362"/>
        <v>0</v>
      </c>
      <c r="F666" s="156">
        <f t="shared" si="362"/>
        <v>0</v>
      </c>
      <c r="G666" s="156">
        <f t="shared" si="362"/>
        <v>0</v>
      </c>
      <c r="H666" s="156">
        <f t="shared" si="362"/>
        <v>0</v>
      </c>
      <c r="I666" s="156">
        <f t="shared" si="362"/>
        <v>0</v>
      </c>
      <c r="J666" s="156">
        <f t="shared" si="362"/>
        <v>0</v>
      </c>
      <c r="K666" s="156">
        <f t="shared" si="362"/>
        <v>0</v>
      </c>
      <c r="L666" s="156">
        <f t="shared" si="362"/>
        <v>0</v>
      </c>
      <c r="M666" s="156">
        <f t="shared" si="362"/>
        <v>0</v>
      </c>
      <c r="N666" s="156">
        <f t="shared" si="362"/>
        <v>0</v>
      </c>
      <c r="O666" s="156">
        <f t="shared" si="362"/>
        <v>0</v>
      </c>
      <c r="P666" s="156">
        <f t="shared" si="362"/>
        <v>0</v>
      </c>
      <c r="Q666" s="156">
        <f t="shared" si="362"/>
        <v>0</v>
      </c>
      <c r="R666" s="156">
        <f t="shared" si="362"/>
        <v>0</v>
      </c>
      <c r="S666" s="156">
        <f t="shared" si="362"/>
        <v>0</v>
      </c>
      <c r="T666" s="156">
        <f t="shared" si="362"/>
        <v>0</v>
      </c>
      <c r="U666" s="156">
        <f t="shared" si="362"/>
        <v>0</v>
      </c>
      <c r="V666" s="156">
        <f t="shared" si="362"/>
        <v>0</v>
      </c>
      <c r="W666" s="156">
        <f t="shared" si="362"/>
        <v>0</v>
      </c>
      <c r="X666" s="156">
        <f t="shared" si="362"/>
        <v>0</v>
      </c>
      <c r="Y666" s="156">
        <f t="shared" si="362"/>
        <v>0</v>
      </c>
      <c r="Z666" s="156">
        <f t="shared" si="362"/>
        <v>0</v>
      </c>
      <c r="AA666" s="156">
        <f t="shared" si="362"/>
        <v>0</v>
      </c>
      <c r="AB666" s="156">
        <f t="shared" si="362"/>
        <v>0</v>
      </c>
      <c r="AC666" s="156">
        <f t="shared" si="362"/>
        <v>0</v>
      </c>
      <c r="AD666" s="156">
        <f t="shared" si="362"/>
        <v>0</v>
      </c>
      <c r="AE666" s="156">
        <f t="shared" si="362"/>
        <v>0</v>
      </c>
      <c r="AF666" s="156">
        <f t="shared" si="362"/>
        <v>0</v>
      </c>
      <c r="AG666" s="156">
        <f t="shared" si="362"/>
        <v>0</v>
      </c>
      <c r="AH666" s="156">
        <f t="shared" si="362"/>
        <v>0</v>
      </c>
      <c r="AI666" s="156">
        <f t="shared" si="362"/>
        <v>0</v>
      </c>
      <c r="AJ666" s="156">
        <f t="shared" si="362"/>
        <v>0</v>
      </c>
      <c r="AK666" s="156">
        <f t="shared" si="362"/>
        <v>0</v>
      </c>
      <c r="AL666" s="156">
        <f t="shared" si="362"/>
        <v>0</v>
      </c>
      <c r="AM666" s="156">
        <f t="shared" si="362"/>
        <v>0</v>
      </c>
      <c r="AN666" s="156">
        <f t="shared" si="362"/>
        <v>0</v>
      </c>
      <c r="AO666" s="156">
        <f t="shared" si="362"/>
        <v>0</v>
      </c>
      <c r="AP666" s="156">
        <f t="shared" si="362"/>
        <v>0</v>
      </c>
    </row>
    <row r="667" spans="1:42" x14ac:dyDescent="0.4">
      <c r="A667" s="4">
        <f t="shared" si="358"/>
        <v>7</v>
      </c>
      <c r="B667" s="171">
        <f t="shared" si="355"/>
        <v>0</v>
      </c>
      <c r="C667" s="156">
        <f t="shared" ref="C667:AP667" si="363">IF(C$2&gt;analysis_period,0,IF(C$2=equip1_reserve_freq*$A667,equip1_reserve_cost*system_capacity*1000*(1+inflation_rate/100)^B$2,0))</f>
        <v>0</v>
      </c>
      <c r="D667" s="156">
        <f t="shared" si="363"/>
        <v>0</v>
      </c>
      <c r="E667" s="156">
        <f t="shared" si="363"/>
        <v>0</v>
      </c>
      <c r="F667" s="156">
        <f t="shared" si="363"/>
        <v>0</v>
      </c>
      <c r="G667" s="156">
        <f t="shared" si="363"/>
        <v>0</v>
      </c>
      <c r="H667" s="156">
        <f t="shared" si="363"/>
        <v>0</v>
      </c>
      <c r="I667" s="156">
        <f t="shared" si="363"/>
        <v>0</v>
      </c>
      <c r="J667" s="156">
        <f t="shared" si="363"/>
        <v>0</v>
      </c>
      <c r="K667" s="156">
        <f t="shared" si="363"/>
        <v>0</v>
      </c>
      <c r="L667" s="156">
        <f t="shared" si="363"/>
        <v>0</v>
      </c>
      <c r="M667" s="156">
        <f t="shared" si="363"/>
        <v>0</v>
      </c>
      <c r="N667" s="156">
        <f t="shared" si="363"/>
        <v>0</v>
      </c>
      <c r="O667" s="156">
        <f t="shared" si="363"/>
        <v>0</v>
      </c>
      <c r="P667" s="156">
        <f t="shared" si="363"/>
        <v>0</v>
      </c>
      <c r="Q667" s="156">
        <f t="shared" si="363"/>
        <v>0</v>
      </c>
      <c r="R667" s="156">
        <f t="shared" si="363"/>
        <v>0</v>
      </c>
      <c r="S667" s="156">
        <f t="shared" si="363"/>
        <v>0</v>
      </c>
      <c r="T667" s="156">
        <f t="shared" si="363"/>
        <v>0</v>
      </c>
      <c r="U667" s="156">
        <f t="shared" si="363"/>
        <v>0</v>
      </c>
      <c r="V667" s="156">
        <f t="shared" si="363"/>
        <v>0</v>
      </c>
      <c r="W667" s="156">
        <f t="shared" si="363"/>
        <v>0</v>
      </c>
      <c r="X667" s="156">
        <f t="shared" si="363"/>
        <v>0</v>
      </c>
      <c r="Y667" s="156">
        <f t="shared" si="363"/>
        <v>0</v>
      </c>
      <c r="Z667" s="156">
        <f t="shared" si="363"/>
        <v>0</v>
      </c>
      <c r="AA667" s="156">
        <f t="shared" si="363"/>
        <v>0</v>
      </c>
      <c r="AB667" s="156">
        <f t="shared" si="363"/>
        <v>0</v>
      </c>
      <c r="AC667" s="156">
        <f t="shared" si="363"/>
        <v>0</v>
      </c>
      <c r="AD667" s="156">
        <f t="shared" si="363"/>
        <v>0</v>
      </c>
      <c r="AE667" s="156">
        <f t="shared" si="363"/>
        <v>0</v>
      </c>
      <c r="AF667" s="156">
        <f t="shared" si="363"/>
        <v>0</v>
      </c>
      <c r="AG667" s="156">
        <f t="shared" si="363"/>
        <v>0</v>
      </c>
      <c r="AH667" s="156">
        <f t="shared" si="363"/>
        <v>0</v>
      </c>
      <c r="AI667" s="156">
        <f t="shared" si="363"/>
        <v>0</v>
      </c>
      <c r="AJ667" s="156">
        <f t="shared" si="363"/>
        <v>0</v>
      </c>
      <c r="AK667" s="156">
        <f t="shared" si="363"/>
        <v>0</v>
      </c>
      <c r="AL667" s="156">
        <f t="shared" si="363"/>
        <v>0</v>
      </c>
      <c r="AM667" s="156">
        <f t="shared" si="363"/>
        <v>0</v>
      </c>
      <c r="AN667" s="156">
        <f t="shared" si="363"/>
        <v>0</v>
      </c>
      <c r="AO667" s="156">
        <f t="shared" si="363"/>
        <v>0</v>
      </c>
      <c r="AP667" s="156">
        <f t="shared" si="363"/>
        <v>0</v>
      </c>
    </row>
    <row r="668" spans="1:42" x14ac:dyDescent="0.4">
      <c r="A668" s="4">
        <f t="shared" si="358"/>
        <v>8</v>
      </c>
      <c r="B668" s="171">
        <f t="shared" si="355"/>
        <v>0</v>
      </c>
      <c r="C668" s="156">
        <f t="shared" ref="C668:AP668" si="364">IF(C$2&gt;analysis_period,0,IF(C$2=equip1_reserve_freq*$A668,equip1_reserve_cost*system_capacity*1000*(1+inflation_rate/100)^B$2,0))</f>
        <v>0</v>
      </c>
      <c r="D668" s="156">
        <f t="shared" si="364"/>
        <v>0</v>
      </c>
      <c r="E668" s="156">
        <f t="shared" si="364"/>
        <v>0</v>
      </c>
      <c r="F668" s="156">
        <f t="shared" si="364"/>
        <v>0</v>
      </c>
      <c r="G668" s="156">
        <f t="shared" si="364"/>
        <v>0</v>
      </c>
      <c r="H668" s="156">
        <f t="shared" si="364"/>
        <v>0</v>
      </c>
      <c r="I668" s="156">
        <f t="shared" si="364"/>
        <v>0</v>
      </c>
      <c r="J668" s="156">
        <f t="shared" si="364"/>
        <v>0</v>
      </c>
      <c r="K668" s="156">
        <f t="shared" si="364"/>
        <v>0</v>
      </c>
      <c r="L668" s="156">
        <f t="shared" si="364"/>
        <v>0</v>
      </c>
      <c r="M668" s="156">
        <f t="shared" si="364"/>
        <v>0</v>
      </c>
      <c r="N668" s="156">
        <f t="shared" si="364"/>
        <v>0</v>
      </c>
      <c r="O668" s="156">
        <f t="shared" si="364"/>
        <v>0</v>
      </c>
      <c r="P668" s="156">
        <f t="shared" si="364"/>
        <v>0</v>
      </c>
      <c r="Q668" s="156">
        <f t="shared" si="364"/>
        <v>0</v>
      </c>
      <c r="R668" s="156">
        <f t="shared" si="364"/>
        <v>0</v>
      </c>
      <c r="S668" s="156">
        <f t="shared" si="364"/>
        <v>0</v>
      </c>
      <c r="T668" s="156">
        <f t="shared" si="364"/>
        <v>0</v>
      </c>
      <c r="U668" s="156">
        <f t="shared" si="364"/>
        <v>0</v>
      </c>
      <c r="V668" s="156">
        <f t="shared" si="364"/>
        <v>0</v>
      </c>
      <c r="W668" s="156">
        <f t="shared" si="364"/>
        <v>0</v>
      </c>
      <c r="X668" s="156">
        <f t="shared" si="364"/>
        <v>0</v>
      </c>
      <c r="Y668" s="156">
        <f t="shared" si="364"/>
        <v>0</v>
      </c>
      <c r="Z668" s="156">
        <f t="shared" si="364"/>
        <v>0</v>
      </c>
      <c r="AA668" s="156">
        <f t="shared" si="364"/>
        <v>0</v>
      </c>
      <c r="AB668" s="156">
        <f t="shared" si="364"/>
        <v>0</v>
      </c>
      <c r="AC668" s="156">
        <f t="shared" si="364"/>
        <v>0</v>
      </c>
      <c r="AD668" s="156">
        <f t="shared" si="364"/>
        <v>0</v>
      </c>
      <c r="AE668" s="156">
        <f t="shared" si="364"/>
        <v>0</v>
      </c>
      <c r="AF668" s="156">
        <f t="shared" si="364"/>
        <v>0</v>
      </c>
      <c r="AG668" s="156">
        <f t="shared" si="364"/>
        <v>0</v>
      </c>
      <c r="AH668" s="156">
        <f t="shared" si="364"/>
        <v>0</v>
      </c>
      <c r="AI668" s="156">
        <f t="shared" si="364"/>
        <v>0</v>
      </c>
      <c r="AJ668" s="156">
        <f t="shared" si="364"/>
        <v>0</v>
      </c>
      <c r="AK668" s="156">
        <f t="shared" si="364"/>
        <v>0</v>
      </c>
      <c r="AL668" s="156">
        <f t="shared" si="364"/>
        <v>0</v>
      </c>
      <c r="AM668" s="156">
        <f t="shared" si="364"/>
        <v>0</v>
      </c>
      <c r="AN668" s="156">
        <f t="shared" si="364"/>
        <v>0</v>
      </c>
      <c r="AO668" s="156">
        <f t="shared" si="364"/>
        <v>0</v>
      </c>
      <c r="AP668" s="156">
        <f t="shared" si="364"/>
        <v>0</v>
      </c>
    </row>
    <row r="669" spans="1:42" x14ac:dyDescent="0.4">
      <c r="A669" s="4">
        <f>A668+1</f>
        <v>9</v>
      </c>
      <c r="B669" s="171">
        <f t="shared" si="355"/>
        <v>0</v>
      </c>
      <c r="C669" s="156">
        <f t="shared" ref="C669:AP669" si="365">IF(C$2&gt;analysis_period,0,IF(C$2=equip1_reserve_freq*$A669,equip1_reserve_cost*system_capacity*1000*(1+inflation_rate/100)^B$2,0))</f>
        <v>0</v>
      </c>
      <c r="D669" s="156">
        <f t="shared" si="365"/>
        <v>0</v>
      </c>
      <c r="E669" s="156">
        <f t="shared" si="365"/>
        <v>0</v>
      </c>
      <c r="F669" s="156">
        <f t="shared" si="365"/>
        <v>0</v>
      </c>
      <c r="G669" s="156">
        <f t="shared" si="365"/>
        <v>0</v>
      </c>
      <c r="H669" s="156">
        <f t="shared" si="365"/>
        <v>0</v>
      </c>
      <c r="I669" s="156">
        <f t="shared" si="365"/>
        <v>0</v>
      </c>
      <c r="J669" s="156">
        <f t="shared" si="365"/>
        <v>0</v>
      </c>
      <c r="K669" s="156">
        <f t="shared" si="365"/>
        <v>0</v>
      </c>
      <c r="L669" s="156">
        <f t="shared" si="365"/>
        <v>0</v>
      </c>
      <c r="M669" s="156">
        <f t="shared" si="365"/>
        <v>0</v>
      </c>
      <c r="N669" s="156">
        <f t="shared" si="365"/>
        <v>0</v>
      </c>
      <c r="O669" s="156">
        <f t="shared" si="365"/>
        <v>0</v>
      </c>
      <c r="P669" s="156">
        <f t="shared" si="365"/>
        <v>0</v>
      </c>
      <c r="Q669" s="156">
        <f t="shared" si="365"/>
        <v>0</v>
      </c>
      <c r="R669" s="156">
        <f t="shared" si="365"/>
        <v>0</v>
      </c>
      <c r="S669" s="156">
        <f t="shared" si="365"/>
        <v>0</v>
      </c>
      <c r="T669" s="156">
        <f t="shared" si="365"/>
        <v>0</v>
      </c>
      <c r="U669" s="156">
        <f t="shared" si="365"/>
        <v>0</v>
      </c>
      <c r="V669" s="156">
        <f t="shared" si="365"/>
        <v>0</v>
      </c>
      <c r="W669" s="156">
        <f t="shared" si="365"/>
        <v>0</v>
      </c>
      <c r="X669" s="156">
        <f t="shared" si="365"/>
        <v>0</v>
      </c>
      <c r="Y669" s="156">
        <f t="shared" si="365"/>
        <v>0</v>
      </c>
      <c r="Z669" s="156">
        <f t="shared" si="365"/>
        <v>0</v>
      </c>
      <c r="AA669" s="156">
        <f t="shared" si="365"/>
        <v>0</v>
      </c>
      <c r="AB669" s="156">
        <f t="shared" si="365"/>
        <v>0</v>
      </c>
      <c r="AC669" s="156">
        <f t="shared" si="365"/>
        <v>0</v>
      </c>
      <c r="AD669" s="156">
        <f t="shared" si="365"/>
        <v>0</v>
      </c>
      <c r="AE669" s="156">
        <f t="shared" si="365"/>
        <v>0</v>
      </c>
      <c r="AF669" s="156">
        <f t="shared" si="365"/>
        <v>0</v>
      </c>
      <c r="AG669" s="156">
        <f t="shared" si="365"/>
        <v>0</v>
      </c>
      <c r="AH669" s="156">
        <f t="shared" si="365"/>
        <v>0</v>
      </c>
      <c r="AI669" s="156">
        <f t="shared" si="365"/>
        <v>0</v>
      </c>
      <c r="AJ669" s="156">
        <f t="shared" si="365"/>
        <v>0</v>
      </c>
      <c r="AK669" s="156">
        <f t="shared" si="365"/>
        <v>0</v>
      </c>
      <c r="AL669" s="156">
        <f t="shared" si="365"/>
        <v>0</v>
      </c>
      <c r="AM669" s="156">
        <f t="shared" si="365"/>
        <v>0</v>
      </c>
      <c r="AN669" s="156">
        <f t="shared" si="365"/>
        <v>0</v>
      </c>
      <c r="AO669" s="156">
        <f t="shared" si="365"/>
        <v>0</v>
      </c>
      <c r="AP669" s="156">
        <f t="shared" si="365"/>
        <v>0</v>
      </c>
    </row>
    <row r="670" spans="1:42" x14ac:dyDescent="0.4">
      <c r="A670" s="4">
        <f t="shared" si="358"/>
        <v>10</v>
      </c>
      <c r="B670" s="171">
        <f t="shared" si="355"/>
        <v>0</v>
      </c>
      <c r="C670" s="156">
        <f t="shared" ref="C670:AP670" si="366">IF(C$2&gt;analysis_period,0,IF(C$2=equip1_reserve_freq*$A670,equip1_reserve_cost*system_capacity*1000*(1+inflation_rate/100)^B$2,0))</f>
        <v>0</v>
      </c>
      <c r="D670" s="156">
        <f t="shared" si="366"/>
        <v>0</v>
      </c>
      <c r="E670" s="156">
        <f t="shared" si="366"/>
        <v>0</v>
      </c>
      <c r="F670" s="156">
        <f t="shared" si="366"/>
        <v>0</v>
      </c>
      <c r="G670" s="156">
        <f t="shared" si="366"/>
        <v>0</v>
      </c>
      <c r="H670" s="156">
        <f t="shared" si="366"/>
        <v>0</v>
      </c>
      <c r="I670" s="156">
        <f t="shared" si="366"/>
        <v>0</v>
      </c>
      <c r="J670" s="156">
        <f t="shared" si="366"/>
        <v>0</v>
      </c>
      <c r="K670" s="156">
        <f t="shared" si="366"/>
        <v>0</v>
      </c>
      <c r="L670" s="156">
        <f t="shared" si="366"/>
        <v>0</v>
      </c>
      <c r="M670" s="156">
        <f t="shared" si="366"/>
        <v>0</v>
      </c>
      <c r="N670" s="156">
        <f t="shared" si="366"/>
        <v>0</v>
      </c>
      <c r="O670" s="156">
        <f t="shared" si="366"/>
        <v>0</v>
      </c>
      <c r="P670" s="156">
        <f t="shared" si="366"/>
        <v>0</v>
      </c>
      <c r="Q670" s="156">
        <f t="shared" si="366"/>
        <v>0</v>
      </c>
      <c r="R670" s="156">
        <f t="shared" si="366"/>
        <v>0</v>
      </c>
      <c r="S670" s="156">
        <f t="shared" si="366"/>
        <v>0</v>
      </c>
      <c r="T670" s="156">
        <f t="shared" si="366"/>
        <v>0</v>
      </c>
      <c r="U670" s="156">
        <f t="shared" si="366"/>
        <v>0</v>
      </c>
      <c r="V670" s="156">
        <f t="shared" si="366"/>
        <v>0</v>
      </c>
      <c r="W670" s="156">
        <f t="shared" si="366"/>
        <v>0</v>
      </c>
      <c r="X670" s="156">
        <f t="shared" si="366"/>
        <v>0</v>
      </c>
      <c r="Y670" s="156">
        <f t="shared" si="366"/>
        <v>0</v>
      </c>
      <c r="Z670" s="156">
        <f t="shared" si="366"/>
        <v>0</v>
      </c>
      <c r="AA670" s="156">
        <f t="shared" si="366"/>
        <v>0</v>
      </c>
      <c r="AB670" s="156">
        <f t="shared" si="366"/>
        <v>0</v>
      </c>
      <c r="AC670" s="156">
        <f t="shared" si="366"/>
        <v>0</v>
      </c>
      <c r="AD670" s="156">
        <f t="shared" si="366"/>
        <v>0</v>
      </c>
      <c r="AE670" s="156">
        <f t="shared" si="366"/>
        <v>0</v>
      </c>
      <c r="AF670" s="156">
        <f t="shared" si="366"/>
        <v>0</v>
      </c>
      <c r="AG670" s="156">
        <f t="shared" si="366"/>
        <v>0</v>
      </c>
      <c r="AH670" s="156">
        <f t="shared" si="366"/>
        <v>0</v>
      </c>
      <c r="AI670" s="156">
        <f t="shared" si="366"/>
        <v>0</v>
      </c>
      <c r="AJ670" s="156">
        <f t="shared" si="366"/>
        <v>0</v>
      </c>
      <c r="AK670" s="156">
        <f t="shared" si="366"/>
        <v>0</v>
      </c>
      <c r="AL670" s="156">
        <f t="shared" si="366"/>
        <v>0</v>
      </c>
      <c r="AM670" s="156">
        <f t="shared" si="366"/>
        <v>0</v>
      </c>
      <c r="AN670" s="156">
        <f t="shared" si="366"/>
        <v>0</v>
      </c>
      <c r="AO670" s="156">
        <f t="shared" si="366"/>
        <v>0</v>
      </c>
      <c r="AP670" s="156">
        <f t="shared" si="366"/>
        <v>0</v>
      </c>
    </row>
    <row r="671" spans="1:42" x14ac:dyDescent="0.4">
      <c r="A671" s="24" t="s">
        <v>13</v>
      </c>
      <c r="B671" s="14"/>
      <c r="C671" s="156">
        <f>SUM(C661:C670)</f>
        <v>0</v>
      </c>
      <c r="D671" s="156">
        <f t="shared" ref="D671:AD671" si="367">SUM(D661:D670)</f>
        <v>0</v>
      </c>
      <c r="E671" s="156">
        <f t="shared" si="367"/>
        <v>0</v>
      </c>
      <c r="F671" s="156">
        <f t="shared" si="367"/>
        <v>0</v>
      </c>
      <c r="G671" s="156">
        <f t="shared" si="367"/>
        <v>0</v>
      </c>
      <c r="H671" s="156">
        <f t="shared" si="367"/>
        <v>0</v>
      </c>
      <c r="I671" s="156">
        <f t="shared" si="367"/>
        <v>0</v>
      </c>
      <c r="J671" s="156">
        <f t="shared" si="367"/>
        <v>0</v>
      </c>
      <c r="K671" s="156">
        <f t="shared" si="367"/>
        <v>0</v>
      </c>
      <c r="L671" s="156">
        <f t="shared" si="367"/>
        <v>0</v>
      </c>
      <c r="M671" s="156">
        <f t="shared" si="367"/>
        <v>0</v>
      </c>
      <c r="N671" s="156">
        <f t="shared" si="367"/>
        <v>0</v>
      </c>
      <c r="O671" s="156">
        <f t="shared" si="367"/>
        <v>0</v>
      </c>
      <c r="P671" s="156">
        <f t="shared" si="367"/>
        <v>0</v>
      </c>
      <c r="Q671" s="156">
        <f t="shared" si="367"/>
        <v>0</v>
      </c>
      <c r="R671" s="156">
        <f t="shared" si="367"/>
        <v>0</v>
      </c>
      <c r="S671" s="156">
        <f t="shared" si="367"/>
        <v>0</v>
      </c>
      <c r="T671" s="156">
        <f t="shared" si="367"/>
        <v>0</v>
      </c>
      <c r="U671" s="156">
        <f t="shared" si="367"/>
        <v>0</v>
      </c>
      <c r="V671" s="156">
        <f t="shared" si="367"/>
        <v>0</v>
      </c>
      <c r="W671" s="156">
        <f t="shared" si="367"/>
        <v>0</v>
      </c>
      <c r="X671" s="156">
        <f t="shared" si="367"/>
        <v>0</v>
      </c>
      <c r="Y671" s="156">
        <f t="shared" si="367"/>
        <v>0</v>
      </c>
      <c r="Z671" s="156">
        <f t="shared" si="367"/>
        <v>0</v>
      </c>
      <c r="AA671" s="156">
        <f t="shared" si="367"/>
        <v>0</v>
      </c>
      <c r="AB671" s="156">
        <f t="shared" si="367"/>
        <v>0</v>
      </c>
      <c r="AC671" s="156">
        <f t="shared" si="367"/>
        <v>0</v>
      </c>
      <c r="AD671" s="156">
        <f t="shared" si="367"/>
        <v>0</v>
      </c>
      <c r="AE671" s="156">
        <f t="shared" ref="AE671" si="368">SUM(AE661:AE670)</f>
        <v>0</v>
      </c>
      <c r="AF671" s="156">
        <f t="shared" ref="AF671:AP671" si="369">SUM(AF661:AF670)</f>
        <v>0</v>
      </c>
      <c r="AG671" s="156">
        <f t="shared" si="369"/>
        <v>0</v>
      </c>
      <c r="AH671" s="156">
        <f t="shared" si="369"/>
        <v>0</v>
      </c>
      <c r="AI671" s="156">
        <f t="shared" si="369"/>
        <v>0</v>
      </c>
      <c r="AJ671" s="156">
        <f t="shared" si="369"/>
        <v>0</v>
      </c>
      <c r="AK671" s="156">
        <f t="shared" si="369"/>
        <v>0</v>
      </c>
      <c r="AL671" s="156">
        <f t="shared" si="369"/>
        <v>0</v>
      </c>
      <c r="AM671" s="156">
        <f t="shared" si="369"/>
        <v>0</v>
      </c>
      <c r="AN671" s="156">
        <f t="shared" si="369"/>
        <v>0</v>
      </c>
      <c r="AO671" s="156">
        <f t="shared" si="369"/>
        <v>0</v>
      </c>
      <c r="AP671" s="156">
        <f t="shared" si="369"/>
        <v>0</v>
      </c>
    </row>
    <row r="672" spans="1:42" x14ac:dyDescent="0.4">
      <c r="A672" s="4" t="s">
        <v>266</v>
      </c>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row>
    <row r="673" spans="1:42" x14ac:dyDescent="0.4">
      <c r="A673" s="4">
        <v>1</v>
      </c>
      <c r="B673" s="171">
        <f t="shared" ref="B673:B682" si="370">SUM(C673:AP673)</f>
        <v>0</v>
      </c>
      <c r="C673" s="156">
        <f t="shared" ref="C673:AP673" si="371">IF(C$2&lt;=equip1_reserve_freq*$A$661,$B$661/(equip1_reserve_freq),0)</f>
        <v>0</v>
      </c>
      <c r="D673" s="156">
        <f t="shared" si="371"/>
        <v>0</v>
      </c>
      <c r="E673" s="156">
        <f t="shared" si="371"/>
        <v>0</v>
      </c>
      <c r="F673" s="156">
        <f t="shared" si="371"/>
        <v>0</v>
      </c>
      <c r="G673" s="156">
        <f t="shared" si="371"/>
        <v>0</v>
      </c>
      <c r="H673" s="156">
        <f t="shared" si="371"/>
        <v>0</v>
      </c>
      <c r="I673" s="156">
        <f t="shared" si="371"/>
        <v>0</v>
      </c>
      <c r="J673" s="156">
        <f t="shared" si="371"/>
        <v>0</v>
      </c>
      <c r="K673" s="156">
        <f t="shared" si="371"/>
        <v>0</v>
      </c>
      <c r="L673" s="156">
        <f t="shared" si="371"/>
        <v>0</v>
      </c>
      <c r="M673" s="156">
        <f t="shared" si="371"/>
        <v>0</v>
      </c>
      <c r="N673" s="156">
        <f t="shared" si="371"/>
        <v>0</v>
      </c>
      <c r="O673" s="156">
        <f t="shared" si="371"/>
        <v>0</v>
      </c>
      <c r="P673" s="156">
        <f t="shared" si="371"/>
        <v>0</v>
      </c>
      <c r="Q673" s="156">
        <f t="shared" si="371"/>
        <v>0</v>
      </c>
      <c r="R673" s="156">
        <f t="shared" si="371"/>
        <v>0</v>
      </c>
      <c r="S673" s="156">
        <f t="shared" si="371"/>
        <v>0</v>
      </c>
      <c r="T673" s="156">
        <f t="shared" si="371"/>
        <v>0</v>
      </c>
      <c r="U673" s="156">
        <f t="shared" si="371"/>
        <v>0</v>
      </c>
      <c r="V673" s="156">
        <f t="shared" si="371"/>
        <v>0</v>
      </c>
      <c r="W673" s="156">
        <f t="shared" si="371"/>
        <v>0</v>
      </c>
      <c r="X673" s="156">
        <f t="shared" si="371"/>
        <v>0</v>
      </c>
      <c r="Y673" s="156">
        <f t="shared" si="371"/>
        <v>0</v>
      </c>
      <c r="Z673" s="156">
        <f t="shared" si="371"/>
        <v>0</v>
      </c>
      <c r="AA673" s="156">
        <f t="shared" si="371"/>
        <v>0</v>
      </c>
      <c r="AB673" s="156">
        <f t="shared" si="371"/>
        <v>0</v>
      </c>
      <c r="AC673" s="156">
        <f t="shared" si="371"/>
        <v>0</v>
      </c>
      <c r="AD673" s="156">
        <f t="shared" si="371"/>
        <v>0</v>
      </c>
      <c r="AE673" s="156">
        <f t="shared" si="371"/>
        <v>0</v>
      </c>
      <c r="AF673" s="156">
        <f t="shared" si="371"/>
        <v>0</v>
      </c>
      <c r="AG673" s="156">
        <f t="shared" si="371"/>
        <v>0</v>
      </c>
      <c r="AH673" s="156">
        <f t="shared" si="371"/>
        <v>0</v>
      </c>
      <c r="AI673" s="156">
        <f t="shared" si="371"/>
        <v>0</v>
      </c>
      <c r="AJ673" s="156">
        <f t="shared" si="371"/>
        <v>0</v>
      </c>
      <c r="AK673" s="156">
        <f t="shared" si="371"/>
        <v>0</v>
      </c>
      <c r="AL673" s="156">
        <f t="shared" si="371"/>
        <v>0</v>
      </c>
      <c r="AM673" s="156">
        <f t="shared" si="371"/>
        <v>0</v>
      </c>
      <c r="AN673" s="156">
        <f t="shared" si="371"/>
        <v>0</v>
      </c>
      <c r="AO673" s="156">
        <f t="shared" si="371"/>
        <v>0</v>
      </c>
      <c r="AP673" s="156">
        <f t="shared" si="371"/>
        <v>0</v>
      </c>
    </row>
    <row r="674" spans="1:42" x14ac:dyDescent="0.4">
      <c r="A674" s="4">
        <f>A673+1</f>
        <v>2</v>
      </c>
      <c r="B674" s="171">
        <f t="shared" si="370"/>
        <v>0</v>
      </c>
      <c r="C674" s="173">
        <f t="shared" ref="C674:AP674" si="372">IF(AND(C$2&gt;equip1_reserve_freq*$A661,C$2&lt;=equip1_reserve_freq*$A662),$B662/(equip1_reserve_freq),0)</f>
        <v>0</v>
      </c>
      <c r="D674" s="156">
        <f t="shared" si="372"/>
        <v>0</v>
      </c>
      <c r="E674" s="156">
        <f t="shared" si="372"/>
        <v>0</v>
      </c>
      <c r="F674" s="156">
        <f t="shared" si="372"/>
        <v>0</v>
      </c>
      <c r="G674" s="156">
        <f t="shared" si="372"/>
        <v>0</v>
      </c>
      <c r="H674" s="156">
        <f t="shared" si="372"/>
        <v>0</v>
      </c>
      <c r="I674" s="156">
        <f t="shared" si="372"/>
        <v>0</v>
      </c>
      <c r="J674" s="156">
        <f t="shared" si="372"/>
        <v>0</v>
      </c>
      <c r="K674" s="156">
        <f t="shared" si="372"/>
        <v>0</v>
      </c>
      <c r="L674" s="156">
        <f t="shared" si="372"/>
        <v>0</v>
      </c>
      <c r="M674" s="156">
        <f t="shared" si="372"/>
        <v>0</v>
      </c>
      <c r="N674" s="156">
        <f t="shared" si="372"/>
        <v>0</v>
      </c>
      <c r="O674" s="156">
        <f t="shared" si="372"/>
        <v>0</v>
      </c>
      <c r="P674" s="156">
        <f t="shared" si="372"/>
        <v>0</v>
      </c>
      <c r="Q674" s="156">
        <f t="shared" si="372"/>
        <v>0</v>
      </c>
      <c r="R674" s="156">
        <f t="shared" si="372"/>
        <v>0</v>
      </c>
      <c r="S674" s="156">
        <f t="shared" si="372"/>
        <v>0</v>
      </c>
      <c r="T674" s="156">
        <f t="shared" si="372"/>
        <v>0</v>
      </c>
      <c r="U674" s="156">
        <f t="shared" si="372"/>
        <v>0</v>
      </c>
      <c r="V674" s="156">
        <f t="shared" si="372"/>
        <v>0</v>
      </c>
      <c r="W674" s="156">
        <f t="shared" si="372"/>
        <v>0</v>
      </c>
      <c r="X674" s="156">
        <f t="shared" si="372"/>
        <v>0</v>
      </c>
      <c r="Y674" s="156">
        <f t="shared" si="372"/>
        <v>0</v>
      </c>
      <c r="Z674" s="156">
        <f t="shared" si="372"/>
        <v>0</v>
      </c>
      <c r="AA674" s="156">
        <f t="shared" si="372"/>
        <v>0</v>
      </c>
      <c r="AB674" s="156">
        <f t="shared" si="372"/>
        <v>0</v>
      </c>
      <c r="AC674" s="156">
        <f t="shared" si="372"/>
        <v>0</v>
      </c>
      <c r="AD674" s="156">
        <f t="shared" si="372"/>
        <v>0</v>
      </c>
      <c r="AE674" s="156">
        <f t="shared" si="372"/>
        <v>0</v>
      </c>
      <c r="AF674" s="156">
        <f t="shared" si="372"/>
        <v>0</v>
      </c>
      <c r="AG674" s="156">
        <f t="shared" si="372"/>
        <v>0</v>
      </c>
      <c r="AH674" s="156">
        <f t="shared" si="372"/>
        <v>0</v>
      </c>
      <c r="AI674" s="156">
        <f t="shared" si="372"/>
        <v>0</v>
      </c>
      <c r="AJ674" s="156">
        <f t="shared" si="372"/>
        <v>0</v>
      </c>
      <c r="AK674" s="156">
        <f t="shared" si="372"/>
        <v>0</v>
      </c>
      <c r="AL674" s="156">
        <f t="shared" si="372"/>
        <v>0</v>
      </c>
      <c r="AM674" s="156">
        <f t="shared" si="372"/>
        <v>0</v>
      </c>
      <c r="AN674" s="156">
        <f t="shared" si="372"/>
        <v>0</v>
      </c>
      <c r="AO674" s="156">
        <f t="shared" si="372"/>
        <v>0</v>
      </c>
      <c r="AP674" s="156">
        <f t="shared" si="372"/>
        <v>0</v>
      </c>
    </row>
    <row r="675" spans="1:42" x14ac:dyDescent="0.4">
      <c r="A675" s="4">
        <f t="shared" ref="A675:A680" si="373">A674+1</f>
        <v>3</v>
      </c>
      <c r="B675" s="171">
        <f t="shared" si="370"/>
        <v>0</v>
      </c>
      <c r="C675" s="173">
        <f t="shared" ref="C675:AP675" si="374">IF(AND(C$2&gt;equip1_reserve_freq*$A662,C$2&lt;=equip1_reserve_freq*$A663),$B663/(equip1_reserve_freq),0)</f>
        <v>0</v>
      </c>
      <c r="D675" s="156">
        <f t="shared" si="374"/>
        <v>0</v>
      </c>
      <c r="E675" s="156">
        <f t="shared" si="374"/>
        <v>0</v>
      </c>
      <c r="F675" s="156">
        <f t="shared" si="374"/>
        <v>0</v>
      </c>
      <c r="G675" s="156">
        <f t="shared" si="374"/>
        <v>0</v>
      </c>
      <c r="H675" s="156">
        <f t="shared" si="374"/>
        <v>0</v>
      </c>
      <c r="I675" s="156">
        <f t="shared" si="374"/>
        <v>0</v>
      </c>
      <c r="J675" s="156">
        <f t="shared" si="374"/>
        <v>0</v>
      </c>
      <c r="K675" s="156">
        <f t="shared" si="374"/>
        <v>0</v>
      </c>
      <c r="L675" s="156">
        <f t="shared" si="374"/>
        <v>0</v>
      </c>
      <c r="M675" s="156">
        <f t="shared" si="374"/>
        <v>0</v>
      </c>
      <c r="N675" s="156">
        <f t="shared" si="374"/>
        <v>0</v>
      </c>
      <c r="O675" s="156">
        <f t="shared" si="374"/>
        <v>0</v>
      </c>
      <c r="P675" s="156">
        <f t="shared" si="374"/>
        <v>0</v>
      </c>
      <c r="Q675" s="156">
        <f t="shared" si="374"/>
        <v>0</v>
      </c>
      <c r="R675" s="156">
        <f t="shared" si="374"/>
        <v>0</v>
      </c>
      <c r="S675" s="156">
        <f t="shared" si="374"/>
        <v>0</v>
      </c>
      <c r="T675" s="156">
        <f t="shared" si="374"/>
        <v>0</v>
      </c>
      <c r="U675" s="156">
        <f t="shared" si="374"/>
        <v>0</v>
      </c>
      <c r="V675" s="156">
        <f t="shared" si="374"/>
        <v>0</v>
      </c>
      <c r="W675" s="156">
        <f t="shared" si="374"/>
        <v>0</v>
      </c>
      <c r="X675" s="156">
        <f t="shared" si="374"/>
        <v>0</v>
      </c>
      <c r="Y675" s="156">
        <f t="shared" si="374"/>
        <v>0</v>
      </c>
      <c r="Z675" s="156">
        <f t="shared" si="374"/>
        <v>0</v>
      </c>
      <c r="AA675" s="156">
        <f t="shared" si="374"/>
        <v>0</v>
      </c>
      <c r="AB675" s="156">
        <f t="shared" si="374"/>
        <v>0</v>
      </c>
      <c r="AC675" s="156">
        <f t="shared" si="374"/>
        <v>0</v>
      </c>
      <c r="AD675" s="156">
        <f t="shared" si="374"/>
        <v>0</v>
      </c>
      <c r="AE675" s="156">
        <f t="shared" si="374"/>
        <v>0</v>
      </c>
      <c r="AF675" s="156">
        <f t="shared" si="374"/>
        <v>0</v>
      </c>
      <c r="AG675" s="156">
        <f t="shared" si="374"/>
        <v>0</v>
      </c>
      <c r="AH675" s="156">
        <f t="shared" si="374"/>
        <v>0</v>
      </c>
      <c r="AI675" s="156">
        <f t="shared" si="374"/>
        <v>0</v>
      </c>
      <c r="AJ675" s="156">
        <f t="shared" si="374"/>
        <v>0</v>
      </c>
      <c r="AK675" s="156">
        <f t="shared" si="374"/>
        <v>0</v>
      </c>
      <c r="AL675" s="156">
        <f t="shared" si="374"/>
        <v>0</v>
      </c>
      <c r="AM675" s="156">
        <f t="shared" si="374"/>
        <v>0</v>
      </c>
      <c r="AN675" s="156">
        <f t="shared" si="374"/>
        <v>0</v>
      </c>
      <c r="AO675" s="156">
        <f t="shared" si="374"/>
        <v>0</v>
      </c>
      <c r="AP675" s="156">
        <f t="shared" si="374"/>
        <v>0</v>
      </c>
    </row>
    <row r="676" spans="1:42" x14ac:dyDescent="0.4">
      <c r="A676" s="4">
        <f t="shared" si="373"/>
        <v>4</v>
      </c>
      <c r="B676" s="171">
        <f t="shared" si="370"/>
        <v>0</v>
      </c>
      <c r="C676" s="173">
        <f t="shared" ref="C676:AP676" si="375">IF(AND(C$2&gt;equip1_reserve_freq*$A663,C$2&lt;=equip1_reserve_freq*$A664),$B664/(equip1_reserve_freq),0)</f>
        <v>0</v>
      </c>
      <c r="D676" s="156">
        <f t="shared" si="375"/>
        <v>0</v>
      </c>
      <c r="E676" s="156">
        <f t="shared" si="375"/>
        <v>0</v>
      </c>
      <c r="F676" s="156">
        <f t="shared" si="375"/>
        <v>0</v>
      </c>
      <c r="G676" s="156">
        <f t="shared" si="375"/>
        <v>0</v>
      </c>
      <c r="H676" s="156">
        <f t="shared" si="375"/>
        <v>0</v>
      </c>
      <c r="I676" s="156">
        <f t="shared" si="375"/>
        <v>0</v>
      </c>
      <c r="J676" s="156">
        <f t="shared" si="375"/>
        <v>0</v>
      </c>
      <c r="K676" s="156">
        <f t="shared" si="375"/>
        <v>0</v>
      </c>
      <c r="L676" s="156">
        <f t="shared" si="375"/>
        <v>0</v>
      </c>
      <c r="M676" s="156">
        <f t="shared" si="375"/>
        <v>0</v>
      </c>
      <c r="N676" s="156">
        <f t="shared" si="375"/>
        <v>0</v>
      </c>
      <c r="O676" s="156">
        <f t="shared" si="375"/>
        <v>0</v>
      </c>
      <c r="P676" s="156">
        <f t="shared" si="375"/>
        <v>0</v>
      </c>
      <c r="Q676" s="156">
        <f t="shared" si="375"/>
        <v>0</v>
      </c>
      <c r="R676" s="156">
        <f t="shared" si="375"/>
        <v>0</v>
      </c>
      <c r="S676" s="156">
        <f t="shared" si="375"/>
        <v>0</v>
      </c>
      <c r="T676" s="156">
        <f t="shared" si="375"/>
        <v>0</v>
      </c>
      <c r="U676" s="156">
        <f t="shared" si="375"/>
        <v>0</v>
      </c>
      <c r="V676" s="156">
        <f t="shared" si="375"/>
        <v>0</v>
      </c>
      <c r="W676" s="156">
        <f t="shared" si="375"/>
        <v>0</v>
      </c>
      <c r="X676" s="156">
        <f t="shared" si="375"/>
        <v>0</v>
      </c>
      <c r="Y676" s="156">
        <f t="shared" si="375"/>
        <v>0</v>
      </c>
      <c r="Z676" s="156">
        <f t="shared" si="375"/>
        <v>0</v>
      </c>
      <c r="AA676" s="156">
        <f t="shared" si="375"/>
        <v>0</v>
      </c>
      <c r="AB676" s="156">
        <f t="shared" si="375"/>
        <v>0</v>
      </c>
      <c r="AC676" s="156">
        <f t="shared" si="375"/>
        <v>0</v>
      </c>
      <c r="AD676" s="156">
        <f t="shared" si="375"/>
        <v>0</v>
      </c>
      <c r="AE676" s="156">
        <f t="shared" si="375"/>
        <v>0</v>
      </c>
      <c r="AF676" s="156">
        <f t="shared" si="375"/>
        <v>0</v>
      </c>
      <c r="AG676" s="156">
        <f t="shared" si="375"/>
        <v>0</v>
      </c>
      <c r="AH676" s="156">
        <f t="shared" si="375"/>
        <v>0</v>
      </c>
      <c r="AI676" s="156">
        <f t="shared" si="375"/>
        <v>0</v>
      </c>
      <c r="AJ676" s="156">
        <f t="shared" si="375"/>
        <v>0</v>
      </c>
      <c r="AK676" s="156">
        <f t="shared" si="375"/>
        <v>0</v>
      </c>
      <c r="AL676" s="156">
        <f t="shared" si="375"/>
        <v>0</v>
      </c>
      <c r="AM676" s="156">
        <f t="shared" si="375"/>
        <v>0</v>
      </c>
      <c r="AN676" s="156">
        <f t="shared" si="375"/>
        <v>0</v>
      </c>
      <c r="AO676" s="156">
        <f t="shared" si="375"/>
        <v>0</v>
      </c>
      <c r="AP676" s="156">
        <f t="shared" si="375"/>
        <v>0</v>
      </c>
    </row>
    <row r="677" spans="1:42" x14ac:dyDescent="0.4">
      <c r="A677" s="4">
        <f t="shared" si="373"/>
        <v>5</v>
      </c>
      <c r="B677" s="171">
        <f t="shared" si="370"/>
        <v>0</v>
      </c>
      <c r="C677" s="173">
        <f t="shared" ref="C677:AP677" si="376">IF(AND(C$2&gt;equip1_reserve_freq*$A664,C$2&lt;=equip1_reserve_freq*$A665),$B665/(equip1_reserve_freq),0)</f>
        <v>0</v>
      </c>
      <c r="D677" s="156">
        <f t="shared" si="376"/>
        <v>0</v>
      </c>
      <c r="E677" s="156">
        <f t="shared" si="376"/>
        <v>0</v>
      </c>
      <c r="F677" s="156">
        <f t="shared" si="376"/>
        <v>0</v>
      </c>
      <c r="G677" s="156">
        <f t="shared" si="376"/>
        <v>0</v>
      </c>
      <c r="H677" s="156">
        <f t="shared" si="376"/>
        <v>0</v>
      </c>
      <c r="I677" s="156">
        <f t="shared" si="376"/>
        <v>0</v>
      </c>
      <c r="J677" s="156">
        <f t="shared" si="376"/>
        <v>0</v>
      </c>
      <c r="K677" s="156">
        <f t="shared" si="376"/>
        <v>0</v>
      </c>
      <c r="L677" s="156">
        <f t="shared" si="376"/>
        <v>0</v>
      </c>
      <c r="M677" s="156">
        <f t="shared" si="376"/>
        <v>0</v>
      </c>
      <c r="N677" s="156">
        <f t="shared" si="376"/>
        <v>0</v>
      </c>
      <c r="O677" s="156">
        <f t="shared" si="376"/>
        <v>0</v>
      </c>
      <c r="P677" s="156">
        <f t="shared" si="376"/>
        <v>0</v>
      </c>
      <c r="Q677" s="156">
        <f t="shared" si="376"/>
        <v>0</v>
      </c>
      <c r="R677" s="156">
        <f t="shared" si="376"/>
        <v>0</v>
      </c>
      <c r="S677" s="156">
        <f t="shared" si="376"/>
        <v>0</v>
      </c>
      <c r="T677" s="156">
        <f t="shared" si="376"/>
        <v>0</v>
      </c>
      <c r="U677" s="156">
        <f t="shared" si="376"/>
        <v>0</v>
      </c>
      <c r="V677" s="156">
        <f t="shared" si="376"/>
        <v>0</v>
      </c>
      <c r="W677" s="156">
        <f t="shared" si="376"/>
        <v>0</v>
      </c>
      <c r="X677" s="156">
        <f t="shared" si="376"/>
        <v>0</v>
      </c>
      <c r="Y677" s="156">
        <f t="shared" si="376"/>
        <v>0</v>
      </c>
      <c r="Z677" s="156">
        <f t="shared" si="376"/>
        <v>0</v>
      </c>
      <c r="AA677" s="156">
        <f t="shared" si="376"/>
        <v>0</v>
      </c>
      <c r="AB677" s="156">
        <f t="shared" si="376"/>
        <v>0</v>
      </c>
      <c r="AC677" s="156">
        <f t="shared" si="376"/>
        <v>0</v>
      </c>
      <c r="AD677" s="156">
        <f t="shared" si="376"/>
        <v>0</v>
      </c>
      <c r="AE677" s="156">
        <f t="shared" si="376"/>
        <v>0</v>
      </c>
      <c r="AF677" s="156">
        <f t="shared" si="376"/>
        <v>0</v>
      </c>
      <c r="AG677" s="156">
        <f t="shared" si="376"/>
        <v>0</v>
      </c>
      <c r="AH677" s="156">
        <f t="shared" si="376"/>
        <v>0</v>
      </c>
      <c r="AI677" s="156">
        <f t="shared" si="376"/>
        <v>0</v>
      </c>
      <c r="AJ677" s="156">
        <f t="shared" si="376"/>
        <v>0</v>
      </c>
      <c r="AK677" s="156">
        <f t="shared" si="376"/>
        <v>0</v>
      </c>
      <c r="AL677" s="156">
        <f t="shared" si="376"/>
        <v>0</v>
      </c>
      <c r="AM677" s="156">
        <f t="shared" si="376"/>
        <v>0</v>
      </c>
      <c r="AN677" s="156">
        <f t="shared" si="376"/>
        <v>0</v>
      </c>
      <c r="AO677" s="156">
        <f t="shared" si="376"/>
        <v>0</v>
      </c>
      <c r="AP677" s="156">
        <f t="shared" si="376"/>
        <v>0</v>
      </c>
    </row>
    <row r="678" spans="1:42" x14ac:dyDescent="0.4">
      <c r="A678" s="4">
        <f t="shared" si="373"/>
        <v>6</v>
      </c>
      <c r="B678" s="171">
        <f t="shared" si="370"/>
        <v>0</v>
      </c>
      <c r="C678" s="173">
        <f t="shared" ref="C678:AP678" si="377">IF(AND(C$2&gt;equip1_reserve_freq*$A665,C$2&lt;=equip1_reserve_freq*$A666),$B666/(equip1_reserve_freq),0)</f>
        <v>0</v>
      </c>
      <c r="D678" s="156">
        <f t="shared" si="377"/>
        <v>0</v>
      </c>
      <c r="E678" s="156">
        <f t="shared" si="377"/>
        <v>0</v>
      </c>
      <c r="F678" s="156">
        <f t="shared" si="377"/>
        <v>0</v>
      </c>
      <c r="G678" s="156">
        <f t="shared" si="377"/>
        <v>0</v>
      </c>
      <c r="H678" s="156">
        <f t="shared" si="377"/>
        <v>0</v>
      </c>
      <c r="I678" s="156">
        <f t="shared" si="377"/>
        <v>0</v>
      </c>
      <c r="J678" s="156">
        <f t="shared" si="377"/>
        <v>0</v>
      </c>
      <c r="K678" s="156">
        <f t="shared" si="377"/>
        <v>0</v>
      </c>
      <c r="L678" s="156">
        <f t="shared" si="377"/>
        <v>0</v>
      </c>
      <c r="M678" s="156">
        <f t="shared" si="377"/>
        <v>0</v>
      </c>
      <c r="N678" s="156">
        <f t="shared" si="377"/>
        <v>0</v>
      </c>
      <c r="O678" s="156">
        <f t="shared" si="377"/>
        <v>0</v>
      </c>
      <c r="P678" s="156">
        <f t="shared" si="377"/>
        <v>0</v>
      </c>
      <c r="Q678" s="156">
        <f t="shared" si="377"/>
        <v>0</v>
      </c>
      <c r="R678" s="156">
        <f t="shared" si="377"/>
        <v>0</v>
      </c>
      <c r="S678" s="156">
        <f t="shared" si="377"/>
        <v>0</v>
      </c>
      <c r="T678" s="156">
        <f t="shared" si="377"/>
        <v>0</v>
      </c>
      <c r="U678" s="156">
        <f t="shared" si="377"/>
        <v>0</v>
      </c>
      <c r="V678" s="156">
        <f t="shared" si="377"/>
        <v>0</v>
      </c>
      <c r="W678" s="156">
        <f t="shared" si="377"/>
        <v>0</v>
      </c>
      <c r="X678" s="156">
        <f t="shared" si="377"/>
        <v>0</v>
      </c>
      <c r="Y678" s="156">
        <f t="shared" si="377"/>
        <v>0</v>
      </c>
      <c r="Z678" s="156">
        <f t="shared" si="377"/>
        <v>0</v>
      </c>
      <c r="AA678" s="156">
        <f t="shared" si="377"/>
        <v>0</v>
      </c>
      <c r="AB678" s="156">
        <f t="shared" si="377"/>
        <v>0</v>
      </c>
      <c r="AC678" s="156">
        <f t="shared" si="377"/>
        <v>0</v>
      </c>
      <c r="AD678" s="156">
        <f t="shared" si="377"/>
        <v>0</v>
      </c>
      <c r="AE678" s="156">
        <f t="shared" si="377"/>
        <v>0</v>
      </c>
      <c r="AF678" s="156">
        <f t="shared" si="377"/>
        <v>0</v>
      </c>
      <c r="AG678" s="156">
        <f t="shared" si="377"/>
        <v>0</v>
      </c>
      <c r="AH678" s="156">
        <f t="shared" si="377"/>
        <v>0</v>
      </c>
      <c r="AI678" s="156">
        <f t="shared" si="377"/>
        <v>0</v>
      </c>
      <c r="AJ678" s="156">
        <f t="shared" si="377"/>
        <v>0</v>
      </c>
      <c r="AK678" s="156">
        <f t="shared" si="377"/>
        <v>0</v>
      </c>
      <c r="AL678" s="156">
        <f t="shared" si="377"/>
        <v>0</v>
      </c>
      <c r="AM678" s="156">
        <f t="shared" si="377"/>
        <v>0</v>
      </c>
      <c r="AN678" s="156">
        <f t="shared" si="377"/>
        <v>0</v>
      </c>
      <c r="AO678" s="156">
        <f t="shared" si="377"/>
        <v>0</v>
      </c>
      <c r="AP678" s="156">
        <f t="shared" si="377"/>
        <v>0</v>
      </c>
    </row>
    <row r="679" spans="1:42" x14ac:dyDescent="0.4">
      <c r="A679" s="4">
        <f t="shared" si="373"/>
        <v>7</v>
      </c>
      <c r="B679" s="171">
        <f t="shared" si="370"/>
        <v>0</v>
      </c>
      <c r="C679" s="173">
        <f t="shared" ref="C679:AP679" si="378">IF(AND(C$2&gt;equip1_reserve_freq*$A666,C$2&lt;=equip1_reserve_freq*$A667),$B667/(equip1_reserve_freq),0)</f>
        <v>0</v>
      </c>
      <c r="D679" s="156">
        <f t="shared" si="378"/>
        <v>0</v>
      </c>
      <c r="E679" s="156">
        <f t="shared" si="378"/>
        <v>0</v>
      </c>
      <c r="F679" s="156">
        <f t="shared" si="378"/>
        <v>0</v>
      </c>
      <c r="G679" s="156">
        <f t="shared" si="378"/>
        <v>0</v>
      </c>
      <c r="H679" s="156">
        <f t="shared" si="378"/>
        <v>0</v>
      </c>
      <c r="I679" s="156">
        <f t="shared" si="378"/>
        <v>0</v>
      </c>
      <c r="J679" s="156">
        <f t="shared" si="378"/>
        <v>0</v>
      </c>
      <c r="K679" s="156">
        <f t="shared" si="378"/>
        <v>0</v>
      </c>
      <c r="L679" s="156">
        <f t="shared" si="378"/>
        <v>0</v>
      </c>
      <c r="M679" s="156">
        <f t="shared" si="378"/>
        <v>0</v>
      </c>
      <c r="N679" s="156">
        <f t="shared" si="378"/>
        <v>0</v>
      </c>
      <c r="O679" s="156">
        <f t="shared" si="378"/>
        <v>0</v>
      </c>
      <c r="P679" s="156">
        <f t="shared" si="378"/>
        <v>0</v>
      </c>
      <c r="Q679" s="156">
        <f t="shared" si="378"/>
        <v>0</v>
      </c>
      <c r="R679" s="156">
        <f t="shared" si="378"/>
        <v>0</v>
      </c>
      <c r="S679" s="156">
        <f t="shared" si="378"/>
        <v>0</v>
      </c>
      <c r="T679" s="156">
        <f t="shared" si="378"/>
        <v>0</v>
      </c>
      <c r="U679" s="156">
        <f t="shared" si="378"/>
        <v>0</v>
      </c>
      <c r="V679" s="156">
        <f t="shared" si="378"/>
        <v>0</v>
      </c>
      <c r="W679" s="156">
        <f t="shared" si="378"/>
        <v>0</v>
      </c>
      <c r="X679" s="156">
        <f t="shared" si="378"/>
        <v>0</v>
      </c>
      <c r="Y679" s="156">
        <f t="shared" si="378"/>
        <v>0</v>
      </c>
      <c r="Z679" s="156">
        <f t="shared" si="378"/>
        <v>0</v>
      </c>
      <c r="AA679" s="156">
        <f t="shared" si="378"/>
        <v>0</v>
      </c>
      <c r="AB679" s="156">
        <f t="shared" si="378"/>
        <v>0</v>
      </c>
      <c r="AC679" s="156">
        <f t="shared" si="378"/>
        <v>0</v>
      </c>
      <c r="AD679" s="156">
        <f t="shared" si="378"/>
        <v>0</v>
      </c>
      <c r="AE679" s="156">
        <f t="shared" si="378"/>
        <v>0</v>
      </c>
      <c r="AF679" s="156">
        <f t="shared" si="378"/>
        <v>0</v>
      </c>
      <c r="AG679" s="156">
        <f t="shared" si="378"/>
        <v>0</v>
      </c>
      <c r="AH679" s="156">
        <f t="shared" si="378"/>
        <v>0</v>
      </c>
      <c r="AI679" s="156">
        <f t="shared" si="378"/>
        <v>0</v>
      </c>
      <c r="AJ679" s="156">
        <f t="shared" si="378"/>
        <v>0</v>
      </c>
      <c r="AK679" s="156">
        <f t="shared" si="378"/>
        <v>0</v>
      </c>
      <c r="AL679" s="156">
        <f t="shared" si="378"/>
        <v>0</v>
      </c>
      <c r="AM679" s="156">
        <f t="shared" si="378"/>
        <v>0</v>
      </c>
      <c r="AN679" s="156">
        <f t="shared" si="378"/>
        <v>0</v>
      </c>
      <c r="AO679" s="156">
        <f t="shared" si="378"/>
        <v>0</v>
      </c>
      <c r="AP679" s="156">
        <f t="shared" si="378"/>
        <v>0</v>
      </c>
    </row>
    <row r="680" spans="1:42" x14ac:dyDescent="0.4">
      <c r="A680" s="4">
        <f t="shared" si="373"/>
        <v>8</v>
      </c>
      <c r="B680" s="171">
        <f t="shared" si="370"/>
        <v>0</v>
      </c>
      <c r="C680" s="173">
        <f t="shared" ref="C680:AP680" si="379">IF(AND(C$2&gt;equip1_reserve_freq*$A667,C$2&lt;=equip1_reserve_freq*$A668),$B668/(equip1_reserve_freq),0)</f>
        <v>0</v>
      </c>
      <c r="D680" s="156">
        <f t="shared" si="379"/>
        <v>0</v>
      </c>
      <c r="E680" s="156">
        <f t="shared" si="379"/>
        <v>0</v>
      </c>
      <c r="F680" s="156">
        <f t="shared" si="379"/>
        <v>0</v>
      </c>
      <c r="G680" s="156">
        <f t="shared" si="379"/>
        <v>0</v>
      </c>
      <c r="H680" s="156">
        <f t="shared" si="379"/>
        <v>0</v>
      </c>
      <c r="I680" s="156">
        <f t="shared" si="379"/>
        <v>0</v>
      </c>
      <c r="J680" s="156">
        <f t="shared" si="379"/>
        <v>0</v>
      </c>
      <c r="K680" s="156">
        <f t="shared" si="379"/>
        <v>0</v>
      </c>
      <c r="L680" s="156">
        <f t="shared" si="379"/>
        <v>0</v>
      </c>
      <c r="M680" s="156">
        <f t="shared" si="379"/>
        <v>0</v>
      </c>
      <c r="N680" s="156">
        <f t="shared" si="379"/>
        <v>0</v>
      </c>
      <c r="O680" s="156">
        <f t="shared" si="379"/>
        <v>0</v>
      </c>
      <c r="P680" s="156">
        <f t="shared" si="379"/>
        <v>0</v>
      </c>
      <c r="Q680" s="156">
        <f t="shared" si="379"/>
        <v>0</v>
      </c>
      <c r="R680" s="156">
        <f t="shared" si="379"/>
        <v>0</v>
      </c>
      <c r="S680" s="156">
        <f t="shared" si="379"/>
        <v>0</v>
      </c>
      <c r="T680" s="156">
        <f t="shared" si="379"/>
        <v>0</v>
      </c>
      <c r="U680" s="156">
        <f t="shared" si="379"/>
        <v>0</v>
      </c>
      <c r="V680" s="156">
        <f t="shared" si="379"/>
        <v>0</v>
      </c>
      <c r="W680" s="156">
        <f t="shared" si="379"/>
        <v>0</v>
      </c>
      <c r="X680" s="156">
        <f t="shared" si="379"/>
        <v>0</v>
      </c>
      <c r="Y680" s="156">
        <f t="shared" si="379"/>
        <v>0</v>
      </c>
      <c r="Z680" s="156">
        <f t="shared" si="379"/>
        <v>0</v>
      </c>
      <c r="AA680" s="156">
        <f t="shared" si="379"/>
        <v>0</v>
      </c>
      <c r="AB680" s="156">
        <f t="shared" si="379"/>
        <v>0</v>
      </c>
      <c r="AC680" s="156">
        <f t="shared" si="379"/>
        <v>0</v>
      </c>
      <c r="AD680" s="156">
        <f t="shared" si="379"/>
        <v>0</v>
      </c>
      <c r="AE680" s="156">
        <f t="shared" si="379"/>
        <v>0</v>
      </c>
      <c r="AF680" s="156">
        <f t="shared" si="379"/>
        <v>0</v>
      </c>
      <c r="AG680" s="156">
        <f t="shared" si="379"/>
        <v>0</v>
      </c>
      <c r="AH680" s="156">
        <f t="shared" si="379"/>
        <v>0</v>
      </c>
      <c r="AI680" s="156">
        <f t="shared" si="379"/>
        <v>0</v>
      </c>
      <c r="AJ680" s="156">
        <f t="shared" si="379"/>
        <v>0</v>
      </c>
      <c r="AK680" s="156">
        <f t="shared" si="379"/>
        <v>0</v>
      </c>
      <c r="AL680" s="156">
        <f t="shared" si="379"/>
        <v>0</v>
      </c>
      <c r="AM680" s="156">
        <f t="shared" si="379"/>
        <v>0</v>
      </c>
      <c r="AN680" s="156">
        <f t="shared" si="379"/>
        <v>0</v>
      </c>
      <c r="AO680" s="156">
        <f t="shared" si="379"/>
        <v>0</v>
      </c>
      <c r="AP680" s="156">
        <f t="shared" si="379"/>
        <v>0</v>
      </c>
    </row>
    <row r="681" spans="1:42" x14ac:dyDescent="0.4">
      <c r="A681" s="4">
        <f>A680+1</f>
        <v>9</v>
      </c>
      <c r="B681" s="171">
        <f t="shared" si="370"/>
        <v>0</v>
      </c>
      <c r="C681" s="173">
        <f t="shared" ref="C681:AP681" si="380">IF(AND(C$2&gt;equip1_reserve_freq*$A668,C$2&lt;=equip1_reserve_freq*$A669),$B669/(equip1_reserve_freq),0)</f>
        <v>0</v>
      </c>
      <c r="D681" s="156">
        <f t="shared" si="380"/>
        <v>0</v>
      </c>
      <c r="E681" s="156">
        <f t="shared" si="380"/>
        <v>0</v>
      </c>
      <c r="F681" s="156">
        <f t="shared" si="380"/>
        <v>0</v>
      </c>
      <c r="G681" s="156">
        <f t="shared" si="380"/>
        <v>0</v>
      </c>
      <c r="H681" s="156">
        <f t="shared" si="380"/>
        <v>0</v>
      </c>
      <c r="I681" s="156">
        <f t="shared" si="380"/>
        <v>0</v>
      </c>
      <c r="J681" s="156">
        <f t="shared" si="380"/>
        <v>0</v>
      </c>
      <c r="K681" s="156">
        <f t="shared" si="380"/>
        <v>0</v>
      </c>
      <c r="L681" s="156">
        <f t="shared" si="380"/>
        <v>0</v>
      </c>
      <c r="M681" s="156">
        <f t="shared" si="380"/>
        <v>0</v>
      </c>
      <c r="N681" s="156">
        <f t="shared" si="380"/>
        <v>0</v>
      </c>
      <c r="O681" s="156">
        <f t="shared" si="380"/>
        <v>0</v>
      </c>
      <c r="P681" s="156">
        <f t="shared" si="380"/>
        <v>0</v>
      </c>
      <c r="Q681" s="156">
        <f t="shared" si="380"/>
        <v>0</v>
      </c>
      <c r="R681" s="156">
        <f t="shared" si="380"/>
        <v>0</v>
      </c>
      <c r="S681" s="156">
        <f t="shared" si="380"/>
        <v>0</v>
      </c>
      <c r="T681" s="156">
        <f t="shared" si="380"/>
        <v>0</v>
      </c>
      <c r="U681" s="156">
        <f t="shared" si="380"/>
        <v>0</v>
      </c>
      <c r="V681" s="156">
        <f t="shared" si="380"/>
        <v>0</v>
      </c>
      <c r="W681" s="156">
        <f t="shared" si="380"/>
        <v>0</v>
      </c>
      <c r="X681" s="156">
        <f t="shared" si="380"/>
        <v>0</v>
      </c>
      <c r="Y681" s="156">
        <f t="shared" si="380"/>
        <v>0</v>
      </c>
      <c r="Z681" s="156">
        <f t="shared" si="380"/>
        <v>0</v>
      </c>
      <c r="AA681" s="156">
        <f t="shared" si="380"/>
        <v>0</v>
      </c>
      <c r="AB681" s="156">
        <f t="shared" si="380"/>
        <v>0</v>
      </c>
      <c r="AC681" s="156">
        <f t="shared" si="380"/>
        <v>0</v>
      </c>
      <c r="AD681" s="156">
        <f t="shared" si="380"/>
        <v>0</v>
      </c>
      <c r="AE681" s="156">
        <f t="shared" si="380"/>
        <v>0</v>
      </c>
      <c r="AF681" s="156">
        <f t="shared" si="380"/>
        <v>0</v>
      </c>
      <c r="AG681" s="156">
        <f t="shared" si="380"/>
        <v>0</v>
      </c>
      <c r="AH681" s="156">
        <f t="shared" si="380"/>
        <v>0</v>
      </c>
      <c r="AI681" s="156">
        <f t="shared" si="380"/>
        <v>0</v>
      </c>
      <c r="AJ681" s="156">
        <f t="shared" si="380"/>
        <v>0</v>
      </c>
      <c r="AK681" s="156">
        <f t="shared" si="380"/>
        <v>0</v>
      </c>
      <c r="AL681" s="156">
        <f t="shared" si="380"/>
        <v>0</v>
      </c>
      <c r="AM681" s="156">
        <f t="shared" si="380"/>
        <v>0</v>
      </c>
      <c r="AN681" s="156">
        <f t="shared" si="380"/>
        <v>0</v>
      </c>
      <c r="AO681" s="156">
        <f t="shared" si="380"/>
        <v>0</v>
      </c>
      <c r="AP681" s="156">
        <f t="shared" si="380"/>
        <v>0</v>
      </c>
    </row>
    <row r="682" spans="1:42" x14ac:dyDescent="0.4">
      <c r="A682" s="4">
        <f t="shared" ref="A682" si="381">A681+1</f>
        <v>10</v>
      </c>
      <c r="B682" s="171">
        <f t="shared" si="370"/>
        <v>0</v>
      </c>
      <c r="C682" s="172">
        <f t="shared" ref="C682:AP682" si="382">IF(AND(C$2&gt;equip1_reserve_freq*$A669,C$2&lt;=equip1_reserve_freq*$A670),$B670/(equip1_reserve_freq),0)</f>
        <v>0</v>
      </c>
      <c r="D682" s="157">
        <f t="shared" si="382"/>
        <v>0</v>
      </c>
      <c r="E682" s="157">
        <f t="shared" si="382"/>
        <v>0</v>
      </c>
      <c r="F682" s="157">
        <f t="shared" si="382"/>
        <v>0</v>
      </c>
      <c r="G682" s="157">
        <f t="shared" si="382"/>
        <v>0</v>
      </c>
      <c r="H682" s="157">
        <f t="shared" si="382"/>
        <v>0</v>
      </c>
      <c r="I682" s="157">
        <f t="shared" si="382"/>
        <v>0</v>
      </c>
      <c r="J682" s="157">
        <f t="shared" si="382"/>
        <v>0</v>
      </c>
      <c r="K682" s="157">
        <f t="shared" si="382"/>
        <v>0</v>
      </c>
      <c r="L682" s="157">
        <f t="shared" si="382"/>
        <v>0</v>
      </c>
      <c r="M682" s="157">
        <f t="shared" si="382"/>
        <v>0</v>
      </c>
      <c r="N682" s="157">
        <f t="shared" si="382"/>
        <v>0</v>
      </c>
      <c r="O682" s="157">
        <f t="shared" si="382"/>
        <v>0</v>
      </c>
      <c r="P682" s="157">
        <f t="shared" si="382"/>
        <v>0</v>
      </c>
      <c r="Q682" s="157">
        <f t="shared" si="382"/>
        <v>0</v>
      </c>
      <c r="R682" s="157">
        <f t="shared" si="382"/>
        <v>0</v>
      </c>
      <c r="S682" s="157">
        <f t="shared" si="382"/>
        <v>0</v>
      </c>
      <c r="T682" s="157">
        <f t="shared" si="382"/>
        <v>0</v>
      </c>
      <c r="U682" s="157">
        <f t="shared" si="382"/>
        <v>0</v>
      </c>
      <c r="V682" s="157">
        <f t="shared" si="382"/>
        <v>0</v>
      </c>
      <c r="W682" s="157">
        <f t="shared" si="382"/>
        <v>0</v>
      </c>
      <c r="X682" s="157">
        <f t="shared" si="382"/>
        <v>0</v>
      </c>
      <c r="Y682" s="157">
        <f t="shared" si="382"/>
        <v>0</v>
      </c>
      <c r="Z682" s="157">
        <f t="shared" si="382"/>
        <v>0</v>
      </c>
      <c r="AA682" s="157">
        <f t="shared" si="382"/>
        <v>0</v>
      </c>
      <c r="AB682" s="157">
        <f t="shared" si="382"/>
        <v>0</v>
      </c>
      <c r="AC682" s="157">
        <f t="shared" si="382"/>
        <v>0</v>
      </c>
      <c r="AD682" s="157">
        <f t="shared" si="382"/>
        <v>0</v>
      </c>
      <c r="AE682" s="157">
        <f t="shared" si="382"/>
        <v>0</v>
      </c>
      <c r="AF682" s="157">
        <f t="shared" si="382"/>
        <v>0</v>
      </c>
      <c r="AG682" s="157">
        <f t="shared" si="382"/>
        <v>0</v>
      </c>
      <c r="AH682" s="157">
        <f t="shared" si="382"/>
        <v>0</v>
      </c>
      <c r="AI682" s="157">
        <f t="shared" si="382"/>
        <v>0</v>
      </c>
      <c r="AJ682" s="157">
        <f t="shared" si="382"/>
        <v>0</v>
      </c>
      <c r="AK682" s="157">
        <f t="shared" si="382"/>
        <v>0</v>
      </c>
      <c r="AL682" s="157">
        <f t="shared" si="382"/>
        <v>0</v>
      </c>
      <c r="AM682" s="157">
        <f t="shared" si="382"/>
        <v>0</v>
      </c>
      <c r="AN682" s="157">
        <f t="shared" si="382"/>
        <v>0</v>
      </c>
      <c r="AO682" s="157">
        <f t="shared" si="382"/>
        <v>0</v>
      </c>
      <c r="AP682" s="157">
        <f t="shared" si="382"/>
        <v>0</v>
      </c>
    </row>
    <row r="683" spans="1:42" x14ac:dyDescent="0.4">
      <c r="A683" s="24" t="s">
        <v>13</v>
      </c>
      <c r="B683" s="14"/>
      <c r="C683" s="14">
        <f>SUM(C673:C682)</f>
        <v>0</v>
      </c>
      <c r="D683" s="14">
        <f t="shared" ref="D683:AP683" si="383">SUM(D673:D682)</f>
        <v>0</v>
      </c>
      <c r="E683" s="14">
        <f t="shared" si="383"/>
        <v>0</v>
      </c>
      <c r="F683" s="14">
        <f t="shared" si="383"/>
        <v>0</v>
      </c>
      <c r="G683" s="14">
        <f t="shared" si="383"/>
        <v>0</v>
      </c>
      <c r="H683" s="14">
        <f t="shared" si="383"/>
        <v>0</v>
      </c>
      <c r="I683" s="14">
        <f t="shared" si="383"/>
        <v>0</v>
      </c>
      <c r="J683" s="14">
        <f t="shared" si="383"/>
        <v>0</v>
      </c>
      <c r="K683" s="14">
        <f t="shared" si="383"/>
        <v>0</v>
      </c>
      <c r="L683" s="14">
        <f t="shared" si="383"/>
        <v>0</v>
      </c>
      <c r="M683" s="14">
        <f t="shared" si="383"/>
        <v>0</v>
      </c>
      <c r="N683" s="14">
        <f t="shared" si="383"/>
        <v>0</v>
      </c>
      <c r="O683" s="14">
        <f t="shared" si="383"/>
        <v>0</v>
      </c>
      <c r="P683" s="14">
        <f t="shared" si="383"/>
        <v>0</v>
      </c>
      <c r="Q683" s="14">
        <f t="shared" si="383"/>
        <v>0</v>
      </c>
      <c r="R683" s="14">
        <f t="shared" si="383"/>
        <v>0</v>
      </c>
      <c r="S683" s="14">
        <f t="shared" si="383"/>
        <v>0</v>
      </c>
      <c r="T683" s="14">
        <f t="shared" si="383"/>
        <v>0</v>
      </c>
      <c r="U683" s="14">
        <f t="shared" si="383"/>
        <v>0</v>
      </c>
      <c r="V683" s="14">
        <f t="shared" si="383"/>
        <v>0</v>
      </c>
      <c r="W683" s="14">
        <f t="shared" si="383"/>
        <v>0</v>
      </c>
      <c r="X683" s="14">
        <f t="shared" si="383"/>
        <v>0</v>
      </c>
      <c r="Y683" s="14">
        <f t="shared" si="383"/>
        <v>0</v>
      </c>
      <c r="Z683" s="14">
        <f t="shared" si="383"/>
        <v>0</v>
      </c>
      <c r="AA683" s="14">
        <f t="shared" si="383"/>
        <v>0</v>
      </c>
      <c r="AB683" s="14">
        <f t="shared" si="383"/>
        <v>0</v>
      </c>
      <c r="AC683" s="14">
        <f t="shared" si="383"/>
        <v>0</v>
      </c>
      <c r="AD683" s="14">
        <f t="shared" si="383"/>
        <v>0</v>
      </c>
      <c r="AE683" s="14">
        <f t="shared" si="383"/>
        <v>0</v>
      </c>
      <c r="AF683" s="14">
        <f t="shared" si="383"/>
        <v>0</v>
      </c>
      <c r="AG683" s="14">
        <f t="shared" si="383"/>
        <v>0</v>
      </c>
      <c r="AH683" s="14">
        <f t="shared" si="383"/>
        <v>0</v>
      </c>
      <c r="AI683" s="14">
        <f t="shared" si="383"/>
        <v>0</v>
      </c>
      <c r="AJ683" s="14">
        <f t="shared" si="383"/>
        <v>0</v>
      </c>
      <c r="AK683" s="14">
        <f t="shared" si="383"/>
        <v>0</v>
      </c>
      <c r="AL683" s="14">
        <f t="shared" si="383"/>
        <v>0</v>
      </c>
      <c r="AM683" s="14">
        <f t="shared" si="383"/>
        <v>0</v>
      </c>
      <c r="AN683" s="14">
        <f t="shared" si="383"/>
        <v>0</v>
      </c>
      <c r="AO683" s="14">
        <f t="shared" si="383"/>
        <v>0</v>
      </c>
      <c r="AP683" s="14">
        <f t="shared" si="383"/>
        <v>0</v>
      </c>
    </row>
    <row r="684" spans="1:42" x14ac:dyDescent="0.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row>
    <row r="685" spans="1:42" x14ac:dyDescent="0.4">
      <c r="A685" s="19" t="s">
        <v>269</v>
      </c>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row>
    <row r="686" spans="1:42" x14ac:dyDescent="0.4">
      <c r="A686" s="4" t="s">
        <v>261</v>
      </c>
      <c r="B686" s="156">
        <v>0</v>
      </c>
      <c r="C686" s="156">
        <f>B689</f>
        <v>0</v>
      </c>
      <c r="D686" s="156">
        <f t="shared" ref="D686:AP686" si="384">C689</f>
        <v>0</v>
      </c>
      <c r="E686" s="156">
        <f t="shared" si="384"/>
        <v>0</v>
      </c>
      <c r="F686" s="156">
        <f t="shared" si="384"/>
        <v>0</v>
      </c>
      <c r="G686" s="156">
        <f t="shared" si="384"/>
        <v>0</v>
      </c>
      <c r="H686" s="156">
        <f t="shared" si="384"/>
        <v>0</v>
      </c>
      <c r="I686" s="156">
        <f t="shared" si="384"/>
        <v>0</v>
      </c>
      <c r="J686" s="156">
        <f t="shared" si="384"/>
        <v>0</v>
      </c>
      <c r="K686" s="156">
        <f t="shared" si="384"/>
        <v>0</v>
      </c>
      <c r="L686" s="156">
        <f t="shared" si="384"/>
        <v>0</v>
      </c>
      <c r="M686" s="156">
        <f t="shared" si="384"/>
        <v>0</v>
      </c>
      <c r="N686" s="156">
        <f t="shared" si="384"/>
        <v>0</v>
      </c>
      <c r="O686" s="156">
        <f t="shared" si="384"/>
        <v>0</v>
      </c>
      <c r="P686" s="156">
        <f t="shared" si="384"/>
        <v>0</v>
      </c>
      <c r="Q686" s="156">
        <f t="shared" si="384"/>
        <v>0</v>
      </c>
      <c r="R686" s="156">
        <f t="shared" si="384"/>
        <v>0</v>
      </c>
      <c r="S686" s="156">
        <f t="shared" si="384"/>
        <v>0</v>
      </c>
      <c r="T686" s="156">
        <f t="shared" si="384"/>
        <v>0</v>
      </c>
      <c r="U686" s="156">
        <f t="shared" si="384"/>
        <v>0</v>
      </c>
      <c r="V686" s="156">
        <f t="shared" si="384"/>
        <v>0</v>
      </c>
      <c r="W686" s="156">
        <f t="shared" si="384"/>
        <v>0</v>
      </c>
      <c r="X686" s="156">
        <f t="shared" si="384"/>
        <v>0</v>
      </c>
      <c r="Y686" s="156">
        <f t="shared" si="384"/>
        <v>0</v>
      </c>
      <c r="Z686" s="156">
        <f t="shared" si="384"/>
        <v>0</v>
      </c>
      <c r="AA686" s="156">
        <f t="shared" si="384"/>
        <v>0</v>
      </c>
      <c r="AB686" s="156">
        <f t="shared" si="384"/>
        <v>0</v>
      </c>
      <c r="AC686" s="156">
        <f t="shared" si="384"/>
        <v>0</v>
      </c>
      <c r="AD686" s="156">
        <f t="shared" si="384"/>
        <v>0</v>
      </c>
      <c r="AE686" s="156">
        <f t="shared" si="384"/>
        <v>0</v>
      </c>
      <c r="AF686" s="156">
        <f t="shared" si="384"/>
        <v>0</v>
      </c>
      <c r="AG686" s="156">
        <f t="shared" si="384"/>
        <v>0</v>
      </c>
      <c r="AH686" s="156">
        <f t="shared" si="384"/>
        <v>0</v>
      </c>
      <c r="AI686" s="156">
        <f t="shared" si="384"/>
        <v>0</v>
      </c>
      <c r="AJ686" s="156">
        <f t="shared" si="384"/>
        <v>0</v>
      </c>
      <c r="AK686" s="156">
        <f t="shared" si="384"/>
        <v>0</v>
      </c>
      <c r="AL686" s="156">
        <f t="shared" si="384"/>
        <v>0</v>
      </c>
      <c r="AM686" s="156">
        <f t="shared" si="384"/>
        <v>0</v>
      </c>
      <c r="AN686" s="156">
        <f t="shared" si="384"/>
        <v>0</v>
      </c>
      <c r="AO686" s="156">
        <f t="shared" si="384"/>
        <v>0</v>
      </c>
      <c r="AP686" s="156">
        <f t="shared" si="384"/>
        <v>0</v>
      </c>
    </row>
    <row r="687" spans="1:42" x14ac:dyDescent="0.4">
      <c r="A687" s="4" t="s">
        <v>52</v>
      </c>
      <c r="B687" s="156">
        <v>0</v>
      </c>
      <c r="C687" s="156">
        <f>C715</f>
        <v>0</v>
      </c>
      <c r="D687" s="156">
        <f t="shared" ref="D687:AP687" si="385">D715</f>
        <v>0</v>
      </c>
      <c r="E687" s="156">
        <f t="shared" si="385"/>
        <v>0</v>
      </c>
      <c r="F687" s="156">
        <f t="shared" si="385"/>
        <v>0</v>
      </c>
      <c r="G687" s="156">
        <f t="shared" si="385"/>
        <v>0</v>
      </c>
      <c r="H687" s="156">
        <f t="shared" si="385"/>
        <v>0</v>
      </c>
      <c r="I687" s="156">
        <f t="shared" si="385"/>
        <v>0</v>
      </c>
      <c r="J687" s="156">
        <f t="shared" si="385"/>
        <v>0</v>
      </c>
      <c r="K687" s="156">
        <f t="shared" si="385"/>
        <v>0</v>
      </c>
      <c r="L687" s="156">
        <f t="shared" si="385"/>
        <v>0</v>
      </c>
      <c r="M687" s="156">
        <f t="shared" si="385"/>
        <v>0</v>
      </c>
      <c r="N687" s="156">
        <f t="shared" si="385"/>
        <v>0</v>
      </c>
      <c r="O687" s="156">
        <f t="shared" si="385"/>
        <v>0</v>
      </c>
      <c r="P687" s="156">
        <f t="shared" si="385"/>
        <v>0</v>
      </c>
      <c r="Q687" s="156">
        <f t="shared" si="385"/>
        <v>0</v>
      </c>
      <c r="R687" s="156">
        <f t="shared" si="385"/>
        <v>0</v>
      </c>
      <c r="S687" s="156">
        <f t="shared" si="385"/>
        <v>0</v>
      </c>
      <c r="T687" s="156">
        <f t="shared" si="385"/>
        <v>0</v>
      </c>
      <c r="U687" s="156">
        <f t="shared" si="385"/>
        <v>0</v>
      </c>
      <c r="V687" s="156">
        <f t="shared" si="385"/>
        <v>0</v>
      </c>
      <c r="W687" s="156">
        <f t="shared" si="385"/>
        <v>0</v>
      </c>
      <c r="X687" s="156">
        <f t="shared" si="385"/>
        <v>0</v>
      </c>
      <c r="Y687" s="156">
        <f t="shared" si="385"/>
        <v>0</v>
      </c>
      <c r="Z687" s="156">
        <f t="shared" si="385"/>
        <v>0</v>
      </c>
      <c r="AA687" s="156">
        <f t="shared" si="385"/>
        <v>0</v>
      </c>
      <c r="AB687" s="156">
        <f t="shared" si="385"/>
        <v>0</v>
      </c>
      <c r="AC687" s="156">
        <f t="shared" si="385"/>
        <v>0</v>
      </c>
      <c r="AD687" s="156">
        <f t="shared" si="385"/>
        <v>0</v>
      </c>
      <c r="AE687" s="156">
        <f t="shared" si="385"/>
        <v>0</v>
      </c>
      <c r="AF687" s="156">
        <f t="shared" si="385"/>
        <v>0</v>
      </c>
      <c r="AG687" s="156">
        <f t="shared" si="385"/>
        <v>0</v>
      </c>
      <c r="AH687" s="156">
        <f t="shared" si="385"/>
        <v>0</v>
      </c>
      <c r="AI687" s="156">
        <f t="shared" si="385"/>
        <v>0</v>
      </c>
      <c r="AJ687" s="156">
        <f t="shared" si="385"/>
        <v>0</v>
      </c>
      <c r="AK687" s="156">
        <f t="shared" si="385"/>
        <v>0</v>
      </c>
      <c r="AL687" s="156">
        <f t="shared" si="385"/>
        <v>0</v>
      </c>
      <c r="AM687" s="156">
        <f t="shared" si="385"/>
        <v>0</v>
      </c>
      <c r="AN687" s="156">
        <f t="shared" si="385"/>
        <v>0</v>
      </c>
      <c r="AO687" s="156">
        <f t="shared" si="385"/>
        <v>0</v>
      </c>
      <c r="AP687" s="156">
        <f t="shared" si="385"/>
        <v>0</v>
      </c>
    </row>
    <row r="688" spans="1:42" x14ac:dyDescent="0.4">
      <c r="A688" s="4" t="s">
        <v>262</v>
      </c>
      <c r="B688" s="157">
        <v>0</v>
      </c>
      <c r="C688" s="157">
        <f>-C703</f>
        <v>0</v>
      </c>
      <c r="D688" s="157">
        <f t="shared" ref="D688:AP688" si="386">-D703</f>
        <v>0</v>
      </c>
      <c r="E688" s="157">
        <f t="shared" si="386"/>
        <v>0</v>
      </c>
      <c r="F688" s="157">
        <f t="shared" si="386"/>
        <v>0</v>
      </c>
      <c r="G688" s="157">
        <f t="shared" si="386"/>
        <v>0</v>
      </c>
      <c r="H688" s="157">
        <f t="shared" si="386"/>
        <v>0</v>
      </c>
      <c r="I688" s="157">
        <f t="shared" si="386"/>
        <v>0</v>
      </c>
      <c r="J688" s="157">
        <f t="shared" si="386"/>
        <v>0</v>
      </c>
      <c r="K688" s="157">
        <f t="shared" si="386"/>
        <v>0</v>
      </c>
      <c r="L688" s="157">
        <f t="shared" si="386"/>
        <v>0</v>
      </c>
      <c r="M688" s="157">
        <f t="shared" si="386"/>
        <v>0</v>
      </c>
      <c r="N688" s="157">
        <f t="shared" si="386"/>
        <v>0</v>
      </c>
      <c r="O688" s="157">
        <f t="shared" si="386"/>
        <v>0</v>
      </c>
      <c r="P688" s="157">
        <f t="shared" si="386"/>
        <v>0</v>
      </c>
      <c r="Q688" s="157">
        <f t="shared" si="386"/>
        <v>0</v>
      </c>
      <c r="R688" s="157">
        <f t="shared" si="386"/>
        <v>0</v>
      </c>
      <c r="S688" s="157">
        <f t="shared" si="386"/>
        <v>0</v>
      </c>
      <c r="T688" s="157">
        <f t="shared" si="386"/>
        <v>0</v>
      </c>
      <c r="U688" s="157">
        <f t="shared" si="386"/>
        <v>0</v>
      </c>
      <c r="V688" s="157">
        <f t="shared" si="386"/>
        <v>0</v>
      </c>
      <c r="W688" s="157">
        <f t="shared" si="386"/>
        <v>0</v>
      </c>
      <c r="X688" s="157">
        <f t="shared" si="386"/>
        <v>0</v>
      </c>
      <c r="Y688" s="157">
        <f t="shared" si="386"/>
        <v>0</v>
      </c>
      <c r="Z688" s="157">
        <f t="shared" si="386"/>
        <v>0</v>
      </c>
      <c r="AA688" s="157">
        <f t="shared" si="386"/>
        <v>0</v>
      </c>
      <c r="AB688" s="157">
        <f t="shared" si="386"/>
        <v>0</v>
      </c>
      <c r="AC688" s="157">
        <f t="shared" si="386"/>
        <v>0</v>
      </c>
      <c r="AD688" s="157">
        <f t="shared" si="386"/>
        <v>0</v>
      </c>
      <c r="AE688" s="157">
        <f t="shared" si="386"/>
        <v>0</v>
      </c>
      <c r="AF688" s="157">
        <f t="shared" si="386"/>
        <v>0</v>
      </c>
      <c r="AG688" s="157">
        <f t="shared" si="386"/>
        <v>0</v>
      </c>
      <c r="AH688" s="157">
        <f t="shared" si="386"/>
        <v>0</v>
      </c>
      <c r="AI688" s="157">
        <f t="shared" si="386"/>
        <v>0</v>
      </c>
      <c r="AJ688" s="157">
        <f t="shared" si="386"/>
        <v>0</v>
      </c>
      <c r="AK688" s="157">
        <f t="shared" si="386"/>
        <v>0</v>
      </c>
      <c r="AL688" s="157">
        <f t="shared" si="386"/>
        <v>0</v>
      </c>
      <c r="AM688" s="157">
        <f t="shared" si="386"/>
        <v>0</v>
      </c>
      <c r="AN688" s="157">
        <f t="shared" si="386"/>
        <v>0</v>
      </c>
      <c r="AO688" s="157">
        <f t="shared" si="386"/>
        <v>0</v>
      </c>
      <c r="AP688" s="157">
        <f t="shared" si="386"/>
        <v>0</v>
      </c>
    </row>
    <row r="689" spans="1:42" x14ac:dyDescent="0.4">
      <c r="A689" s="4" t="s">
        <v>226</v>
      </c>
      <c r="B689" s="156">
        <f>SUM(B686:B688)</f>
        <v>0</v>
      </c>
      <c r="C689" s="156">
        <f>SUM(C686:C688)</f>
        <v>0</v>
      </c>
      <c r="D689" s="156">
        <f t="shared" ref="D689:AP689" si="387">SUM(D686:D688)</f>
        <v>0</v>
      </c>
      <c r="E689" s="156">
        <f t="shared" si="387"/>
        <v>0</v>
      </c>
      <c r="F689" s="156">
        <f t="shared" si="387"/>
        <v>0</v>
      </c>
      <c r="G689" s="156">
        <f t="shared" si="387"/>
        <v>0</v>
      </c>
      <c r="H689" s="156">
        <f t="shared" si="387"/>
        <v>0</v>
      </c>
      <c r="I689" s="156">
        <f t="shared" si="387"/>
        <v>0</v>
      </c>
      <c r="J689" s="156">
        <f t="shared" si="387"/>
        <v>0</v>
      </c>
      <c r="K689" s="156">
        <f t="shared" si="387"/>
        <v>0</v>
      </c>
      <c r="L689" s="156">
        <f t="shared" si="387"/>
        <v>0</v>
      </c>
      <c r="M689" s="156">
        <f t="shared" si="387"/>
        <v>0</v>
      </c>
      <c r="N689" s="156">
        <f t="shared" si="387"/>
        <v>0</v>
      </c>
      <c r="O689" s="156">
        <f t="shared" si="387"/>
        <v>0</v>
      </c>
      <c r="P689" s="156">
        <f t="shared" si="387"/>
        <v>0</v>
      </c>
      <c r="Q689" s="156">
        <f t="shared" si="387"/>
        <v>0</v>
      </c>
      <c r="R689" s="156">
        <f t="shared" si="387"/>
        <v>0</v>
      </c>
      <c r="S689" s="156">
        <f t="shared" si="387"/>
        <v>0</v>
      </c>
      <c r="T689" s="156">
        <f t="shared" si="387"/>
        <v>0</v>
      </c>
      <c r="U689" s="156">
        <f t="shared" si="387"/>
        <v>0</v>
      </c>
      <c r="V689" s="156">
        <f t="shared" si="387"/>
        <v>0</v>
      </c>
      <c r="W689" s="156">
        <f t="shared" si="387"/>
        <v>0</v>
      </c>
      <c r="X689" s="156">
        <f t="shared" si="387"/>
        <v>0</v>
      </c>
      <c r="Y689" s="156">
        <f t="shared" si="387"/>
        <v>0</v>
      </c>
      <c r="Z689" s="156">
        <f t="shared" si="387"/>
        <v>0</v>
      </c>
      <c r="AA689" s="156">
        <f t="shared" si="387"/>
        <v>0</v>
      </c>
      <c r="AB689" s="156">
        <f t="shared" si="387"/>
        <v>0</v>
      </c>
      <c r="AC689" s="156">
        <f t="shared" si="387"/>
        <v>0</v>
      </c>
      <c r="AD689" s="156">
        <f t="shared" si="387"/>
        <v>0</v>
      </c>
      <c r="AE689" s="156">
        <f t="shared" si="387"/>
        <v>0</v>
      </c>
      <c r="AF689" s="156">
        <f t="shared" si="387"/>
        <v>0</v>
      </c>
      <c r="AG689" s="156">
        <f t="shared" si="387"/>
        <v>0</v>
      </c>
      <c r="AH689" s="156">
        <f t="shared" si="387"/>
        <v>0</v>
      </c>
      <c r="AI689" s="156">
        <f t="shared" si="387"/>
        <v>0</v>
      </c>
      <c r="AJ689" s="156">
        <f t="shared" si="387"/>
        <v>0</v>
      </c>
      <c r="AK689" s="156">
        <f t="shared" si="387"/>
        <v>0</v>
      </c>
      <c r="AL689" s="156">
        <f t="shared" si="387"/>
        <v>0</v>
      </c>
      <c r="AM689" s="156">
        <f t="shared" si="387"/>
        <v>0</v>
      </c>
      <c r="AN689" s="156">
        <f t="shared" si="387"/>
        <v>0</v>
      </c>
      <c r="AO689" s="156">
        <f t="shared" si="387"/>
        <v>0</v>
      </c>
      <c r="AP689" s="156">
        <f t="shared" si="387"/>
        <v>0</v>
      </c>
    </row>
    <row r="691" spans="1:42" x14ac:dyDescent="0.4">
      <c r="A691" s="4" t="s">
        <v>264</v>
      </c>
    </row>
    <row r="692" spans="1:42" x14ac:dyDescent="0.4">
      <c r="A692" s="4" t="s">
        <v>265</v>
      </c>
    </row>
    <row r="693" spans="1:42" x14ac:dyDescent="0.4">
      <c r="A693" s="4">
        <v>1</v>
      </c>
      <c r="B693" s="171">
        <f t="shared" ref="B693:B702" si="388">SUM(C693:AP693)</f>
        <v>0</v>
      </c>
      <c r="C693" s="156">
        <f t="shared" ref="C693:AP693" si="389">IF(C$2&gt;analysis_period,0,IF(C$2=equip2_reserve_freq*$A693,equip2_reserve_cost*system_capacity*1000*(1+inflation_rate/100)^B$2,0))</f>
        <v>0</v>
      </c>
      <c r="D693" s="156">
        <f t="shared" si="389"/>
        <v>0</v>
      </c>
      <c r="E693" s="156">
        <f t="shared" si="389"/>
        <v>0</v>
      </c>
      <c r="F693" s="156">
        <f t="shared" si="389"/>
        <v>0</v>
      </c>
      <c r="G693" s="156">
        <f t="shared" si="389"/>
        <v>0</v>
      </c>
      <c r="H693" s="156">
        <f t="shared" si="389"/>
        <v>0</v>
      </c>
      <c r="I693" s="156">
        <f t="shared" si="389"/>
        <v>0</v>
      </c>
      <c r="J693" s="156">
        <f t="shared" si="389"/>
        <v>0</v>
      </c>
      <c r="K693" s="156">
        <f t="shared" si="389"/>
        <v>0</v>
      </c>
      <c r="L693" s="156">
        <f t="shared" si="389"/>
        <v>0</v>
      </c>
      <c r="M693" s="156">
        <f t="shared" si="389"/>
        <v>0</v>
      </c>
      <c r="N693" s="156">
        <f t="shared" si="389"/>
        <v>0</v>
      </c>
      <c r="O693" s="156">
        <f t="shared" si="389"/>
        <v>0</v>
      </c>
      <c r="P693" s="156">
        <f t="shared" si="389"/>
        <v>0</v>
      </c>
      <c r="Q693" s="156">
        <f t="shared" si="389"/>
        <v>0</v>
      </c>
      <c r="R693" s="156">
        <f t="shared" si="389"/>
        <v>0</v>
      </c>
      <c r="S693" s="156">
        <f t="shared" si="389"/>
        <v>0</v>
      </c>
      <c r="T693" s="156">
        <f t="shared" si="389"/>
        <v>0</v>
      </c>
      <c r="U693" s="156">
        <f t="shared" si="389"/>
        <v>0</v>
      </c>
      <c r="V693" s="156">
        <f t="shared" si="389"/>
        <v>0</v>
      </c>
      <c r="W693" s="156">
        <f t="shared" si="389"/>
        <v>0</v>
      </c>
      <c r="X693" s="156">
        <f t="shared" si="389"/>
        <v>0</v>
      </c>
      <c r="Y693" s="156">
        <f t="shared" si="389"/>
        <v>0</v>
      </c>
      <c r="Z693" s="156">
        <f t="shared" si="389"/>
        <v>0</v>
      </c>
      <c r="AA693" s="156">
        <f t="shared" si="389"/>
        <v>0</v>
      </c>
      <c r="AB693" s="156">
        <f t="shared" si="389"/>
        <v>0</v>
      </c>
      <c r="AC693" s="156">
        <f t="shared" si="389"/>
        <v>0</v>
      </c>
      <c r="AD693" s="156">
        <f t="shared" si="389"/>
        <v>0</v>
      </c>
      <c r="AE693" s="156">
        <f t="shared" si="389"/>
        <v>0</v>
      </c>
      <c r="AF693" s="156">
        <f t="shared" si="389"/>
        <v>0</v>
      </c>
      <c r="AG693" s="156">
        <f t="shared" si="389"/>
        <v>0</v>
      </c>
      <c r="AH693" s="156">
        <f t="shared" si="389"/>
        <v>0</v>
      </c>
      <c r="AI693" s="156">
        <f t="shared" si="389"/>
        <v>0</v>
      </c>
      <c r="AJ693" s="156">
        <f t="shared" si="389"/>
        <v>0</v>
      </c>
      <c r="AK693" s="156">
        <f t="shared" si="389"/>
        <v>0</v>
      </c>
      <c r="AL693" s="156">
        <f t="shared" si="389"/>
        <v>0</v>
      </c>
      <c r="AM693" s="156">
        <f t="shared" si="389"/>
        <v>0</v>
      </c>
      <c r="AN693" s="156">
        <f t="shared" si="389"/>
        <v>0</v>
      </c>
      <c r="AO693" s="156">
        <f t="shared" si="389"/>
        <v>0</v>
      </c>
      <c r="AP693" s="156">
        <f t="shared" si="389"/>
        <v>0</v>
      </c>
    </row>
    <row r="694" spans="1:42" x14ac:dyDescent="0.4">
      <c r="A694" s="4">
        <f>A693+1</f>
        <v>2</v>
      </c>
      <c r="B694" s="171">
        <f t="shared" si="388"/>
        <v>0</v>
      </c>
      <c r="C694" s="156">
        <f t="shared" ref="C694:AP694" si="390">IF(C$2&gt;analysis_period,0,IF(C$2=equip2_reserve_freq*$A694,equip2_reserve_cost*system_capacity*1000*(1+inflation_rate/100)^B$2,0))</f>
        <v>0</v>
      </c>
      <c r="D694" s="156">
        <f t="shared" si="390"/>
        <v>0</v>
      </c>
      <c r="E694" s="156">
        <f t="shared" si="390"/>
        <v>0</v>
      </c>
      <c r="F694" s="156">
        <f t="shared" si="390"/>
        <v>0</v>
      </c>
      <c r="G694" s="156">
        <f t="shared" si="390"/>
        <v>0</v>
      </c>
      <c r="H694" s="156">
        <f t="shared" si="390"/>
        <v>0</v>
      </c>
      <c r="I694" s="156">
        <f t="shared" si="390"/>
        <v>0</v>
      </c>
      <c r="J694" s="156">
        <f t="shared" si="390"/>
        <v>0</v>
      </c>
      <c r="K694" s="156">
        <f t="shared" si="390"/>
        <v>0</v>
      </c>
      <c r="L694" s="156">
        <f t="shared" si="390"/>
        <v>0</v>
      </c>
      <c r="M694" s="156">
        <f t="shared" si="390"/>
        <v>0</v>
      </c>
      <c r="N694" s="156">
        <f t="shared" si="390"/>
        <v>0</v>
      </c>
      <c r="O694" s="156">
        <f t="shared" si="390"/>
        <v>0</v>
      </c>
      <c r="P694" s="156">
        <f t="shared" si="390"/>
        <v>0</v>
      </c>
      <c r="Q694" s="156">
        <f t="shared" si="390"/>
        <v>0</v>
      </c>
      <c r="R694" s="156">
        <f t="shared" si="390"/>
        <v>0</v>
      </c>
      <c r="S694" s="156">
        <f t="shared" si="390"/>
        <v>0</v>
      </c>
      <c r="T694" s="156">
        <f t="shared" si="390"/>
        <v>0</v>
      </c>
      <c r="U694" s="156">
        <f t="shared" si="390"/>
        <v>0</v>
      </c>
      <c r="V694" s="156">
        <f t="shared" si="390"/>
        <v>0</v>
      </c>
      <c r="W694" s="156">
        <f t="shared" si="390"/>
        <v>0</v>
      </c>
      <c r="X694" s="156">
        <f t="shared" si="390"/>
        <v>0</v>
      </c>
      <c r="Y694" s="156">
        <f t="shared" si="390"/>
        <v>0</v>
      </c>
      <c r="Z694" s="156">
        <f t="shared" si="390"/>
        <v>0</v>
      </c>
      <c r="AA694" s="156">
        <f t="shared" si="390"/>
        <v>0</v>
      </c>
      <c r="AB694" s="156">
        <f t="shared" si="390"/>
        <v>0</v>
      </c>
      <c r="AC694" s="156">
        <f t="shared" si="390"/>
        <v>0</v>
      </c>
      <c r="AD694" s="156">
        <f t="shared" si="390"/>
        <v>0</v>
      </c>
      <c r="AE694" s="156">
        <f t="shared" si="390"/>
        <v>0</v>
      </c>
      <c r="AF694" s="156">
        <f t="shared" si="390"/>
        <v>0</v>
      </c>
      <c r="AG694" s="156">
        <f t="shared" si="390"/>
        <v>0</v>
      </c>
      <c r="AH694" s="156">
        <f t="shared" si="390"/>
        <v>0</v>
      </c>
      <c r="AI694" s="156">
        <f t="shared" si="390"/>
        <v>0</v>
      </c>
      <c r="AJ694" s="156">
        <f t="shared" si="390"/>
        <v>0</v>
      </c>
      <c r="AK694" s="156">
        <f t="shared" si="390"/>
        <v>0</v>
      </c>
      <c r="AL694" s="156">
        <f t="shared" si="390"/>
        <v>0</v>
      </c>
      <c r="AM694" s="156">
        <f t="shared" si="390"/>
        <v>0</v>
      </c>
      <c r="AN694" s="156">
        <f t="shared" si="390"/>
        <v>0</v>
      </c>
      <c r="AO694" s="156">
        <f t="shared" si="390"/>
        <v>0</v>
      </c>
      <c r="AP694" s="156">
        <f t="shared" si="390"/>
        <v>0</v>
      </c>
    </row>
    <row r="695" spans="1:42" x14ac:dyDescent="0.4">
      <c r="A695" s="4">
        <f t="shared" ref="A695:A702" si="391">A694+1</f>
        <v>3</v>
      </c>
      <c r="B695" s="171">
        <f t="shared" si="388"/>
        <v>0</v>
      </c>
      <c r="C695" s="156">
        <f t="shared" ref="C695:AP695" si="392">IF(C$2&gt;analysis_period,0,IF(C$2=equip2_reserve_freq*$A695,equip2_reserve_cost*system_capacity*1000*(1+inflation_rate/100)^B$2,0))</f>
        <v>0</v>
      </c>
      <c r="D695" s="156">
        <f t="shared" si="392"/>
        <v>0</v>
      </c>
      <c r="E695" s="156">
        <f t="shared" si="392"/>
        <v>0</v>
      </c>
      <c r="F695" s="156">
        <f t="shared" si="392"/>
        <v>0</v>
      </c>
      <c r="G695" s="156">
        <f t="shared" si="392"/>
        <v>0</v>
      </c>
      <c r="H695" s="156">
        <f t="shared" si="392"/>
        <v>0</v>
      </c>
      <c r="I695" s="156">
        <f t="shared" si="392"/>
        <v>0</v>
      </c>
      <c r="J695" s="156">
        <f t="shared" si="392"/>
        <v>0</v>
      </c>
      <c r="K695" s="156">
        <f t="shared" si="392"/>
        <v>0</v>
      </c>
      <c r="L695" s="156">
        <f t="shared" si="392"/>
        <v>0</v>
      </c>
      <c r="M695" s="156">
        <f t="shared" si="392"/>
        <v>0</v>
      </c>
      <c r="N695" s="156">
        <f t="shared" si="392"/>
        <v>0</v>
      </c>
      <c r="O695" s="156">
        <f t="shared" si="392"/>
        <v>0</v>
      </c>
      <c r="P695" s="156">
        <f t="shared" si="392"/>
        <v>0</v>
      </c>
      <c r="Q695" s="156">
        <f t="shared" si="392"/>
        <v>0</v>
      </c>
      <c r="R695" s="156">
        <f t="shared" si="392"/>
        <v>0</v>
      </c>
      <c r="S695" s="156">
        <f t="shared" si="392"/>
        <v>0</v>
      </c>
      <c r="T695" s="156">
        <f t="shared" si="392"/>
        <v>0</v>
      </c>
      <c r="U695" s="156">
        <f t="shared" si="392"/>
        <v>0</v>
      </c>
      <c r="V695" s="156">
        <f t="shared" si="392"/>
        <v>0</v>
      </c>
      <c r="W695" s="156">
        <f t="shared" si="392"/>
        <v>0</v>
      </c>
      <c r="X695" s="156">
        <f t="shared" si="392"/>
        <v>0</v>
      </c>
      <c r="Y695" s="156">
        <f t="shared" si="392"/>
        <v>0</v>
      </c>
      <c r="Z695" s="156">
        <f t="shared" si="392"/>
        <v>0</v>
      </c>
      <c r="AA695" s="156">
        <f t="shared" si="392"/>
        <v>0</v>
      </c>
      <c r="AB695" s="156">
        <f t="shared" si="392"/>
        <v>0</v>
      </c>
      <c r="AC695" s="156">
        <f t="shared" si="392"/>
        <v>0</v>
      </c>
      <c r="AD695" s="156">
        <f t="shared" si="392"/>
        <v>0</v>
      </c>
      <c r="AE695" s="156">
        <f t="shared" si="392"/>
        <v>0</v>
      </c>
      <c r="AF695" s="156">
        <f t="shared" si="392"/>
        <v>0</v>
      </c>
      <c r="AG695" s="156">
        <f t="shared" si="392"/>
        <v>0</v>
      </c>
      <c r="AH695" s="156">
        <f t="shared" si="392"/>
        <v>0</v>
      </c>
      <c r="AI695" s="156">
        <f t="shared" si="392"/>
        <v>0</v>
      </c>
      <c r="AJ695" s="156">
        <f t="shared" si="392"/>
        <v>0</v>
      </c>
      <c r="AK695" s="156">
        <f t="shared" si="392"/>
        <v>0</v>
      </c>
      <c r="AL695" s="156">
        <f t="shared" si="392"/>
        <v>0</v>
      </c>
      <c r="AM695" s="156">
        <f t="shared" si="392"/>
        <v>0</v>
      </c>
      <c r="AN695" s="156">
        <f t="shared" si="392"/>
        <v>0</v>
      </c>
      <c r="AO695" s="156">
        <f t="shared" si="392"/>
        <v>0</v>
      </c>
      <c r="AP695" s="156">
        <f t="shared" si="392"/>
        <v>0</v>
      </c>
    </row>
    <row r="696" spans="1:42" x14ac:dyDescent="0.4">
      <c r="A696" s="4">
        <f t="shared" si="391"/>
        <v>4</v>
      </c>
      <c r="B696" s="171">
        <f t="shared" si="388"/>
        <v>0</v>
      </c>
      <c r="C696" s="156">
        <f t="shared" ref="C696:AP696" si="393">IF(C$2&gt;analysis_period,0,IF(C$2=equip2_reserve_freq*$A696,equip2_reserve_cost*system_capacity*1000*(1+inflation_rate/100)^B$2,0))</f>
        <v>0</v>
      </c>
      <c r="D696" s="156">
        <f t="shared" si="393"/>
        <v>0</v>
      </c>
      <c r="E696" s="156">
        <f t="shared" si="393"/>
        <v>0</v>
      </c>
      <c r="F696" s="156">
        <f t="shared" si="393"/>
        <v>0</v>
      </c>
      <c r="G696" s="156">
        <f t="shared" si="393"/>
        <v>0</v>
      </c>
      <c r="H696" s="156">
        <f t="shared" si="393"/>
        <v>0</v>
      </c>
      <c r="I696" s="156">
        <f t="shared" si="393"/>
        <v>0</v>
      </c>
      <c r="J696" s="156">
        <f t="shared" si="393"/>
        <v>0</v>
      </c>
      <c r="K696" s="156">
        <f t="shared" si="393"/>
        <v>0</v>
      </c>
      <c r="L696" s="156">
        <f t="shared" si="393"/>
        <v>0</v>
      </c>
      <c r="M696" s="156">
        <f t="shared" si="393"/>
        <v>0</v>
      </c>
      <c r="N696" s="156">
        <f t="shared" si="393"/>
        <v>0</v>
      </c>
      <c r="O696" s="156">
        <f t="shared" si="393"/>
        <v>0</v>
      </c>
      <c r="P696" s="156">
        <f t="shared" si="393"/>
        <v>0</v>
      </c>
      <c r="Q696" s="156">
        <f t="shared" si="393"/>
        <v>0</v>
      </c>
      <c r="R696" s="156">
        <f t="shared" si="393"/>
        <v>0</v>
      </c>
      <c r="S696" s="156">
        <f t="shared" si="393"/>
        <v>0</v>
      </c>
      <c r="T696" s="156">
        <f t="shared" si="393"/>
        <v>0</v>
      </c>
      <c r="U696" s="156">
        <f t="shared" si="393"/>
        <v>0</v>
      </c>
      <c r="V696" s="156">
        <f t="shared" si="393"/>
        <v>0</v>
      </c>
      <c r="W696" s="156">
        <f t="shared" si="393"/>
        <v>0</v>
      </c>
      <c r="X696" s="156">
        <f t="shared" si="393"/>
        <v>0</v>
      </c>
      <c r="Y696" s="156">
        <f t="shared" si="393"/>
        <v>0</v>
      </c>
      <c r="Z696" s="156">
        <f t="shared" si="393"/>
        <v>0</v>
      </c>
      <c r="AA696" s="156">
        <f t="shared" si="393"/>
        <v>0</v>
      </c>
      <c r="AB696" s="156">
        <f t="shared" si="393"/>
        <v>0</v>
      </c>
      <c r="AC696" s="156">
        <f t="shared" si="393"/>
        <v>0</v>
      </c>
      <c r="AD696" s="156">
        <f t="shared" si="393"/>
        <v>0</v>
      </c>
      <c r="AE696" s="156">
        <f t="shared" si="393"/>
        <v>0</v>
      </c>
      <c r="AF696" s="156">
        <f t="shared" si="393"/>
        <v>0</v>
      </c>
      <c r="AG696" s="156">
        <f t="shared" si="393"/>
        <v>0</v>
      </c>
      <c r="AH696" s="156">
        <f t="shared" si="393"/>
        <v>0</v>
      </c>
      <c r="AI696" s="156">
        <f t="shared" si="393"/>
        <v>0</v>
      </c>
      <c r="AJ696" s="156">
        <f t="shared" si="393"/>
        <v>0</v>
      </c>
      <c r="AK696" s="156">
        <f t="shared" si="393"/>
        <v>0</v>
      </c>
      <c r="AL696" s="156">
        <f t="shared" si="393"/>
        <v>0</v>
      </c>
      <c r="AM696" s="156">
        <f t="shared" si="393"/>
        <v>0</v>
      </c>
      <c r="AN696" s="156">
        <f t="shared" si="393"/>
        <v>0</v>
      </c>
      <c r="AO696" s="156">
        <f t="shared" si="393"/>
        <v>0</v>
      </c>
      <c r="AP696" s="156">
        <f t="shared" si="393"/>
        <v>0</v>
      </c>
    </row>
    <row r="697" spans="1:42" x14ac:dyDescent="0.4">
      <c r="A697" s="4">
        <f t="shared" si="391"/>
        <v>5</v>
      </c>
      <c r="B697" s="171">
        <f t="shared" si="388"/>
        <v>0</v>
      </c>
      <c r="C697" s="156">
        <f t="shared" ref="C697:AP697" si="394">IF(C$2&gt;analysis_period,0,IF(C$2=equip2_reserve_freq*$A697,equip2_reserve_cost*system_capacity*1000*(1+inflation_rate/100)^B$2,0))</f>
        <v>0</v>
      </c>
      <c r="D697" s="156">
        <f t="shared" si="394"/>
        <v>0</v>
      </c>
      <c r="E697" s="156">
        <f t="shared" si="394"/>
        <v>0</v>
      </c>
      <c r="F697" s="156">
        <f t="shared" si="394"/>
        <v>0</v>
      </c>
      <c r="G697" s="156">
        <f t="shared" si="394"/>
        <v>0</v>
      </c>
      <c r="H697" s="156">
        <f t="shared" si="394"/>
        <v>0</v>
      </c>
      <c r="I697" s="156">
        <f t="shared" si="394"/>
        <v>0</v>
      </c>
      <c r="J697" s="156">
        <f t="shared" si="394"/>
        <v>0</v>
      </c>
      <c r="K697" s="156">
        <f t="shared" si="394"/>
        <v>0</v>
      </c>
      <c r="L697" s="156">
        <f t="shared" si="394"/>
        <v>0</v>
      </c>
      <c r="M697" s="156">
        <f t="shared" si="394"/>
        <v>0</v>
      </c>
      <c r="N697" s="156">
        <f t="shared" si="394"/>
        <v>0</v>
      </c>
      <c r="O697" s="156">
        <f t="shared" si="394"/>
        <v>0</v>
      </c>
      <c r="P697" s="156">
        <f t="shared" si="394"/>
        <v>0</v>
      </c>
      <c r="Q697" s="156">
        <f t="shared" si="394"/>
        <v>0</v>
      </c>
      <c r="R697" s="156">
        <f t="shared" si="394"/>
        <v>0</v>
      </c>
      <c r="S697" s="156">
        <f t="shared" si="394"/>
        <v>0</v>
      </c>
      <c r="T697" s="156">
        <f t="shared" si="394"/>
        <v>0</v>
      </c>
      <c r="U697" s="156">
        <f t="shared" si="394"/>
        <v>0</v>
      </c>
      <c r="V697" s="156">
        <f t="shared" si="394"/>
        <v>0</v>
      </c>
      <c r="W697" s="156">
        <f t="shared" si="394"/>
        <v>0</v>
      </c>
      <c r="X697" s="156">
        <f t="shared" si="394"/>
        <v>0</v>
      </c>
      <c r="Y697" s="156">
        <f t="shared" si="394"/>
        <v>0</v>
      </c>
      <c r="Z697" s="156">
        <f t="shared" si="394"/>
        <v>0</v>
      </c>
      <c r="AA697" s="156">
        <f t="shared" si="394"/>
        <v>0</v>
      </c>
      <c r="AB697" s="156">
        <f t="shared" si="394"/>
        <v>0</v>
      </c>
      <c r="AC697" s="156">
        <f t="shared" si="394"/>
        <v>0</v>
      </c>
      <c r="AD697" s="156">
        <f t="shared" si="394"/>
        <v>0</v>
      </c>
      <c r="AE697" s="156">
        <f t="shared" si="394"/>
        <v>0</v>
      </c>
      <c r="AF697" s="156">
        <f t="shared" si="394"/>
        <v>0</v>
      </c>
      <c r="AG697" s="156">
        <f t="shared" si="394"/>
        <v>0</v>
      </c>
      <c r="AH697" s="156">
        <f t="shared" si="394"/>
        <v>0</v>
      </c>
      <c r="AI697" s="156">
        <f t="shared" si="394"/>
        <v>0</v>
      </c>
      <c r="AJ697" s="156">
        <f t="shared" si="394"/>
        <v>0</v>
      </c>
      <c r="AK697" s="156">
        <f t="shared" si="394"/>
        <v>0</v>
      </c>
      <c r="AL697" s="156">
        <f t="shared" si="394"/>
        <v>0</v>
      </c>
      <c r="AM697" s="156">
        <f t="shared" si="394"/>
        <v>0</v>
      </c>
      <c r="AN697" s="156">
        <f t="shared" si="394"/>
        <v>0</v>
      </c>
      <c r="AO697" s="156">
        <f t="shared" si="394"/>
        <v>0</v>
      </c>
      <c r="AP697" s="156">
        <f t="shared" si="394"/>
        <v>0</v>
      </c>
    </row>
    <row r="698" spans="1:42" x14ac:dyDescent="0.4">
      <c r="A698" s="4">
        <f t="shared" si="391"/>
        <v>6</v>
      </c>
      <c r="B698" s="171">
        <f t="shared" si="388"/>
        <v>0</v>
      </c>
      <c r="C698" s="156">
        <f t="shared" ref="C698:AP698" si="395">IF(C$2&gt;analysis_period,0,IF(C$2=equip2_reserve_freq*$A698,equip2_reserve_cost*system_capacity*1000*(1+inflation_rate/100)^B$2,0))</f>
        <v>0</v>
      </c>
      <c r="D698" s="156">
        <f t="shared" si="395"/>
        <v>0</v>
      </c>
      <c r="E698" s="156">
        <f t="shared" si="395"/>
        <v>0</v>
      </c>
      <c r="F698" s="156">
        <f t="shared" si="395"/>
        <v>0</v>
      </c>
      <c r="G698" s="156">
        <f t="shared" si="395"/>
        <v>0</v>
      </c>
      <c r="H698" s="156">
        <f t="shared" si="395"/>
        <v>0</v>
      </c>
      <c r="I698" s="156">
        <f t="shared" si="395"/>
        <v>0</v>
      </c>
      <c r="J698" s="156">
        <f t="shared" si="395"/>
        <v>0</v>
      </c>
      <c r="K698" s="156">
        <f t="shared" si="395"/>
        <v>0</v>
      </c>
      <c r="L698" s="156">
        <f t="shared" si="395"/>
        <v>0</v>
      </c>
      <c r="M698" s="156">
        <f t="shared" si="395"/>
        <v>0</v>
      </c>
      <c r="N698" s="156">
        <f t="shared" si="395"/>
        <v>0</v>
      </c>
      <c r="O698" s="156">
        <f t="shared" si="395"/>
        <v>0</v>
      </c>
      <c r="P698" s="156">
        <f t="shared" si="395"/>
        <v>0</v>
      </c>
      <c r="Q698" s="156">
        <f t="shared" si="395"/>
        <v>0</v>
      </c>
      <c r="R698" s="156">
        <f t="shared" si="395"/>
        <v>0</v>
      </c>
      <c r="S698" s="156">
        <f t="shared" si="395"/>
        <v>0</v>
      </c>
      <c r="T698" s="156">
        <f t="shared" si="395"/>
        <v>0</v>
      </c>
      <c r="U698" s="156">
        <f t="shared" si="395"/>
        <v>0</v>
      </c>
      <c r="V698" s="156">
        <f t="shared" si="395"/>
        <v>0</v>
      </c>
      <c r="W698" s="156">
        <f t="shared" si="395"/>
        <v>0</v>
      </c>
      <c r="X698" s="156">
        <f t="shared" si="395"/>
        <v>0</v>
      </c>
      <c r="Y698" s="156">
        <f t="shared" si="395"/>
        <v>0</v>
      </c>
      <c r="Z698" s="156">
        <f t="shared" si="395"/>
        <v>0</v>
      </c>
      <c r="AA698" s="156">
        <f t="shared" si="395"/>
        <v>0</v>
      </c>
      <c r="AB698" s="156">
        <f t="shared" si="395"/>
        <v>0</v>
      </c>
      <c r="AC698" s="156">
        <f t="shared" si="395"/>
        <v>0</v>
      </c>
      <c r="AD698" s="156">
        <f t="shared" si="395"/>
        <v>0</v>
      </c>
      <c r="AE698" s="156">
        <f t="shared" si="395"/>
        <v>0</v>
      </c>
      <c r="AF698" s="156">
        <f t="shared" si="395"/>
        <v>0</v>
      </c>
      <c r="AG698" s="156">
        <f t="shared" si="395"/>
        <v>0</v>
      </c>
      <c r="AH698" s="156">
        <f t="shared" si="395"/>
        <v>0</v>
      </c>
      <c r="AI698" s="156">
        <f t="shared" si="395"/>
        <v>0</v>
      </c>
      <c r="AJ698" s="156">
        <f t="shared" si="395"/>
        <v>0</v>
      </c>
      <c r="AK698" s="156">
        <f t="shared" si="395"/>
        <v>0</v>
      </c>
      <c r="AL698" s="156">
        <f t="shared" si="395"/>
        <v>0</v>
      </c>
      <c r="AM698" s="156">
        <f t="shared" si="395"/>
        <v>0</v>
      </c>
      <c r="AN698" s="156">
        <f t="shared" si="395"/>
        <v>0</v>
      </c>
      <c r="AO698" s="156">
        <f t="shared" si="395"/>
        <v>0</v>
      </c>
      <c r="AP698" s="156">
        <f t="shared" si="395"/>
        <v>0</v>
      </c>
    </row>
    <row r="699" spans="1:42" x14ac:dyDescent="0.4">
      <c r="A699" s="4">
        <f t="shared" si="391"/>
        <v>7</v>
      </c>
      <c r="B699" s="171">
        <f t="shared" si="388"/>
        <v>0</v>
      </c>
      <c r="C699" s="156">
        <f t="shared" ref="C699:AP699" si="396">IF(C$2&gt;analysis_period,0,IF(C$2=equip2_reserve_freq*$A699,equip2_reserve_cost*system_capacity*1000*(1+inflation_rate/100)^B$2,0))</f>
        <v>0</v>
      </c>
      <c r="D699" s="156">
        <f t="shared" si="396"/>
        <v>0</v>
      </c>
      <c r="E699" s="156">
        <f t="shared" si="396"/>
        <v>0</v>
      </c>
      <c r="F699" s="156">
        <f t="shared" si="396"/>
        <v>0</v>
      </c>
      <c r="G699" s="156">
        <f t="shared" si="396"/>
        <v>0</v>
      </c>
      <c r="H699" s="156">
        <f t="shared" si="396"/>
        <v>0</v>
      </c>
      <c r="I699" s="156">
        <f t="shared" si="396"/>
        <v>0</v>
      </c>
      <c r="J699" s="156">
        <f t="shared" si="396"/>
        <v>0</v>
      </c>
      <c r="K699" s="156">
        <f t="shared" si="396"/>
        <v>0</v>
      </c>
      <c r="L699" s="156">
        <f t="shared" si="396"/>
        <v>0</v>
      </c>
      <c r="M699" s="156">
        <f t="shared" si="396"/>
        <v>0</v>
      </c>
      <c r="N699" s="156">
        <f t="shared" si="396"/>
        <v>0</v>
      </c>
      <c r="O699" s="156">
        <f t="shared" si="396"/>
        <v>0</v>
      </c>
      <c r="P699" s="156">
        <f t="shared" si="396"/>
        <v>0</v>
      </c>
      <c r="Q699" s="156">
        <f t="shared" si="396"/>
        <v>0</v>
      </c>
      <c r="R699" s="156">
        <f t="shared" si="396"/>
        <v>0</v>
      </c>
      <c r="S699" s="156">
        <f t="shared" si="396"/>
        <v>0</v>
      </c>
      <c r="T699" s="156">
        <f t="shared" si="396"/>
        <v>0</v>
      </c>
      <c r="U699" s="156">
        <f t="shared" si="396"/>
        <v>0</v>
      </c>
      <c r="V699" s="156">
        <f t="shared" si="396"/>
        <v>0</v>
      </c>
      <c r="W699" s="156">
        <f t="shared" si="396"/>
        <v>0</v>
      </c>
      <c r="X699" s="156">
        <f t="shared" si="396"/>
        <v>0</v>
      </c>
      <c r="Y699" s="156">
        <f t="shared" si="396"/>
        <v>0</v>
      </c>
      <c r="Z699" s="156">
        <f t="shared" si="396"/>
        <v>0</v>
      </c>
      <c r="AA699" s="156">
        <f t="shared" si="396"/>
        <v>0</v>
      </c>
      <c r="AB699" s="156">
        <f t="shared" si="396"/>
        <v>0</v>
      </c>
      <c r="AC699" s="156">
        <f t="shared" si="396"/>
        <v>0</v>
      </c>
      <c r="AD699" s="156">
        <f t="shared" si="396"/>
        <v>0</v>
      </c>
      <c r="AE699" s="156">
        <f t="shared" si="396"/>
        <v>0</v>
      </c>
      <c r="AF699" s="156">
        <f t="shared" si="396"/>
        <v>0</v>
      </c>
      <c r="AG699" s="156">
        <f t="shared" si="396"/>
        <v>0</v>
      </c>
      <c r="AH699" s="156">
        <f t="shared" si="396"/>
        <v>0</v>
      </c>
      <c r="AI699" s="156">
        <f t="shared" si="396"/>
        <v>0</v>
      </c>
      <c r="AJ699" s="156">
        <f t="shared" si="396"/>
        <v>0</v>
      </c>
      <c r="AK699" s="156">
        <f t="shared" si="396"/>
        <v>0</v>
      </c>
      <c r="AL699" s="156">
        <f t="shared" si="396"/>
        <v>0</v>
      </c>
      <c r="AM699" s="156">
        <f t="shared" si="396"/>
        <v>0</v>
      </c>
      <c r="AN699" s="156">
        <f t="shared" si="396"/>
        <v>0</v>
      </c>
      <c r="AO699" s="156">
        <f t="shared" si="396"/>
        <v>0</v>
      </c>
      <c r="AP699" s="156">
        <f t="shared" si="396"/>
        <v>0</v>
      </c>
    </row>
    <row r="700" spans="1:42" x14ac:dyDescent="0.4">
      <c r="A700" s="4">
        <f t="shared" si="391"/>
        <v>8</v>
      </c>
      <c r="B700" s="171">
        <f t="shared" si="388"/>
        <v>0</v>
      </c>
      <c r="C700" s="156">
        <f t="shared" ref="C700:AP700" si="397">IF(C$2&gt;analysis_period,0,IF(C$2=equip2_reserve_freq*$A700,equip2_reserve_cost*system_capacity*1000*(1+inflation_rate/100)^B$2,0))</f>
        <v>0</v>
      </c>
      <c r="D700" s="156">
        <f t="shared" si="397"/>
        <v>0</v>
      </c>
      <c r="E700" s="156">
        <f t="shared" si="397"/>
        <v>0</v>
      </c>
      <c r="F700" s="156">
        <f t="shared" si="397"/>
        <v>0</v>
      </c>
      <c r="G700" s="156">
        <f t="shared" si="397"/>
        <v>0</v>
      </c>
      <c r="H700" s="156">
        <f t="shared" si="397"/>
        <v>0</v>
      </c>
      <c r="I700" s="156">
        <f t="shared" si="397"/>
        <v>0</v>
      </c>
      <c r="J700" s="156">
        <f t="shared" si="397"/>
        <v>0</v>
      </c>
      <c r="K700" s="156">
        <f t="shared" si="397"/>
        <v>0</v>
      </c>
      <c r="L700" s="156">
        <f t="shared" si="397"/>
        <v>0</v>
      </c>
      <c r="M700" s="156">
        <f t="shared" si="397"/>
        <v>0</v>
      </c>
      <c r="N700" s="156">
        <f t="shared" si="397"/>
        <v>0</v>
      </c>
      <c r="O700" s="156">
        <f t="shared" si="397"/>
        <v>0</v>
      </c>
      <c r="P700" s="156">
        <f t="shared" si="397"/>
        <v>0</v>
      </c>
      <c r="Q700" s="156">
        <f t="shared" si="397"/>
        <v>0</v>
      </c>
      <c r="R700" s="156">
        <f t="shared" si="397"/>
        <v>0</v>
      </c>
      <c r="S700" s="156">
        <f t="shared" si="397"/>
        <v>0</v>
      </c>
      <c r="T700" s="156">
        <f t="shared" si="397"/>
        <v>0</v>
      </c>
      <c r="U700" s="156">
        <f t="shared" si="397"/>
        <v>0</v>
      </c>
      <c r="V700" s="156">
        <f t="shared" si="397"/>
        <v>0</v>
      </c>
      <c r="W700" s="156">
        <f t="shared" si="397"/>
        <v>0</v>
      </c>
      <c r="X700" s="156">
        <f t="shared" si="397"/>
        <v>0</v>
      </c>
      <c r="Y700" s="156">
        <f t="shared" si="397"/>
        <v>0</v>
      </c>
      <c r="Z700" s="156">
        <f t="shared" si="397"/>
        <v>0</v>
      </c>
      <c r="AA700" s="156">
        <f t="shared" si="397"/>
        <v>0</v>
      </c>
      <c r="AB700" s="156">
        <f t="shared" si="397"/>
        <v>0</v>
      </c>
      <c r="AC700" s="156">
        <f t="shared" si="397"/>
        <v>0</v>
      </c>
      <c r="AD700" s="156">
        <f t="shared" si="397"/>
        <v>0</v>
      </c>
      <c r="AE700" s="156">
        <f t="shared" si="397"/>
        <v>0</v>
      </c>
      <c r="AF700" s="156">
        <f t="shared" si="397"/>
        <v>0</v>
      </c>
      <c r="AG700" s="156">
        <f t="shared" si="397"/>
        <v>0</v>
      </c>
      <c r="AH700" s="156">
        <f t="shared" si="397"/>
        <v>0</v>
      </c>
      <c r="AI700" s="156">
        <f t="shared" si="397"/>
        <v>0</v>
      </c>
      <c r="AJ700" s="156">
        <f t="shared" si="397"/>
        <v>0</v>
      </c>
      <c r="AK700" s="156">
        <f t="shared" si="397"/>
        <v>0</v>
      </c>
      <c r="AL700" s="156">
        <f t="shared" si="397"/>
        <v>0</v>
      </c>
      <c r="AM700" s="156">
        <f t="shared" si="397"/>
        <v>0</v>
      </c>
      <c r="AN700" s="156">
        <f t="shared" si="397"/>
        <v>0</v>
      </c>
      <c r="AO700" s="156">
        <f t="shared" si="397"/>
        <v>0</v>
      </c>
      <c r="AP700" s="156">
        <f t="shared" si="397"/>
        <v>0</v>
      </c>
    </row>
    <row r="701" spans="1:42" x14ac:dyDescent="0.4">
      <c r="A701" s="4">
        <f>A700+1</f>
        <v>9</v>
      </c>
      <c r="B701" s="171">
        <f t="shared" si="388"/>
        <v>0</v>
      </c>
      <c r="C701" s="156">
        <f t="shared" ref="C701:AP701" si="398">IF(C$2&gt;analysis_period,0,IF(C$2=equip2_reserve_freq*$A701,equip2_reserve_cost*system_capacity*1000*(1+inflation_rate/100)^B$2,0))</f>
        <v>0</v>
      </c>
      <c r="D701" s="156">
        <f t="shared" si="398"/>
        <v>0</v>
      </c>
      <c r="E701" s="156">
        <f t="shared" si="398"/>
        <v>0</v>
      </c>
      <c r="F701" s="156">
        <f t="shared" si="398"/>
        <v>0</v>
      </c>
      <c r="G701" s="156">
        <f t="shared" si="398"/>
        <v>0</v>
      </c>
      <c r="H701" s="156">
        <f t="shared" si="398"/>
        <v>0</v>
      </c>
      <c r="I701" s="156">
        <f t="shared" si="398"/>
        <v>0</v>
      </c>
      <c r="J701" s="156">
        <f t="shared" si="398"/>
        <v>0</v>
      </c>
      <c r="K701" s="156">
        <f t="shared" si="398"/>
        <v>0</v>
      </c>
      <c r="L701" s="156">
        <f t="shared" si="398"/>
        <v>0</v>
      </c>
      <c r="M701" s="156">
        <f t="shared" si="398"/>
        <v>0</v>
      </c>
      <c r="N701" s="156">
        <f t="shared" si="398"/>
        <v>0</v>
      </c>
      <c r="O701" s="156">
        <f t="shared" si="398"/>
        <v>0</v>
      </c>
      <c r="P701" s="156">
        <f t="shared" si="398"/>
        <v>0</v>
      </c>
      <c r="Q701" s="156">
        <f t="shared" si="398"/>
        <v>0</v>
      </c>
      <c r="R701" s="156">
        <f t="shared" si="398"/>
        <v>0</v>
      </c>
      <c r="S701" s="156">
        <f t="shared" si="398"/>
        <v>0</v>
      </c>
      <c r="T701" s="156">
        <f t="shared" si="398"/>
        <v>0</v>
      </c>
      <c r="U701" s="156">
        <f t="shared" si="398"/>
        <v>0</v>
      </c>
      <c r="V701" s="156">
        <f t="shared" si="398"/>
        <v>0</v>
      </c>
      <c r="W701" s="156">
        <f t="shared" si="398"/>
        <v>0</v>
      </c>
      <c r="X701" s="156">
        <f t="shared" si="398"/>
        <v>0</v>
      </c>
      <c r="Y701" s="156">
        <f t="shared" si="398"/>
        <v>0</v>
      </c>
      <c r="Z701" s="156">
        <f t="shared" si="398"/>
        <v>0</v>
      </c>
      <c r="AA701" s="156">
        <f t="shared" si="398"/>
        <v>0</v>
      </c>
      <c r="AB701" s="156">
        <f t="shared" si="398"/>
        <v>0</v>
      </c>
      <c r="AC701" s="156">
        <f t="shared" si="398"/>
        <v>0</v>
      </c>
      <c r="AD701" s="156">
        <f t="shared" si="398"/>
        <v>0</v>
      </c>
      <c r="AE701" s="156">
        <f t="shared" si="398"/>
        <v>0</v>
      </c>
      <c r="AF701" s="156">
        <f t="shared" si="398"/>
        <v>0</v>
      </c>
      <c r="AG701" s="156">
        <f t="shared" si="398"/>
        <v>0</v>
      </c>
      <c r="AH701" s="156">
        <f t="shared" si="398"/>
        <v>0</v>
      </c>
      <c r="AI701" s="156">
        <f t="shared" si="398"/>
        <v>0</v>
      </c>
      <c r="AJ701" s="156">
        <f t="shared" si="398"/>
        <v>0</v>
      </c>
      <c r="AK701" s="156">
        <f t="shared" si="398"/>
        <v>0</v>
      </c>
      <c r="AL701" s="156">
        <f t="shared" si="398"/>
        <v>0</v>
      </c>
      <c r="AM701" s="156">
        <f t="shared" si="398"/>
        <v>0</v>
      </c>
      <c r="AN701" s="156">
        <f t="shared" si="398"/>
        <v>0</v>
      </c>
      <c r="AO701" s="156">
        <f t="shared" si="398"/>
        <v>0</v>
      </c>
      <c r="AP701" s="156">
        <f t="shared" si="398"/>
        <v>0</v>
      </c>
    </row>
    <row r="702" spans="1:42" x14ac:dyDescent="0.4">
      <c r="A702" s="4">
        <f t="shared" si="391"/>
        <v>10</v>
      </c>
      <c r="B702" s="171">
        <f t="shared" si="388"/>
        <v>0</v>
      </c>
      <c r="C702" s="156">
        <f t="shared" ref="C702:AP702" si="399">IF(C$2&gt;analysis_period,0,IF(C$2=equip2_reserve_freq*$A702,equip2_reserve_cost*system_capacity*1000*(1+inflation_rate/100)^B$2,0))</f>
        <v>0</v>
      </c>
      <c r="D702" s="156">
        <f t="shared" si="399"/>
        <v>0</v>
      </c>
      <c r="E702" s="156">
        <f t="shared" si="399"/>
        <v>0</v>
      </c>
      <c r="F702" s="156">
        <f t="shared" si="399"/>
        <v>0</v>
      </c>
      <c r="G702" s="156">
        <f t="shared" si="399"/>
        <v>0</v>
      </c>
      <c r="H702" s="156">
        <f t="shared" si="399"/>
        <v>0</v>
      </c>
      <c r="I702" s="156">
        <f t="shared" si="399"/>
        <v>0</v>
      </c>
      <c r="J702" s="156">
        <f t="shared" si="399"/>
        <v>0</v>
      </c>
      <c r="K702" s="156">
        <f t="shared" si="399"/>
        <v>0</v>
      </c>
      <c r="L702" s="156">
        <f t="shared" si="399"/>
        <v>0</v>
      </c>
      <c r="M702" s="156">
        <f t="shared" si="399"/>
        <v>0</v>
      </c>
      <c r="N702" s="156">
        <f t="shared" si="399"/>
        <v>0</v>
      </c>
      <c r="O702" s="156">
        <f t="shared" si="399"/>
        <v>0</v>
      </c>
      <c r="P702" s="156">
        <f t="shared" si="399"/>
        <v>0</v>
      </c>
      <c r="Q702" s="156">
        <f t="shared" si="399"/>
        <v>0</v>
      </c>
      <c r="R702" s="156">
        <f t="shared" si="399"/>
        <v>0</v>
      </c>
      <c r="S702" s="156">
        <f t="shared" si="399"/>
        <v>0</v>
      </c>
      <c r="T702" s="156">
        <f t="shared" si="399"/>
        <v>0</v>
      </c>
      <c r="U702" s="156">
        <f t="shared" si="399"/>
        <v>0</v>
      </c>
      <c r="V702" s="156">
        <f t="shared" si="399"/>
        <v>0</v>
      </c>
      <c r="W702" s="156">
        <f t="shared" si="399"/>
        <v>0</v>
      </c>
      <c r="X702" s="156">
        <f t="shared" si="399"/>
        <v>0</v>
      </c>
      <c r="Y702" s="156">
        <f t="shared" si="399"/>
        <v>0</v>
      </c>
      <c r="Z702" s="156">
        <f t="shared" si="399"/>
        <v>0</v>
      </c>
      <c r="AA702" s="156">
        <f t="shared" si="399"/>
        <v>0</v>
      </c>
      <c r="AB702" s="156">
        <f t="shared" si="399"/>
        <v>0</v>
      </c>
      <c r="AC702" s="156">
        <f t="shared" si="399"/>
        <v>0</v>
      </c>
      <c r="AD702" s="156">
        <f t="shared" si="399"/>
        <v>0</v>
      </c>
      <c r="AE702" s="156">
        <f t="shared" si="399"/>
        <v>0</v>
      </c>
      <c r="AF702" s="156">
        <f t="shared" si="399"/>
        <v>0</v>
      </c>
      <c r="AG702" s="156">
        <f t="shared" si="399"/>
        <v>0</v>
      </c>
      <c r="AH702" s="156">
        <f t="shared" si="399"/>
        <v>0</v>
      </c>
      <c r="AI702" s="156">
        <f t="shared" si="399"/>
        <v>0</v>
      </c>
      <c r="AJ702" s="156">
        <f t="shared" si="399"/>
        <v>0</v>
      </c>
      <c r="AK702" s="156">
        <f t="shared" si="399"/>
        <v>0</v>
      </c>
      <c r="AL702" s="156">
        <f t="shared" si="399"/>
        <v>0</v>
      </c>
      <c r="AM702" s="156">
        <f t="shared" si="399"/>
        <v>0</v>
      </c>
      <c r="AN702" s="156">
        <f t="shared" si="399"/>
        <v>0</v>
      </c>
      <c r="AO702" s="156">
        <f t="shared" si="399"/>
        <v>0</v>
      </c>
      <c r="AP702" s="156">
        <f t="shared" si="399"/>
        <v>0</v>
      </c>
    </row>
    <row r="703" spans="1:42" x14ac:dyDescent="0.4">
      <c r="A703" s="24" t="s">
        <v>13</v>
      </c>
      <c r="B703" s="14"/>
      <c r="C703" s="156">
        <f>SUM(C693:C702)</f>
        <v>0</v>
      </c>
      <c r="D703" s="156">
        <f t="shared" ref="D703:AP703" si="400">SUM(D693:D702)</f>
        <v>0</v>
      </c>
      <c r="E703" s="156">
        <f t="shared" si="400"/>
        <v>0</v>
      </c>
      <c r="F703" s="156">
        <f t="shared" si="400"/>
        <v>0</v>
      </c>
      <c r="G703" s="156">
        <f t="shared" si="400"/>
        <v>0</v>
      </c>
      <c r="H703" s="156">
        <f t="shared" si="400"/>
        <v>0</v>
      </c>
      <c r="I703" s="156">
        <f t="shared" si="400"/>
        <v>0</v>
      </c>
      <c r="J703" s="156">
        <f t="shared" si="400"/>
        <v>0</v>
      </c>
      <c r="K703" s="156">
        <f t="shared" si="400"/>
        <v>0</v>
      </c>
      <c r="L703" s="156">
        <f t="shared" si="400"/>
        <v>0</v>
      </c>
      <c r="M703" s="156">
        <f t="shared" si="400"/>
        <v>0</v>
      </c>
      <c r="N703" s="156">
        <f t="shared" si="400"/>
        <v>0</v>
      </c>
      <c r="O703" s="156">
        <f t="shared" si="400"/>
        <v>0</v>
      </c>
      <c r="P703" s="156">
        <f t="shared" si="400"/>
        <v>0</v>
      </c>
      <c r="Q703" s="156">
        <f t="shared" si="400"/>
        <v>0</v>
      </c>
      <c r="R703" s="156">
        <f t="shared" si="400"/>
        <v>0</v>
      </c>
      <c r="S703" s="156">
        <f t="shared" si="400"/>
        <v>0</v>
      </c>
      <c r="T703" s="156">
        <f t="shared" si="400"/>
        <v>0</v>
      </c>
      <c r="U703" s="156">
        <f t="shared" si="400"/>
        <v>0</v>
      </c>
      <c r="V703" s="156">
        <f t="shared" si="400"/>
        <v>0</v>
      </c>
      <c r="W703" s="156">
        <f t="shared" si="400"/>
        <v>0</v>
      </c>
      <c r="X703" s="156">
        <f t="shared" si="400"/>
        <v>0</v>
      </c>
      <c r="Y703" s="156">
        <f t="shared" si="400"/>
        <v>0</v>
      </c>
      <c r="Z703" s="156">
        <f t="shared" si="400"/>
        <v>0</v>
      </c>
      <c r="AA703" s="156">
        <f t="shared" si="400"/>
        <v>0</v>
      </c>
      <c r="AB703" s="156">
        <f t="shared" si="400"/>
        <v>0</v>
      </c>
      <c r="AC703" s="156">
        <f t="shared" si="400"/>
        <v>0</v>
      </c>
      <c r="AD703" s="156">
        <f t="shared" si="400"/>
        <v>0</v>
      </c>
      <c r="AE703" s="156">
        <f t="shared" si="400"/>
        <v>0</v>
      </c>
      <c r="AF703" s="156">
        <f t="shared" si="400"/>
        <v>0</v>
      </c>
      <c r="AG703" s="156">
        <f t="shared" si="400"/>
        <v>0</v>
      </c>
      <c r="AH703" s="156">
        <f t="shared" si="400"/>
        <v>0</v>
      </c>
      <c r="AI703" s="156">
        <f t="shared" si="400"/>
        <v>0</v>
      </c>
      <c r="AJ703" s="156">
        <f t="shared" si="400"/>
        <v>0</v>
      </c>
      <c r="AK703" s="156">
        <f t="shared" si="400"/>
        <v>0</v>
      </c>
      <c r="AL703" s="156">
        <f t="shared" si="400"/>
        <v>0</v>
      </c>
      <c r="AM703" s="156">
        <f t="shared" si="400"/>
        <v>0</v>
      </c>
      <c r="AN703" s="156">
        <f t="shared" si="400"/>
        <v>0</v>
      </c>
      <c r="AO703" s="156">
        <f t="shared" si="400"/>
        <v>0</v>
      </c>
      <c r="AP703" s="156">
        <f t="shared" si="400"/>
        <v>0</v>
      </c>
    </row>
    <row r="704" spans="1:42" x14ac:dyDescent="0.4">
      <c r="A704" s="4" t="s">
        <v>266</v>
      </c>
    </row>
    <row r="705" spans="1:42" x14ac:dyDescent="0.4">
      <c r="A705" s="4">
        <v>1</v>
      </c>
      <c r="B705" s="176">
        <f t="shared" ref="B705:B714" si="401">SUM(C705:AP705)</f>
        <v>0</v>
      </c>
      <c r="C705" s="156">
        <f t="shared" ref="C705:AP705" si="402">IF(C$2&lt;=equip2_reserve_freq*$A$693,$B$693/(equip2_reserve_freq),0)</f>
        <v>0</v>
      </c>
      <c r="D705" s="156">
        <f t="shared" si="402"/>
        <v>0</v>
      </c>
      <c r="E705" s="156">
        <f t="shared" si="402"/>
        <v>0</v>
      </c>
      <c r="F705" s="156">
        <f t="shared" si="402"/>
        <v>0</v>
      </c>
      <c r="G705" s="156">
        <f t="shared" si="402"/>
        <v>0</v>
      </c>
      <c r="H705" s="156">
        <f t="shared" si="402"/>
        <v>0</v>
      </c>
      <c r="I705" s="156">
        <f t="shared" si="402"/>
        <v>0</v>
      </c>
      <c r="J705" s="156">
        <f t="shared" si="402"/>
        <v>0</v>
      </c>
      <c r="K705" s="156">
        <f t="shared" si="402"/>
        <v>0</v>
      </c>
      <c r="L705" s="156">
        <f t="shared" si="402"/>
        <v>0</v>
      </c>
      <c r="M705" s="156">
        <f t="shared" si="402"/>
        <v>0</v>
      </c>
      <c r="N705" s="156">
        <f t="shared" si="402"/>
        <v>0</v>
      </c>
      <c r="O705" s="156">
        <f t="shared" si="402"/>
        <v>0</v>
      </c>
      <c r="P705" s="156">
        <f t="shared" si="402"/>
        <v>0</v>
      </c>
      <c r="Q705" s="156">
        <f t="shared" si="402"/>
        <v>0</v>
      </c>
      <c r="R705" s="156">
        <f t="shared" si="402"/>
        <v>0</v>
      </c>
      <c r="S705" s="156">
        <f t="shared" si="402"/>
        <v>0</v>
      </c>
      <c r="T705" s="156">
        <f t="shared" si="402"/>
        <v>0</v>
      </c>
      <c r="U705" s="156">
        <f t="shared" si="402"/>
        <v>0</v>
      </c>
      <c r="V705" s="156">
        <f t="shared" si="402"/>
        <v>0</v>
      </c>
      <c r="W705" s="156">
        <f t="shared" si="402"/>
        <v>0</v>
      </c>
      <c r="X705" s="156">
        <f t="shared" si="402"/>
        <v>0</v>
      </c>
      <c r="Y705" s="156">
        <f t="shared" si="402"/>
        <v>0</v>
      </c>
      <c r="Z705" s="156">
        <f t="shared" si="402"/>
        <v>0</v>
      </c>
      <c r="AA705" s="156">
        <f t="shared" si="402"/>
        <v>0</v>
      </c>
      <c r="AB705" s="156">
        <f t="shared" si="402"/>
        <v>0</v>
      </c>
      <c r="AC705" s="156">
        <f t="shared" si="402"/>
        <v>0</v>
      </c>
      <c r="AD705" s="156">
        <f t="shared" si="402"/>
        <v>0</v>
      </c>
      <c r="AE705" s="156">
        <f t="shared" si="402"/>
        <v>0</v>
      </c>
      <c r="AF705" s="156">
        <f t="shared" si="402"/>
        <v>0</v>
      </c>
      <c r="AG705" s="156">
        <f t="shared" si="402"/>
        <v>0</v>
      </c>
      <c r="AH705" s="156">
        <f t="shared" si="402"/>
        <v>0</v>
      </c>
      <c r="AI705" s="156">
        <f t="shared" si="402"/>
        <v>0</v>
      </c>
      <c r="AJ705" s="156">
        <f t="shared" si="402"/>
        <v>0</v>
      </c>
      <c r="AK705" s="156">
        <f t="shared" si="402"/>
        <v>0</v>
      </c>
      <c r="AL705" s="156">
        <f t="shared" si="402"/>
        <v>0</v>
      </c>
      <c r="AM705" s="156">
        <f t="shared" si="402"/>
        <v>0</v>
      </c>
      <c r="AN705" s="156">
        <f t="shared" si="402"/>
        <v>0</v>
      </c>
      <c r="AO705" s="156">
        <f t="shared" si="402"/>
        <v>0</v>
      </c>
      <c r="AP705" s="156">
        <f t="shared" si="402"/>
        <v>0</v>
      </c>
    </row>
    <row r="706" spans="1:42" x14ac:dyDescent="0.4">
      <c r="A706" s="4">
        <f>A705+1</f>
        <v>2</v>
      </c>
      <c r="B706" s="176">
        <f t="shared" si="401"/>
        <v>0</v>
      </c>
      <c r="C706" s="156">
        <f t="shared" ref="C706:AP706" si="403">IF(AND(C$2&gt;equip2_reserve_freq*$A693,C$2&lt;=equip2_reserve_freq*$A694),$B694/(equip2_reserve_freq),0)</f>
        <v>0</v>
      </c>
      <c r="D706" s="156">
        <f t="shared" si="403"/>
        <v>0</v>
      </c>
      <c r="E706" s="156">
        <f t="shared" si="403"/>
        <v>0</v>
      </c>
      <c r="F706" s="156">
        <f t="shared" si="403"/>
        <v>0</v>
      </c>
      <c r="G706" s="156">
        <f t="shared" si="403"/>
        <v>0</v>
      </c>
      <c r="H706" s="156">
        <f t="shared" si="403"/>
        <v>0</v>
      </c>
      <c r="I706" s="156">
        <f t="shared" si="403"/>
        <v>0</v>
      </c>
      <c r="J706" s="156">
        <f t="shared" si="403"/>
        <v>0</v>
      </c>
      <c r="K706" s="156">
        <f t="shared" si="403"/>
        <v>0</v>
      </c>
      <c r="L706" s="156">
        <f t="shared" si="403"/>
        <v>0</v>
      </c>
      <c r="M706" s="156">
        <f t="shared" si="403"/>
        <v>0</v>
      </c>
      <c r="N706" s="156">
        <f t="shared" si="403"/>
        <v>0</v>
      </c>
      <c r="O706" s="156">
        <f t="shared" si="403"/>
        <v>0</v>
      </c>
      <c r="P706" s="156">
        <f t="shared" si="403"/>
        <v>0</v>
      </c>
      <c r="Q706" s="156">
        <f t="shared" si="403"/>
        <v>0</v>
      </c>
      <c r="R706" s="156">
        <f t="shared" si="403"/>
        <v>0</v>
      </c>
      <c r="S706" s="156">
        <f t="shared" si="403"/>
        <v>0</v>
      </c>
      <c r="T706" s="156">
        <f t="shared" si="403"/>
        <v>0</v>
      </c>
      <c r="U706" s="156">
        <f t="shared" si="403"/>
        <v>0</v>
      </c>
      <c r="V706" s="156">
        <f t="shared" si="403"/>
        <v>0</v>
      </c>
      <c r="W706" s="156">
        <f t="shared" si="403"/>
        <v>0</v>
      </c>
      <c r="X706" s="156">
        <f t="shared" si="403"/>
        <v>0</v>
      </c>
      <c r="Y706" s="156">
        <f t="shared" si="403"/>
        <v>0</v>
      </c>
      <c r="Z706" s="156">
        <f t="shared" si="403"/>
        <v>0</v>
      </c>
      <c r="AA706" s="156">
        <f t="shared" si="403"/>
        <v>0</v>
      </c>
      <c r="AB706" s="156">
        <f t="shared" si="403"/>
        <v>0</v>
      </c>
      <c r="AC706" s="156">
        <f t="shared" si="403"/>
        <v>0</v>
      </c>
      <c r="AD706" s="156">
        <f t="shared" si="403"/>
        <v>0</v>
      </c>
      <c r="AE706" s="156">
        <f t="shared" si="403"/>
        <v>0</v>
      </c>
      <c r="AF706" s="156">
        <f t="shared" si="403"/>
        <v>0</v>
      </c>
      <c r="AG706" s="156">
        <f t="shared" si="403"/>
        <v>0</v>
      </c>
      <c r="AH706" s="156">
        <f t="shared" si="403"/>
        <v>0</v>
      </c>
      <c r="AI706" s="156">
        <f t="shared" si="403"/>
        <v>0</v>
      </c>
      <c r="AJ706" s="156">
        <f t="shared" si="403"/>
        <v>0</v>
      </c>
      <c r="AK706" s="156">
        <f t="shared" si="403"/>
        <v>0</v>
      </c>
      <c r="AL706" s="156">
        <f t="shared" si="403"/>
        <v>0</v>
      </c>
      <c r="AM706" s="156">
        <f t="shared" si="403"/>
        <v>0</v>
      </c>
      <c r="AN706" s="156">
        <f t="shared" si="403"/>
        <v>0</v>
      </c>
      <c r="AO706" s="156">
        <f t="shared" si="403"/>
        <v>0</v>
      </c>
      <c r="AP706" s="156">
        <f t="shared" si="403"/>
        <v>0</v>
      </c>
    </row>
    <row r="707" spans="1:42" x14ac:dyDescent="0.4">
      <c r="A707" s="4">
        <f t="shared" ref="A707:A712" si="404">A706+1</f>
        <v>3</v>
      </c>
      <c r="B707" s="176">
        <f t="shared" si="401"/>
        <v>0</v>
      </c>
      <c r="C707" s="156">
        <f t="shared" ref="C707:AP707" si="405">IF(AND(C$2&gt;equip2_reserve_freq*$A694,C$2&lt;=equip2_reserve_freq*$A695),$B695/(equip2_reserve_freq),0)</f>
        <v>0</v>
      </c>
      <c r="D707" s="156">
        <f t="shared" si="405"/>
        <v>0</v>
      </c>
      <c r="E707" s="156">
        <f t="shared" si="405"/>
        <v>0</v>
      </c>
      <c r="F707" s="156">
        <f t="shared" si="405"/>
        <v>0</v>
      </c>
      <c r="G707" s="156">
        <f t="shared" si="405"/>
        <v>0</v>
      </c>
      <c r="H707" s="156">
        <f t="shared" si="405"/>
        <v>0</v>
      </c>
      <c r="I707" s="156">
        <f t="shared" si="405"/>
        <v>0</v>
      </c>
      <c r="J707" s="156">
        <f t="shared" si="405"/>
        <v>0</v>
      </c>
      <c r="K707" s="156">
        <f t="shared" si="405"/>
        <v>0</v>
      </c>
      <c r="L707" s="156">
        <f t="shared" si="405"/>
        <v>0</v>
      </c>
      <c r="M707" s="156">
        <f t="shared" si="405"/>
        <v>0</v>
      </c>
      <c r="N707" s="156">
        <f t="shared" si="405"/>
        <v>0</v>
      </c>
      <c r="O707" s="156">
        <f t="shared" si="405"/>
        <v>0</v>
      </c>
      <c r="P707" s="156">
        <f t="shared" si="405"/>
        <v>0</v>
      </c>
      <c r="Q707" s="156">
        <f t="shared" si="405"/>
        <v>0</v>
      </c>
      <c r="R707" s="156">
        <f t="shared" si="405"/>
        <v>0</v>
      </c>
      <c r="S707" s="156">
        <f t="shared" si="405"/>
        <v>0</v>
      </c>
      <c r="T707" s="156">
        <f t="shared" si="405"/>
        <v>0</v>
      </c>
      <c r="U707" s="156">
        <f t="shared" si="405"/>
        <v>0</v>
      </c>
      <c r="V707" s="156">
        <f t="shared" si="405"/>
        <v>0</v>
      </c>
      <c r="W707" s="156">
        <f t="shared" si="405"/>
        <v>0</v>
      </c>
      <c r="X707" s="156">
        <f t="shared" si="405"/>
        <v>0</v>
      </c>
      <c r="Y707" s="156">
        <f t="shared" si="405"/>
        <v>0</v>
      </c>
      <c r="Z707" s="156">
        <f t="shared" si="405"/>
        <v>0</v>
      </c>
      <c r="AA707" s="156">
        <f t="shared" si="405"/>
        <v>0</v>
      </c>
      <c r="AB707" s="156">
        <f t="shared" si="405"/>
        <v>0</v>
      </c>
      <c r="AC707" s="156">
        <f t="shared" si="405"/>
        <v>0</v>
      </c>
      <c r="AD707" s="156">
        <f t="shared" si="405"/>
        <v>0</v>
      </c>
      <c r="AE707" s="156">
        <f t="shared" si="405"/>
        <v>0</v>
      </c>
      <c r="AF707" s="156">
        <f t="shared" si="405"/>
        <v>0</v>
      </c>
      <c r="AG707" s="156">
        <f t="shared" si="405"/>
        <v>0</v>
      </c>
      <c r="AH707" s="156">
        <f t="shared" si="405"/>
        <v>0</v>
      </c>
      <c r="AI707" s="156">
        <f t="shared" si="405"/>
        <v>0</v>
      </c>
      <c r="AJ707" s="156">
        <f t="shared" si="405"/>
        <v>0</v>
      </c>
      <c r="AK707" s="156">
        <f t="shared" si="405"/>
        <v>0</v>
      </c>
      <c r="AL707" s="156">
        <f t="shared" si="405"/>
        <v>0</v>
      </c>
      <c r="AM707" s="156">
        <f t="shared" si="405"/>
        <v>0</v>
      </c>
      <c r="AN707" s="156">
        <f t="shared" si="405"/>
        <v>0</v>
      </c>
      <c r="AO707" s="156">
        <f t="shared" si="405"/>
        <v>0</v>
      </c>
      <c r="AP707" s="156">
        <f t="shared" si="405"/>
        <v>0</v>
      </c>
    </row>
    <row r="708" spans="1:42" x14ac:dyDescent="0.4">
      <c r="A708" s="4">
        <f t="shared" si="404"/>
        <v>4</v>
      </c>
      <c r="B708" s="176">
        <f t="shared" si="401"/>
        <v>0</v>
      </c>
      <c r="C708" s="156">
        <f t="shared" ref="C708:AP708" si="406">IF(AND(C$2&gt;equip2_reserve_freq*$A695,C$2&lt;=equip2_reserve_freq*$A696),$B696/(equip2_reserve_freq),0)</f>
        <v>0</v>
      </c>
      <c r="D708" s="156">
        <f t="shared" si="406"/>
        <v>0</v>
      </c>
      <c r="E708" s="156">
        <f t="shared" si="406"/>
        <v>0</v>
      </c>
      <c r="F708" s="156">
        <f t="shared" si="406"/>
        <v>0</v>
      </c>
      <c r="G708" s="156">
        <f t="shared" si="406"/>
        <v>0</v>
      </c>
      <c r="H708" s="156">
        <f t="shared" si="406"/>
        <v>0</v>
      </c>
      <c r="I708" s="156">
        <f t="shared" si="406"/>
        <v>0</v>
      </c>
      <c r="J708" s="156">
        <f t="shared" si="406"/>
        <v>0</v>
      </c>
      <c r="K708" s="156">
        <f t="shared" si="406"/>
        <v>0</v>
      </c>
      <c r="L708" s="156">
        <f t="shared" si="406"/>
        <v>0</v>
      </c>
      <c r="M708" s="156">
        <f t="shared" si="406"/>
        <v>0</v>
      </c>
      <c r="N708" s="156">
        <f t="shared" si="406"/>
        <v>0</v>
      </c>
      <c r="O708" s="156">
        <f t="shared" si="406"/>
        <v>0</v>
      </c>
      <c r="P708" s="156">
        <f t="shared" si="406"/>
        <v>0</v>
      </c>
      <c r="Q708" s="156">
        <f t="shared" si="406"/>
        <v>0</v>
      </c>
      <c r="R708" s="156">
        <f t="shared" si="406"/>
        <v>0</v>
      </c>
      <c r="S708" s="156">
        <f t="shared" si="406"/>
        <v>0</v>
      </c>
      <c r="T708" s="156">
        <f t="shared" si="406"/>
        <v>0</v>
      </c>
      <c r="U708" s="156">
        <f t="shared" si="406"/>
        <v>0</v>
      </c>
      <c r="V708" s="156">
        <f t="shared" si="406"/>
        <v>0</v>
      </c>
      <c r="W708" s="156">
        <f t="shared" si="406"/>
        <v>0</v>
      </c>
      <c r="X708" s="156">
        <f t="shared" si="406"/>
        <v>0</v>
      </c>
      <c r="Y708" s="156">
        <f t="shared" si="406"/>
        <v>0</v>
      </c>
      <c r="Z708" s="156">
        <f t="shared" si="406"/>
        <v>0</v>
      </c>
      <c r="AA708" s="156">
        <f t="shared" si="406"/>
        <v>0</v>
      </c>
      <c r="AB708" s="156">
        <f t="shared" si="406"/>
        <v>0</v>
      </c>
      <c r="AC708" s="156">
        <f t="shared" si="406"/>
        <v>0</v>
      </c>
      <c r="AD708" s="156">
        <f t="shared" si="406"/>
        <v>0</v>
      </c>
      <c r="AE708" s="156">
        <f t="shared" si="406"/>
        <v>0</v>
      </c>
      <c r="AF708" s="156">
        <f t="shared" si="406"/>
        <v>0</v>
      </c>
      <c r="AG708" s="156">
        <f t="shared" si="406"/>
        <v>0</v>
      </c>
      <c r="AH708" s="156">
        <f t="shared" si="406"/>
        <v>0</v>
      </c>
      <c r="AI708" s="156">
        <f t="shared" si="406"/>
        <v>0</v>
      </c>
      <c r="AJ708" s="156">
        <f t="shared" si="406"/>
        <v>0</v>
      </c>
      <c r="AK708" s="156">
        <f t="shared" si="406"/>
        <v>0</v>
      </c>
      <c r="AL708" s="156">
        <f t="shared" si="406"/>
        <v>0</v>
      </c>
      <c r="AM708" s="156">
        <f t="shared" si="406"/>
        <v>0</v>
      </c>
      <c r="AN708" s="156">
        <f t="shared" si="406"/>
        <v>0</v>
      </c>
      <c r="AO708" s="156">
        <f t="shared" si="406"/>
        <v>0</v>
      </c>
      <c r="AP708" s="156">
        <f t="shared" si="406"/>
        <v>0</v>
      </c>
    </row>
    <row r="709" spans="1:42" x14ac:dyDescent="0.4">
      <c r="A709" s="4">
        <f t="shared" si="404"/>
        <v>5</v>
      </c>
      <c r="B709" s="176">
        <f t="shared" si="401"/>
        <v>0</v>
      </c>
      <c r="C709" s="156">
        <f t="shared" ref="C709:AP709" si="407">IF(AND(C$2&gt;equip2_reserve_freq*$A696,C$2&lt;=equip2_reserve_freq*$A697),$B697/(equip2_reserve_freq),0)</f>
        <v>0</v>
      </c>
      <c r="D709" s="156">
        <f t="shared" si="407"/>
        <v>0</v>
      </c>
      <c r="E709" s="156">
        <f t="shared" si="407"/>
        <v>0</v>
      </c>
      <c r="F709" s="156">
        <f t="shared" si="407"/>
        <v>0</v>
      </c>
      <c r="G709" s="156">
        <f t="shared" si="407"/>
        <v>0</v>
      </c>
      <c r="H709" s="156">
        <f t="shared" si="407"/>
        <v>0</v>
      </c>
      <c r="I709" s="156">
        <f t="shared" si="407"/>
        <v>0</v>
      </c>
      <c r="J709" s="156">
        <f t="shared" si="407"/>
        <v>0</v>
      </c>
      <c r="K709" s="156">
        <f t="shared" si="407"/>
        <v>0</v>
      </c>
      <c r="L709" s="156">
        <f t="shared" si="407"/>
        <v>0</v>
      </c>
      <c r="M709" s="156">
        <f t="shared" si="407"/>
        <v>0</v>
      </c>
      <c r="N709" s="156">
        <f t="shared" si="407"/>
        <v>0</v>
      </c>
      <c r="O709" s="156">
        <f t="shared" si="407"/>
        <v>0</v>
      </c>
      <c r="P709" s="156">
        <f t="shared" si="407"/>
        <v>0</v>
      </c>
      <c r="Q709" s="156">
        <f t="shared" si="407"/>
        <v>0</v>
      </c>
      <c r="R709" s="156">
        <f t="shared" si="407"/>
        <v>0</v>
      </c>
      <c r="S709" s="156">
        <f t="shared" si="407"/>
        <v>0</v>
      </c>
      <c r="T709" s="156">
        <f t="shared" si="407"/>
        <v>0</v>
      </c>
      <c r="U709" s="156">
        <f t="shared" si="407"/>
        <v>0</v>
      </c>
      <c r="V709" s="156">
        <f t="shared" si="407"/>
        <v>0</v>
      </c>
      <c r="W709" s="156">
        <f t="shared" si="407"/>
        <v>0</v>
      </c>
      <c r="X709" s="156">
        <f t="shared" si="407"/>
        <v>0</v>
      </c>
      <c r="Y709" s="156">
        <f t="shared" si="407"/>
        <v>0</v>
      </c>
      <c r="Z709" s="156">
        <f t="shared" si="407"/>
        <v>0</v>
      </c>
      <c r="AA709" s="156">
        <f t="shared" si="407"/>
        <v>0</v>
      </c>
      <c r="AB709" s="156">
        <f t="shared" si="407"/>
        <v>0</v>
      </c>
      <c r="AC709" s="156">
        <f t="shared" si="407"/>
        <v>0</v>
      </c>
      <c r="AD709" s="156">
        <f t="shared" si="407"/>
        <v>0</v>
      </c>
      <c r="AE709" s="156">
        <f t="shared" si="407"/>
        <v>0</v>
      </c>
      <c r="AF709" s="156">
        <f t="shared" si="407"/>
        <v>0</v>
      </c>
      <c r="AG709" s="156">
        <f t="shared" si="407"/>
        <v>0</v>
      </c>
      <c r="AH709" s="156">
        <f t="shared" si="407"/>
        <v>0</v>
      </c>
      <c r="AI709" s="156">
        <f t="shared" si="407"/>
        <v>0</v>
      </c>
      <c r="AJ709" s="156">
        <f t="shared" si="407"/>
        <v>0</v>
      </c>
      <c r="AK709" s="156">
        <f t="shared" si="407"/>
        <v>0</v>
      </c>
      <c r="AL709" s="156">
        <f t="shared" si="407"/>
        <v>0</v>
      </c>
      <c r="AM709" s="156">
        <f t="shared" si="407"/>
        <v>0</v>
      </c>
      <c r="AN709" s="156">
        <f t="shared" si="407"/>
        <v>0</v>
      </c>
      <c r="AO709" s="156">
        <f t="shared" si="407"/>
        <v>0</v>
      </c>
      <c r="AP709" s="156">
        <f t="shared" si="407"/>
        <v>0</v>
      </c>
    </row>
    <row r="710" spans="1:42" x14ac:dyDescent="0.4">
      <c r="A710" s="4">
        <f t="shared" si="404"/>
        <v>6</v>
      </c>
      <c r="B710" s="176">
        <f t="shared" si="401"/>
        <v>0</v>
      </c>
      <c r="C710" s="156">
        <f t="shared" ref="C710:AP710" si="408">IF(AND(C$2&gt;equip2_reserve_freq*$A697,C$2&lt;=equip2_reserve_freq*$A698),$B698/(equip2_reserve_freq),0)</f>
        <v>0</v>
      </c>
      <c r="D710" s="156">
        <f t="shared" si="408"/>
        <v>0</v>
      </c>
      <c r="E710" s="156">
        <f t="shared" si="408"/>
        <v>0</v>
      </c>
      <c r="F710" s="156">
        <f t="shared" si="408"/>
        <v>0</v>
      </c>
      <c r="G710" s="156">
        <f t="shared" si="408"/>
        <v>0</v>
      </c>
      <c r="H710" s="156">
        <f t="shared" si="408"/>
        <v>0</v>
      </c>
      <c r="I710" s="156">
        <f t="shared" si="408"/>
        <v>0</v>
      </c>
      <c r="J710" s="156">
        <f t="shared" si="408"/>
        <v>0</v>
      </c>
      <c r="K710" s="156">
        <f t="shared" si="408"/>
        <v>0</v>
      </c>
      <c r="L710" s="156">
        <f t="shared" si="408"/>
        <v>0</v>
      </c>
      <c r="M710" s="156">
        <f t="shared" si="408"/>
        <v>0</v>
      </c>
      <c r="N710" s="156">
        <f t="shared" si="408"/>
        <v>0</v>
      </c>
      <c r="O710" s="156">
        <f t="shared" si="408"/>
        <v>0</v>
      </c>
      <c r="P710" s="156">
        <f t="shared" si="408"/>
        <v>0</v>
      </c>
      <c r="Q710" s="156">
        <f t="shared" si="408"/>
        <v>0</v>
      </c>
      <c r="R710" s="156">
        <f t="shared" si="408"/>
        <v>0</v>
      </c>
      <c r="S710" s="156">
        <f t="shared" si="408"/>
        <v>0</v>
      </c>
      <c r="T710" s="156">
        <f t="shared" si="408"/>
        <v>0</v>
      </c>
      <c r="U710" s="156">
        <f t="shared" si="408"/>
        <v>0</v>
      </c>
      <c r="V710" s="156">
        <f t="shared" si="408"/>
        <v>0</v>
      </c>
      <c r="W710" s="156">
        <f t="shared" si="408"/>
        <v>0</v>
      </c>
      <c r="X710" s="156">
        <f t="shared" si="408"/>
        <v>0</v>
      </c>
      <c r="Y710" s="156">
        <f t="shared" si="408"/>
        <v>0</v>
      </c>
      <c r="Z710" s="156">
        <f t="shared" si="408"/>
        <v>0</v>
      </c>
      <c r="AA710" s="156">
        <f t="shared" si="408"/>
        <v>0</v>
      </c>
      <c r="AB710" s="156">
        <f t="shared" si="408"/>
        <v>0</v>
      </c>
      <c r="AC710" s="156">
        <f t="shared" si="408"/>
        <v>0</v>
      </c>
      <c r="AD710" s="156">
        <f t="shared" si="408"/>
        <v>0</v>
      </c>
      <c r="AE710" s="156">
        <f t="shared" si="408"/>
        <v>0</v>
      </c>
      <c r="AF710" s="156">
        <f t="shared" si="408"/>
        <v>0</v>
      </c>
      <c r="AG710" s="156">
        <f t="shared" si="408"/>
        <v>0</v>
      </c>
      <c r="AH710" s="156">
        <f t="shared" si="408"/>
        <v>0</v>
      </c>
      <c r="AI710" s="156">
        <f t="shared" si="408"/>
        <v>0</v>
      </c>
      <c r="AJ710" s="156">
        <f t="shared" si="408"/>
        <v>0</v>
      </c>
      <c r="AK710" s="156">
        <f t="shared" si="408"/>
        <v>0</v>
      </c>
      <c r="AL710" s="156">
        <f t="shared" si="408"/>
        <v>0</v>
      </c>
      <c r="AM710" s="156">
        <f t="shared" si="408"/>
        <v>0</v>
      </c>
      <c r="AN710" s="156">
        <f t="shared" si="408"/>
        <v>0</v>
      </c>
      <c r="AO710" s="156">
        <f t="shared" si="408"/>
        <v>0</v>
      </c>
      <c r="AP710" s="156">
        <f t="shared" si="408"/>
        <v>0</v>
      </c>
    </row>
    <row r="711" spans="1:42" x14ac:dyDescent="0.4">
      <c r="A711" s="4">
        <f t="shared" si="404"/>
        <v>7</v>
      </c>
      <c r="B711" s="176">
        <f t="shared" si="401"/>
        <v>0</v>
      </c>
      <c r="C711" s="156">
        <f t="shared" ref="C711:AP711" si="409">IF(AND(C$2&gt;equip2_reserve_freq*$A698,C$2&lt;=equip2_reserve_freq*$A699),$B699/(equip2_reserve_freq),0)</f>
        <v>0</v>
      </c>
      <c r="D711" s="156">
        <f t="shared" si="409"/>
        <v>0</v>
      </c>
      <c r="E711" s="156">
        <f t="shared" si="409"/>
        <v>0</v>
      </c>
      <c r="F711" s="156">
        <f t="shared" si="409"/>
        <v>0</v>
      </c>
      <c r="G711" s="156">
        <f t="shared" si="409"/>
        <v>0</v>
      </c>
      <c r="H711" s="156">
        <f t="shared" si="409"/>
        <v>0</v>
      </c>
      <c r="I711" s="156">
        <f t="shared" si="409"/>
        <v>0</v>
      </c>
      <c r="J711" s="156">
        <f t="shared" si="409"/>
        <v>0</v>
      </c>
      <c r="K711" s="156">
        <f t="shared" si="409"/>
        <v>0</v>
      </c>
      <c r="L711" s="156">
        <f t="shared" si="409"/>
        <v>0</v>
      </c>
      <c r="M711" s="156">
        <f t="shared" si="409"/>
        <v>0</v>
      </c>
      <c r="N711" s="156">
        <f t="shared" si="409"/>
        <v>0</v>
      </c>
      <c r="O711" s="156">
        <f t="shared" si="409"/>
        <v>0</v>
      </c>
      <c r="P711" s="156">
        <f t="shared" si="409"/>
        <v>0</v>
      </c>
      <c r="Q711" s="156">
        <f t="shared" si="409"/>
        <v>0</v>
      </c>
      <c r="R711" s="156">
        <f t="shared" si="409"/>
        <v>0</v>
      </c>
      <c r="S711" s="156">
        <f t="shared" si="409"/>
        <v>0</v>
      </c>
      <c r="T711" s="156">
        <f t="shared" si="409"/>
        <v>0</v>
      </c>
      <c r="U711" s="156">
        <f t="shared" si="409"/>
        <v>0</v>
      </c>
      <c r="V711" s="156">
        <f t="shared" si="409"/>
        <v>0</v>
      </c>
      <c r="W711" s="156">
        <f t="shared" si="409"/>
        <v>0</v>
      </c>
      <c r="X711" s="156">
        <f t="shared" si="409"/>
        <v>0</v>
      </c>
      <c r="Y711" s="156">
        <f t="shared" si="409"/>
        <v>0</v>
      </c>
      <c r="Z711" s="156">
        <f t="shared" si="409"/>
        <v>0</v>
      </c>
      <c r="AA711" s="156">
        <f t="shared" si="409"/>
        <v>0</v>
      </c>
      <c r="AB711" s="156">
        <f t="shared" si="409"/>
        <v>0</v>
      </c>
      <c r="AC711" s="156">
        <f t="shared" si="409"/>
        <v>0</v>
      </c>
      <c r="AD711" s="156">
        <f t="shared" si="409"/>
        <v>0</v>
      </c>
      <c r="AE711" s="156">
        <f t="shared" si="409"/>
        <v>0</v>
      </c>
      <c r="AF711" s="156">
        <f t="shared" si="409"/>
        <v>0</v>
      </c>
      <c r="AG711" s="156">
        <f t="shared" si="409"/>
        <v>0</v>
      </c>
      <c r="AH711" s="156">
        <f t="shared" si="409"/>
        <v>0</v>
      </c>
      <c r="AI711" s="156">
        <f t="shared" si="409"/>
        <v>0</v>
      </c>
      <c r="AJ711" s="156">
        <f t="shared" si="409"/>
        <v>0</v>
      </c>
      <c r="AK711" s="156">
        <f t="shared" si="409"/>
        <v>0</v>
      </c>
      <c r="AL711" s="156">
        <f t="shared" si="409"/>
        <v>0</v>
      </c>
      <c r="AM711" s="156">
        <f t="shared" si="409"/>
        <v>0</v>
      </c>
      <c r="AN711" s="156">
        <f t="shared" si="409"/>
        <v>0</v>
      </c>
      <c r="AO711" s="156">
        <f t="shared" si="409"/>
        <v>0</v>
      </c>
      <c r="AP711" s="156">
        <f t="shared" si="409"/>
        <v>0</v>
      </c>
    </row>
    <row r="712" spans="1:42" x14ac:dyDescent="0.4">
      <c r="A712" s="4">
        <f t="shared" si="404"/>
        <v>8</v>
      </c>
      <c r="B712" s="176">
        <f t="shared" si="401"/>
        <v>0</v>
      </c>
      <c r="C712" s="156">
        <f t="shared" ref="C712:AP712" si="410">IF(AND(C$2&gt;equip2_reserve_freq*$A699,C$2&lt;=equip2_reserve_freq*$A700),$B700/(equip2_reserve_freq),0)</f>
        <v>0</v>
      </c>
      <c r="D712" s="156">
        <f t="shared" si="410"/>
        <v>0</v>
      </c>
      <c r="E712" s="156">
        <f t="shared" si="410"/>
        <v>0</v>
      </c>
      <c r="F712" s="156">
        <f t="shared" si="410"/>
        <v>0</v>
      </c>
      <c r="G712" s="156">
        <f t="shared" si="410"/>
        <v>0</v>
      </c>
      <c r="H712" s="156">
        <f t="shared" si="410"/>
        <v>0</v>
      </c>
      <c r="I712" s="156">
        <f t="shared" si="410"/>
        <v>0</v>
      </c>
      <c r="J712" s="156">
        <f t="shared" si="410"/>
        <v>0</v>
      </c>
      <c r="K712" s="156">
        <f t="shared" si="410"/>
        <v>0</v>
      </c>
      <c r="L712" s="156">
        <f t="shared" si="410"/>
        <v>0</v>
      </c>
      <c r="M712" s="156">
        <f t="shared" si="410"/>
        <v>0</v>
      </c>
      <c r="N712" s="156">
        <f t="shared" si="410"/>
        <v>0</v>
      </c>
      <c r="O712" s="156">
        <f t="shared" si="410"/>
        <v>0</v>
      </c>
      <c r="P712" s="156">
        <f t="shared" si="410"/>
        <v>0</v>
      </c>
      <c r="Q712" s="156">
        <f t="shared" si="410"/>
        <v>0</v>
      </c>
      <c r="R712" s="156">
        <f t="shared" si="410"/>
        <v>0</v>
      </c>
      <c r="S712" s="156">
        <f t="shared" si="410"/>
        <v>0</v>
      </c>
      <c r="T712" s="156">
        <f t="shared" si="410"/>
        <v>0</v>
      </c>
      <c r="U712" s="156">
        <f t="shared" si="410"/>
        <v>0</v>
      </c>
      <c r="V712" s="156">
        <f t="shared" si="410"/>
        <v>0</v>
      </c>
      <c r="W712" s="156">
        <f t="shared" si="410"/>
        <v>0</v>
      </c>
      <c r="X712" s="156">
        <f t="shared" si="410"/>
        <v>0</v>
      </c>
      <c r="Y712" s="156">
        <f t="shared" si="410"/>
        <v>0</v>
      </c>
      <c r="Z712" s="156">
        <f t="shared" si="410"/>
        <v>0</v>
      </c>
      <c r="AA712" s="156">
        <f t="shared" si="410"/>
        <v>0</v>
      </c>
      <c r="AB712" s="156">
        <f t="shared" si="410"/>
        <v>0</v>
      </c>
      <c r="AC712" s="156">
        <f t="shared" si="410"/>
        <v>0</v>
      </c>
      <c r="AD712" s="156">
        <f t="shared" si="410"/>
        <v>0</v>
      </c>
      <c r="AE712" s="156">
        <f t="shared" si="410"/>
        <v>0</v>
      </c>
      <c r="AF712" s="156">
        <f t="shared" si="410"/>
        <v>0</v>
      </c>
      <c r="AG712" s="156">
        <f t="shared" si="410"/>
        <v>0</v>
      </c>
      <c r="AH712" s="156">
        <f t="shared" si="410"/>
        <v>0</v>
      </c>
      <c r="AI712" s="156">
        <f t="shared" si="410"/>
        <v>0</v>
      </c>
      <c r="AJ712" s="156">
        <f t="shared" si="410"/>
        <v>0</v>
      </c>
      <c r="AK712" s="156">
        <f t="shared" si="410"/>
        <v>0</v>
      </c>
      <c r="AL712" s="156">
        <f t="shared" si="410"/>
        <v>0</v>
      </c>
      <c r="AM712" s="156">
        <f t="shared" si="410"/>
        <v>0</v>
      </c>
      <c r="AN712" s="156">
        <f t="shared" si="410"/>
        <v>0</v>
      </c>
      <c r="AO712" s="156">
        <f t="shared" si="410"/>
        <v>0</v>
      </c>
      <c r="AP712" s="156">
        <f t="shared" si="410"/>
        <v>0</v>
      </c>
    </row>
    <row r="713" spans="1:42" x14ac:dyDescent="0.4">
      <c r="A713" s="4">
        <f>A712+1</f>
        <v>9</v>
      </c>
      <c r="B713" s="176">
        <f t="shared" si="401"/>
        <v>0</v>
      </c>
      <c r="C713" s="156">
        <f t="shared" ref="C713:AP713" si="411">IF(AND(C$2&gt;equip2_reserve_freq*$A700,C$2&lt;=equip2_reserve_freq*$A701),$B701/(equip2_reserve_freq),0)</f>
        <v>0</v>
      </c>
      <c r="D713" s="156">
        <f t="shared" si="411"/>
        <v>0</v>
      </c>
      <c r="E713" s="156">
        <f t="shared" si="411"/>
        <v>0</v>
      </c>
      <c r="F713" s="156">
        <f t="shared" si="411"/>
        <v>0</v>
      </c>
      <c r="G713" s="156">
        <f t="shared" si="411"/>
        <v>0</v>
      </c>
      <c r="H713" s="156">
        <f t="shared" si="411"/>
        <v>0</v>
      </c>
      <c r="I713" s="156">
        <f t="shared" si="411"/>
        <v>0</v>
      </c>
      <c r="J713" s="156">
        <f t="shared" si="411"/>
        <v>0</v>
      </c>
      <c r="K713" s="156">
        <f t="shared" si="411"/>
        <v>0</v>
      </c>
      <c r="L713" s="156">
        <f t="shared" si="411"/>
        <v>0</v>
      </c>
      <c r="M713" s="156">
        <f t="shared" si="411"/>
        <v>0</v>
      </c>
      <c r="N713" s="156">
        <f t="shared" si="411"/>
        <v>0</v>
      </c>
      <c r="O713" s="156">
        <f t="shared" si="411"/>
        <v>0</v>
      </c>
      <c r="P713" s="156">
        <f t="shared" si="411"/>
        <v>0</v>
      </c>
      <c r="Q713" s="156">
        <f t="shared" si="411"/>
        <v>0</v>
      </c>
      <c r="R713" s="156">
        <f t="shared" si="411"/>
        <v>0</v>
      </c>
      <c r="S713" s="156">
        <f t="shared" si="411"/>
        <v>0</v>
      </c>
      <c r="T713" s="156">
        <f t="shared" si="411"/>
        <v>0</v>
      </c>
      <c r="U713" s="156">
        <f t="shared" si="411"/>
        <v>0</v>
      </c>
      <c r="V713" s="156">
        <f t="shared" si="411"/>
        <v>0</v>
      </c>
      <c r="W713" s="156">
        <f t="shared" si="411"/>
        <v>0</v>
      </c>
      <c r="X713" s="156">
        <f t="shared" si="411"/>
        <v>0</v>
      </c>
      <c r="Y713" s="156">
        <f t="shared" si="411"/>
        <v>0</v>
      </c>
      <c r="Z713" s="156">
        <f t="shared" si="411"/>
        <v>0</v>
      </c>
      <c r="AA713" s="156">
        <f t="shared" si="411"/>
        <v>0</v>
      </c>
      <c r="AB713" s="156">
        <f t="shared" si="411"/>
        <v>0</v>
      </c>
      <c r="AC713" s="156">
        <f t="shared" si="411"/>
        <v>0</v>
      </c>
      <c r="AD713" s="156">
        <f t="shared" si="411"/>
        <v>0</v>
      </c>
      <c r="AE713" s="156">
        <f t="shared" si="411"/>
        <v>0</v>
      </c>
      <c r="AF713" s="156">
        <f t="shared" si="411"/>
        <v>0</v>
      </c>
      <c r="AG713" s="156">
        <f t="shared" si="411"/>
        <v>0</v>
      </c>
      <c r="AH713" s="156">
        <f t="shared" si="411"/>
        <v>0</v>
      </c>
      <c r="AI713" s="156">
        <f t="shared" si="411"/>
        <v>0</v>
      </c>
      <c r="AJ713" s="156">
        <f t="shared" si="411"/>
        <v>0</v>
      </c>
      <c r="AK713" s="156">
        <f t="shared" si="411"/>
        <v>0</v>
      </c>
      <c r="AL713" s="156">
        <f t="shared" si="411"/>
        <v>0</v>
      </c>
      <c r="AM713" s="156">
        <f t="shared" si="411"/>
        <v>0</v>
      </c>
      <c r="AN713" s="156">
        <f t="shared" si="411"/>
        <v>0</v>
      </c>
      <c r="AO713" s="156">
        <f t="shared" si="411"/>
        <v>0</v>
      </c>
      <c r="AP713" s="156">
        <f t="shared" si="411"/>
        <v>0</v>
      </c>
    </row>
    <row r="714" spans="1:42" x14ac:dyDescent="0.4">
      <c r="A714" s="4">
        <f t="shared" ref="A714" si="412">A713+1</f>
        <v>10</v>
      </c>
      <c r="B714" s="176">
        <f t="shared" si="401"/>
        <v>0</v>
      </c>
      <c r="C714" s="157">
        <f t="shared" ref="C714:AP714" si="413">IF(AND(C$2&gt;equip2_reserve_freq*$A701,C$2&lt;=equip2_reserve_freq*$A702),$B702/(equip2_reserve_freq),0)</f>
        <v>0</v>
      </c>
      <c r="D714" s="157">
        <f t="shared" si="413"/>
        <v>0</v>
      </c>
      <c r="E714" s="157">
        <f t="shared" si="413"/>
        <v>0</v>
      </c>
      <c r="F714" s="157">
        <f t="shared" si="413"/>
        <v>0</v>
      </c>
      <c r="G714" s="157">
        <f t="shared" si="413"/>
        <v>0</v>
      </c>
      <c r="H714" s="157">
        <f t="shared" si="413"/>
        <v>0</v>
      </c>
      <c r="I714" s="157">
        <f t="shared" si="413"/>
        <v>0</v>
      </c>
      <c r="J714" s="157">
        <f t="shared" si="413"/>
        <v>0</v>
      </c>
      <c r="K714" s="157">
        <f t="shared" si="413"/>
        <v>0</v>
      </c>
      <c r="L714" s="157">
        <f t="shared" si="413"/>
        <v>0</v>
      </c>
      <c r="M714" s="157">
        <f t="shared" si="413"/>
        <v>0</v>
      </c>
      <c r="N714" s="157">
        <f t="shared" si="413"/>
        <v>0</v>
      </c>
      <c r="O714" s="157">
        <f t="shared" si="413"/>
        <v>0</v>
      </c>
      <c r="P714" s="157">
        <f t="shared" si="413"/>
        <v>0</v>
      </c>
      <c r="Q714" s="157">
        <f t="shared" si="413"/>
        <v>0</v>
      </c>
      <c r="R714" s="157">
        <f t="shared" si="413"/>
        <v>0</v>
      </c>
      <c r="S714" s="157">
        <f t="shared" si="413"/>
        <v>0</v>
      </c>
      <c r="T714" s="157">
        <f t="shared" si="413"/>
        <v>0</v>
      </c>
      <c r="U714" s="157">
        <f t="shared" si="413"/>
        <v>0</v>
      </c>
      <c r="V714" s="157">
        <f t="shared" si="413"/>
        <v>0</v>
      </c>
      <c r="W714" s="157">
        <f t="shared" si="413"/>
        <v>0</v>
      </c>
      <c r="X714" s="157">
        <f t="shared" si="413"/>
        <v>0</v>
      </c>
      <c r="Y714" s="157">
        <f t="shared" si="413"/>
        <v>0</v>
      </c>
      <c r="Z714" s="157">
        <f t="shared" si="413"/>
        <v>0</v>
      </c>
      <c r="AA714" s="157">
        <f t="shared" si="413"/>
        <v>0</v>
      </c>
      <c r="AB714" s="157">
        <f t="shared" si="413"/>
        <v>0</v>
      </c>
      <c r="AC714" s="157">
        <f t="shared" si="413"/>
        <v>0</v>
      </c>
      <c r="AD714" s="157">
        <f t="shared" si="413"/>
        <v>0</v>
      </c>
      <c r="AE714" s="157">
        <f t="shared" si="413"/>
        <v>0</v>
      </c>
      <c r="AF714" s="157">
        <f t="shared" si="413"/>
        <v>0</v>
      </c>
      <c r="AG714" s="157">
        <f t="shared" si="413"/>
        <v>0</v>
      </c>
      <c r="AH714" s="157">
        <f t="shared" si="413"/>
        <v>0</v>
      </c>
      <c r="AI714" s="157">
        <f t="shared" si="413"/>
        <v>0</v>
      </c>
      <c r="AJ714" s="157">
        <f t="shared" si="413"/>
        <v>0</v>
      </c>
      <c r="AK714" s="157">
        <f t="shared" si="413"/>
        <v>0</v>
      </c>
      <c r="AL714" s="157">
        <f t="shared" si="413"/>
        <v>0</v>
      </c>
      <c r="AM714" s="157">
        <f t="shared" si="413"/>
        <v>0</v>
      </c>
      <c r="AN714" s="157">
        <f t="shared" si="413"/>
        <v>0</v>
      </c>
      <c r="AO714" s="157">
        <f t="shared" si="413"/>
        <v>0</v>
      </c>
      <c r="AP714" s="157">
        <f t="shared" si="413"/>
        <v>0</v>
      </c>
    </row>
    <row r="715" spans="1:42" x14ac:dyDescent="0.4">
      <c r="A715" s="24" t="s">
        <v>13</v>
      </c>
      <c r="B715" s="14"/>
      <c r="C715" s="156">
        <f>SUM(C705:C714)</f>
        <v>0</v>
      </c>
      <c r="D715" s="156">
        <f t="shared" ref="D715:AP715" si="414">SUM(D705:D714)</f>
        <v>0</v>
      </c>
      <c r="E715" s="156">
        <f t="shared" si="414"/>
        <v>0</v>
      </c>
      <c r="F715" s="156">
        <f t="shared" si="414"/>
        <v>0</v>
      </c>
      <c r="G715" s="156">
        <f t="shared" si="414"/>
        <v>0</v>
      </c>
      <c r="H715" s="156">
        <f t="shared" si="414"/>
        <v>0</v>
      </c>
      <c r="I715" s="156">
        <f t="shared" si="414"/>
        <v>0</v>
      </c>
      <c r="J715" s="156">
        <f t="shared" si="414"/>
        <v>0</v>
      </c>
      <c r="K715" s="156">
        <f t="shared" si="414"/>
        <v>0</v>
      </c>
      <c r="L715" s="156">
        <f t="shared" si="414"/>
        <v>0</v>
      </c>
      <c r="M715" s="156">
        <f t="shared" si="414"/>
        <v>0</v>
      </c>
      <c r="N715" s="156">
        <f t="shared" si="414"/>
        <v>0</v>
      </c>
      <c r="O715" s="156">
        <f t="shared" si="414"/>
        <v>0</v>
      </c>
      <c r="P715" s="156">
        <f t="shared" si="414"/>
        <v>0</v>
      </c>
      <c r="Q715" s="156">
        <f t="shared" si="414"/>
        <v>0</v>
      </c>
      <c r="R715" s="156">
        <f t="shared" si="414"/>
        <v>0</v>
      </c>
      <c r="S715" s="156">
        <f t="shared" si="414"/>
        <v>0</v>
      </c>
      <c r="T715" s="156">
        <f t="shared" si="414"/>
        <v>0</v>
      </c>
      <c r="U715" s="156">
        <f t="shared" si="414"/>
        <v>0</v>
      </c>
      <c r="V715" s="156">
        <f t="shared" si="414"/>
        <v>0</v>
      </c>
      <c r="W715" s="156">
        <f t="shared" si="414"/>
        <v>0</v>
      </c>
      <c r="X715" s="156">
        <f t="shared" si="414"/>
        <v>0</v>
      </c>
      <c r="Y715" s="156">
        <f t="shared" si="414"/>
        <v>0</v>
      </c>
      <c r="Z715" s="156">
        <f t="shared" si="414"/>
        <v>0</v>
      </c>
      <c r="AA715" s="156">
        <f t="shared" si="414"/>
        <v>0</v>
      </c>
      <c r="AB715" s="156">
        <f t="shared" si="414"/>
        <v>0</v>
      </c>
      <c r="AC715" s="156">
        <f t="shared" si="414"/>
        <v>0</v>
      </c>
      <c r="AD715" s="156">
        <f t="shared" si="414"/>
        <v>0</v>
      </c>
      <c r="AE715" s="156">
        <f t="shared" si="414"/>
        <v>0</v>
      </c>
      <c r="AF715" s="156">
        <f t="shared" si="414"/>
        <v>0</v>
      </c>
      <c r="AG715" s="156">
        <f t="shared" si="414"/>
        <v>0</v>
      </c>
      <c r="AH715" s="156">
        <f t="shared" si="414"/>
        <v>0</v>
      </c>
      <c r="AI715" s="156">
        <f t="shared" si="414"/>
        <v>0</v>
      </c>
      <c r="AJ715" s="156">
        <f t="shared" si="414"/>
        <v>0</v>
      </c>
      <c r="AK715" s="156">
        <f t="shared" si="414"/>
        <v>0</v>
      </c>
      <c r="AL715" s="156">
        <f t="shared" si="414"/>
        <v>0</v>
      </c>
      <c r="AM715" s="156">
        <f t="shared" si="414"/>
        <v>0</v>
      </c>
      <c r="AN715" s="156">
        <f t="shared" si="414"/>
        <v>0</v>
      </c>
      <c r="AO715" s="156">
        <f t="shared" si="414"/>
        <v>0</v>
      </c>
      <c r="AP715" s="156">
        <f t="shared" si="414"/>
        <v>0</v>
      </c>
    </row>
    <row r="717" spans="1:42" x14ac:dyDescent="0.4">
      <c r="A717" s="19" t="s">
        <v>270</v>
      </c>
    </row>
    <row r="718" spans="1:42" x14ac:dyDescent="0.4">
      <c r="A718" s="4" t="s">
        <v>261</v>
      </c>
      <c r="B718" s="156">
        <v>0</v>
      </c>
      <c r="C718" s="156">
        <f>B721</f>
        <v>0</v>
      </c>
      <c r="D718" s="156">
        <f t="shared" ref="D718:AP718" si="415">C721</f>
        <v>0</v>
      </c>
      <c r="E718" s="156">
        <f t="shared" si="415"/>
        <v>0</v>
      </c>
      <c r="F718" s="156">
        <f t="shared" si="415"/>
        <v>0</v>
      </c>
      <c r="G718" s="156">
        <f t="shared" si="415"/>
        <v>0</v>
      </c>
      <c r="H718" s="156">
        <f t="shared" si="415"/>
        <v>0</v>
      </c>
      <c r="I718" s="156">
        <f t="shared" si="415"/>
        <v>0</v>
      </c>
      <c r="J718" s="156">
        <f t="shared" si="415"/>
        <v>0</v>
      </c>
      <c r="K718" s="156">
        <f t="shared" si="415"/>
        <v>0</v>
      </c>
      <c r="L718" s="156">
        <f t="shared" si="415"/>
        <v>0</v>
      </c>
      <c r="M718" s="156">
        <f t="shared" si="415"/>
        <v>0</v>
      </c>
      <c r="N718" s="156">
        <f t="shared" si="415"/>
        <v>0</v>
      </c>
      <c r="O718" s="156">
        <f t="shared" si="415"/>
        <v>0</v>
      </c>
      <c r="P718" s="156">
        <f t="shared" si="415"/>
        <v>0</v>
      </c>
      <c r="Q718" s="156">
        <f t="shared" si="415"/>
        <v>0</v>
      </c>
      <c r="R718" s="156">
        <f t="shared" si="415"/>
        <v>0</v>
      </c>
      <c r="S718" s="156">
        <f t="shared" si="415"/>
        <v>0</v>
      </c>
      <c r="T718" s="156">
        <f t="shared" si="415"/>
        <v>0</v>
      </c>
      <c r="U718" s="156">
        <f t="shared" si="415"/>
        <v>0</v>
      </c>
      <c r="V718" s="156">
        <f t="shared" si="415"/>
        <v>0</v>
      </c>
      <c r="W718" s="156">
        <f t="shared" si="415"/>
        <v>0</v>
      </c>
      <c r="X718" s="156">
        <f t="shared" si="415"/>
        <v>0</v>
      </c>
      <c r="Y718" s="156">
        <f t="shared" si="415"/>
        <v>0</v>
      </c>
      <c r="Z718" s="156">
        <f t="shared" si="415"/>
        <v>0</v>
      </c>
      <c r="AA718" s="156">
        <f t="shared" si="415"/>
        <v>0</v>
      </c>
      <c r="AB718" s="156">
        <f t="shared" si="415"/>
        <v>0</v>
      </c>
      <c r="AC718" s="156">
        <f t="shared" si="415"/>
        <v>0</v>
      </c>
      <c r="AD718" s="156">
        <f t="shared" si="415"/>
        <v>0</v>
      </c>
      <c r="AE718" s="156">
        <f t="shared" si="415"/>
        <v>0</v>
      </c>
      <c r="AF718" s="156">
        <f t="shared" si="415"/>
        <v>0</v>
      </c>
      <c r="AG718" s="156">
        <f t="shared" si="415"/>
        <v>0</v>
      </c>
      <c r="AH718" s="156">
        <f t="shared" si="415"/>
        <v>0</v>
      </c>
      <c r="AI718" s="156">
        <f t="shared" si="415"/>
        <v>0</v>
      </c>
      <c r="AJ718" s="156">
        <f t="shared" si="415"/>
        <v>0</v>
      </c>
      <c r="AK718" s="156">
        <f t="shared" si="415"/>
        <v>0</v>
      </c>
      <c r="AL718" s="156">
        <f t="shared" si="415"/>
        <v>0</v>
      </c>
      <c r="AM718" s="156">
        <f t="shared" si="415"/>
        <v>0</v>
      </c>
      <c r="AN718" s="156">
        <f t="shared" si="415"/>
        <v>0</v>
      </c>
      <c r="AO718" s="156">
        <f t="shared" si="415"/>
        <v>0</v>
      </c>
      <c r="AP718" s="156">
        <f t="shared" si="415"/>
        <v>0</v>
      </c>
    </row>
    <row r="719" spans="1:42" x14ac:dyDescent="0.4">
      <c r="A719" s="4" t="s">
        <v>52</v>
      </c>
      <c r="B719" s="156">
        <v>0</v>
      </c>
      <c r="C719" s="156">
        <f>C747</f>
        <v>0</v>
      </c>
      <c r="D719" s="156">
        <f t="shared" ref="D719:AP719" si="416">D747</f>
        <v>0</v>
      </c>
      <c r="E719" s="156">
        <f t="shared" si="416"/>
        <v>0</v>
      </c>
      <c r="F719" s="156">
        <f t="shared" si="416"/>
        <v>0</v>
      </c>
      <c r="G719" s="156">
        <f t="shared" si="416"/>
        <v>0</v>
      </c>
      <c r="H719" s="156">
        <f t="shared" si="416"/>
        <v>0</v>
      </c>
      <c r="I719" s="156">
        <f t="shared" si="416"/>
        <v>0</v>
      </c>
      <c r="J719" s="156">
        <f t="shared" si="416"/>
        <v>0</v>
      </c>
      <c r="K719" s="156">
        <f t="shared" si="416"/>
        <v>0</v>
      </c>
      <c r="L719" s="156">
        <f t="shared" si="416"/>
        <v>0</v>
      </c>
      <c r="M719" s="156">
        <f t="shared" si="416"/>
        <v>0</v>
      </c>
      <c r="N719" s="156">
        <f t="shared" si="416"/>
        <v>0</v>
      </c>
      <c r="O719" s="156">
        <f t="shared" si="416"/>
        <v>0</v>
      </c>
      <c r="P719" s="156">
        <f t="shared" si="416"/>
        <v>0</v>
      </c>
      <c r="Q719" s="156">
        <f t="shared" si="416"/>
        <v>0</v>
      </c>
      <c r="R719" s="156">
        <f t="shared" si="416"/>
        <v>0</v>
      </c>
      <c r="S719" s="156">
        <f t="shared" si="416"/>
        <v>0</v>
      </c>
      <c r="T719" s="156">
        <f t="shared" si="416"/>
        <v>0</v>
      </c>
      <c r="U719" s="156">
        <f t="shared" si="416"/>
        <v>0</v>
      </c>
      <c r="V719" s="156">
        <f t="shared" si="416"/>
        <v>0</v>
      </c>
      <c r="W719" s="156">
        <f t="shared" si="416"/>
        <v>0</v>
      </c>
      <c r="X719" s="156">
        <f t="shared" si="416"/>
        <v>0</v>
      </c>
      <c r="Y719" s="156">
        <f t="shared" si="416"/>
        <v>0</v>
      </c>
      <c r="Z719" s="156">
        <f t="shared" si="416"/>
        <v>0</v>
      </c>
      <c r="AA719" s="156">
        <f t="shared" si="416"/>
        <v>0</v>
      </c>
      <c r="AB719" s="156">
        <f t="shared" si="416"/>
        <v>0</v>
      </c>
      <c r="AC719" s="156">
        <f t="shared" si="416"/>
        <v>0</v>
      </c>
      <c r="AD719" s="156">
        <f t="shared" si="416"/>
        <v>0</v>
      </c>
      <c r="AE719" s="156">
        <f t="shared" si="416"/>
        <v>0</v>
      </c>
      <c r="AF719" s="156">
        <f t="shared" si="416"/>
        <v>0</v>
      </c>
      <c r="AG719" s="156">
        <f t="shared" si="416"/>
        <v>0</v>
      </c>
      <c r="AH719" s="156">
        <f t="shared" si="416"/>
        <v>0</v>
      </c>
      <c r="AI719" s="156">
        <f t="shared" si="416"/>
        <v>0</v>
      </c>
      <c r="AJ719" s="156">
        <f t="shared" si="416"/>
        <v>0</v>
      </c>
      <c r="AK719" s="156">
        <f t="shared" si="416"/>
        <v>0</v>
      </c>
      <c r="AL719" s="156">
        <f t="shared" si="416"/>
        <v>0</v>
      </c>
      <c r="AM719" s="156">
        <f t="shared" si="416"/>
        <v>0</v>
      </c>
      <c r="AN719" s="156">
        <f t="shared" si="416"/>
        <v>0</v>
      </c>
      <c r="AO719" s="156">
        <f t="shared" si="416"/>
        <v>0</v>
      </c>
      <c r="AP719" s="156">
        <f t="shared" si="416"/>
        <v>0</v>
      </c>
    </row>
    <row r="720" spans="1:42" x14ac:dyDescent="0.4">
      <c r="A720" s="4" t="s">
        <v>262</v>
      </c>
      <c r="B720" s="157">
        <v>0</v>
      </c>
      <c r="C720" s="157">
        <f>-C735</f>
        <v>0</v>
      </c>
      <c r="D720" s="157">
        <f t="shared" ref="D720:AP720" si="417">-D735</f>
        <v>0</v>
      </c>
      <c r="E720" s="157">
        <f t="shared" si="417"/>
        <v>0</v>
      </c>
      <c r="F720" s="157">
        <f t="shared" si="417"/>
        <v>0</v>
      </c>
      <c r="G720" s="157">
        <f t="shared" si="417"/>
        <v>0</v>
      </c>
      <c r="H720" s="157">
        <f t="shared" si="417"/>
        <v>0</v>
      </c>
      <c r="I720" s="157">
        <f t="shared" si="417"/>
        <v>0</v>
      </c>
      <c r="J720" s="157">
        <f t="shared" si="417"/>
        <v>0</v>
      </c>
      <c r="K720" s="157">
        <f t="shared" si="417"/>
        <v>0</v>
      </c>
      <c r="L720" s="157">
        <f t="shared" si="417"/>
        <v>0</v>
      </c>
      <c r="M720" s="157">
        <f t="shared" si="417"/>
        <v>0</v>
      </c>
      <c r="N720" s="157">
        <f t="shared" si="417"/>
        <v>0</v>
      </c>
      <c r="O720" s="157">
        <f t="shared" si="417"/>
        <v>0</v>
      </c>
      <c r="P720" s="157">
        <f t="shared" si="417"/>
        <v>0</v>
      </c>
      <c r="Q720" s="157">
        <f t="shared" si="417"/>
        <v>0</v>
      </c>
      <c r="R720" s="157">
        <f t="shared" si="417"/>
        <v>0</v>
      </c>
      <c r="S720" s="157">
        <f t="shared" si="417"/>
        <v>0</v>
      </c>
      <c r="T720" s="157">
        <f t="shared" si="417"/>
        <v>0</v>
      </c>
      <c r="U720" s="157">
        <f t="shared" si="417"/>
        <v>0</v>
      </c>
      <c r="V720" s="157">
        <f t="shared" si="417"/>
        <v>0</v>
      </c>
      <c r="W720" s="157">
        <f t="shared" si="417"/>
        <v>0</v>
      </c>
      <c r="X720" s="157">
        <f t="shared" si="417"/>
        <v>0</v>
      </c>
      <c r="Y720" s="157">
        <f t="shared" si="417"/>
        <v>0</v>
      </c>
      <c r="Z720" s="157">
        <f t="shared" si="417"/>
        <v>0</v>
      </c>
      <c r="AA720" s="157">
        <f t="shared" si="417"/>
        <v>0</v>
      </c>
      <c r="AB720" s="157">
        <f t="shared" si="417"/>
        <v>0</v>
      </c>
      <c r="AC720" s="157">
        <f t="shared" si="417"/>
        <v>0</v>
      </c>
      <c r="AD720" s="157">
        <f t="shared" si="417"/>
        <v>0</v>
      </c>
      <c r="AE720" s="157">
        <f t="shared" si="417"/>
        <v>0</v>
      </c>
      <c r="AF720" s="157">
        <f t="shared" si="417"/>
        <v>0</v>
      </c>
      <c r="AG720" s="157">
        <f t="shared" si="417"/>
        <v>0</v>
      </c>
      <c r="AH720" s="157">
        <f t="shared" si="417"/>
        <v>0</v>
      </c>
      <c r="AI720" s="157">
        <f t="shared" si="417"/>
        <v>0</v>
      </c>
      <c r="AJ720" s="157">
        <f t="shared" si="417"/>
        <v>0</v>
      </c>
      <c r="AK720" s="157">
        <f t="shared" si="417"/>
        <v>0</v>
      </c>
      <c r="AL720" s="157">
        <f t="shared" si="417"/>
        <v>0</v>
      </c>
      <c r="AM720" s="157">
        <f t="shared" si="417"/>
        <v>0</v>
      </c>
      <c r="AN720" s="157">
        <f t="shared" si="417"/>
        <v>0</v>
      </c>
      <c r="AO720" s="157">
        <f t="shared" si="417"/>
        <v>0</v>
      </c>
      <c r="AP720" s="157">
        <f t="shared" si="417"/>
        <v>0</v>
      </c>
    </row>
    <row r="721" spans="1:42" x14ac:dyDescent="0.4">
      <c r="A721" s="4" t="s">
        <v>226</v>
      </c>
      <c r="B721" s="156">
        <f>SUM(B718:B720)</f>
        <v>0</v>
      </c>
      <c r="C721" s="156">
        <f>SUM(C718:C720)</f>
        <v>0</v>
      </c>
      <c r="D721" s="156">
        <f t="shared" ref="D721:AP721" si="418">SUM(D718:D720)</f>
        <v>0</v>
      </c>
      <c r="E721" s="156">
        <f t="shared" si="418"/>
        <v>0</v>
      </c>
      <c r="F721" s="156">
        <f t="shared" si="418"/>
        <v>0</v>
      </c>
      <c r="G721" s="156">
        <f t="shared" si="418"/>
        <v>0</v>
      </c>
      <c r="H721" s="156">
        <f t="shared" si="418"/>
        <v>0</v>
      </c>
      <c r="I721" s="156">
        <f t="shared" si="418"/>
        <v>0</v>
      </c>
      <c r="J721" s="156">
        <f t="shared" si="418"/>
        <v>0</v>
      </c>
      <c r="K721" s="156">
        <f t="shared" si="418"/>
        <v>0</v>
      </c>
      <c r="L721" s="156">
        <f t="shared" si="418"/>
        <v>0</v>
      </c>
      <c r="M721" s="156">
        <f t="shared" si="418"/>
        <v>0</v>
      </c>
      <c r="N721" s="156">
        <f t="shared" si="418"/>
        <v>0</v>
      </c>
      <c r="O721" s="156">
        <f t="shared" si="418"/>
        <v>0</v>
      </c>
      <c r="P721" s="156">
        <f t="shared" si="418"/>
        <v>0</v>
      </c>
      <c r="Q721" s="156">
        <f t="shared" si="418"/>
        <v>0</v>
      </c>
      <c r="R721" s="156">
        <f t="shared" si="418"/>
        <v>0</v>
      </c>
      <c r="S721" s="156">
        <f t="shared" si="418"/>
        <v>0</v>
      </c>
      <c r="T721" s="156">
        <f t="shared" si="418"/>
        <v>0</v>
      </c>
      <c r="U721" s="156">
        <f t="shared" si="418"/>
        <v>0</v>
      </c>
      <c r="V721" s="156">
        <f t="shared" si="418"/>
        <v>0</v>
      </c>
      <c r="W721" s="156">
        <f t="shared" si="418"/>
        <v>0</v>
      </c>
      <c r="X721" s="156">
        <f t="shared" si="418"/>
        <v>0</v>
      </c>
      <c r="Y721" s="156">
        <f t="shared" si="418"/>
        <v>0</v>
      </c>
      <c r="Z721" s="156">
        <f t="shared" si="418"/>
        <v>0</v>
      </c>
      <c r="AA721" s="156">
        <f t="shared" si="418"/>
        <v>0</v>
      </c>
      <c r="AB721" s="156">
        <f t="shared" si="418"/>
        <v>0</v>
      </c>
      <c r="AC721" s="156">
        <f t="shared" si="418"/>
        <v>0</v>
      </c>
      <c r="AD721" s="156">
        <f t="shared" si="418"/>
        <v>0</v>
      </c>
      <c r="AE721" s="156">
        <f t="shared" si="418"/>
        <v>0</v>
      </c>
      <c r="AF721" s="156">
        <f t="shared" si="418"/>
        <v>0</v>
      </c>
      <c r="AG721" s="156">
        <f t="shared" si="418"/>
        <v>0</v>
      </c>
      <c r="AH721" s="156">
        <f t="shared" si="418"/>
        <v>0</v>
      </c>
      <c r="AI721" s="156">
        <f t="shared" si="418"/>
        <v>0</v>
      </c>
      <c r="AJ721" s="156">
        <f t="shared" si="418"/>
        <v>0</v>
      </c>
      <c r="AK721" s="156">
        <f t="shared" si="418"/>
        <v>0</v>
      </c>
      <c r="AL721" s="156">
        <f t="shared" si="418"/>
        <v>0</v>
      </c>
      <c r="AM721" s="156">
        <f t="shared" si="418"/>
        <v>0</v>
      </c>
      <c r="AN721" s="156">
        <f t="shared" si="418"/>
        <v>0</v>
      </c>
      <c r="AO721" s="156">
        <f t="shared" si="418"/>
        <v>0</v>
      </c>
      <c r="AP721" s="156">
        <f t="shared" si="418"/>
        <v>0</v>
      </c>
    </row>
    <row r="723" spans="1:42" x14ac:dyDescent="0.4">
      <c r="A723" s="4" t="s">
        <v>264</v>
      </c>
    </row>
    <row r="724" spans="1:42" x14ac:dyDescent="0.4">
      <c r="A724" s="4" t="s">
        <v>265</v>
      </c>
    </row>
    <row r="725" spans="1:42" x14ac:dyDescent="0.4">
      <c r="A725" s="4">
        <v>1</v>
      </c>
      <c r="B725" s="176">
        <f t="shared" ref="B725:B734" si="419">SUM(C725:AP725)</f>
        <v>0</v>
      </c>
      <c r="C725" s="156">
        <f t="shared" ref="C725:AP725" si="420">IF(C$2&gt;analysis_period,0,IF(C$2=equip3_reserve_freq*$A725,equip3_reserve_cost*system_capacity*1000*(1+inflation_rate/100)^B$2,0))</f>
        <v>0</v>
      </c>
      <c r="D725" s="156">
        <f t="shared" si="420"/>
        <v>0</v>
      </c>
      <c r="E725" s="156">
        <f t="shared" si="420"/>
        <v>0</v>
      </c>
      <c r="F725" s="156">
        <f t="shared" si="420"/>
        <v>0</v>
      </c>
      <c r="G725" s="156">
        <f t="shared" si="420"/>
        <v>0</v>
      </c>
      <c r="H725" s="156">
        <f t="shared" si="420"/>
        <v>0</v>
      </c>
      <c r="I725" s="156">
        <f t="shared" si="420"/>
        <v>0</v>
      </c>
      <c r="J725" s="156">
        <f t="shared" si="420"/>
        <v>0</v>
      </c>
      <c r="K725" s="156">
        <f t="shared" si="420"/>
        <v>0</v>
      </c>
      <c r="L725" s="156">
        <f t="shared" si="420"/>
        <v>0</v>
      </c>
      <c r="M725" s="156">
        <f t="shared" si="420"/>
        <v>0</v>
      </c>
      <c r="N725" s="156">
        <f t="shared" si="420"/>
        <v>0</v>
      </c>
      <c r="O725" s="156">
        <f t="shared" si="420"/>
        <v>0</v>
      </c>
      <c r="P725" s="156">
        <f t="shared" si="420"/>
        <v>0</v>
      </c>
      <c r="Q725" s="156">
        <f t="shared" si="420"/>
        <v>0</v>
      </c>
      <c r="R725" s="156">
        <f t="shared" si="420"/>
        <v>0</v>
      </c>
      <c r="S725" s="156">
        <f t="shared" si="420"/>
        <v>0</v>
      </c>
      <c r="T725" s="156">
        <f t="shared" si="420"/>
        <v>0</v>
      </c>
      <c r="U725" s="156">
        <f t="shared" si="420"/>
        <v>0</v>
      </c>
      <c r="V725" s="156">
        <f t="shared" si="420"/>
        <v>0</v>
      </c>
      <c r="W725" s="156">
        <f t="shared" si="420"/>
        <v>0</v>
      </c>
      <c r="X725" s="156">
        <f t="shared" si="420"/>
        <v>0</v>
      </c>
      <c r="Y725" s="156">
        <f t="shared" si="420"/>
        <v>0</v>
      </c>
      <c r="Z725" s="156">
        <f t="shared" si="420"/>
        <v>0</v>
      </c>
      <c r="AA725" s="156">
        <f t="shared" si="420"/>
        <v>0</v>
      </c>
      <c r="AB725" s="156">
        <f t="shared" si="420"/>
        <v>0</v>
      </c>
      <c r="AC725" s="156">
        <f t="shared" si="420"/>
        <v>0</v>
      </c>
      <c r="AD725" s="156">
        <f t="shared" si="420"/>
        <v>0</v>
      </c>
      <c r="AE725" s="156">
        <f t="shared" si="420"/>
        <v>0</v>
      </c>
      <c r="AF725" s="156">
        <f t="shared" si="420"/>
        <v>0</v>
      </c>
      <c r="AG725" s="156">
        <f t="shared" si="420"/>
        <v>0</v>
      </c>
      <c r="AH725" s="156">
        <f t="shared" si="420"/>
        <v>0</v>
      </c>
      <c r="AI725" s="156">
        <f t="shared" si="420"/>
        <v>0</v>
      </c>
      <c r="AJ725" s="156">
        <f t="shared" si="420"/>
        <v>0</v>
      </c>
      <c r="AK725" s="156">
        <f t="shared" si="420"/>
        <v>0</v>
      </c>
      <c r="AL725" s="156">
        <f t="shared" si="420"/>
        <v>0</v>
      </c>
      <c r="AM725" s="156">
        <f t="shared" si="420"/>
        <v>0</v>
      </c>
      <c r="AN725" s="156">
        <f t="shared" si="420"/>
        <v>0</v>
      </c>
      <c r="AO725" s="156">
        <f t="shared" si="420"/>
        <v>0</v>
      </c>
      <c r="AP725" s="156">
        <f t="shared" si="420"/>
        <v>0</v>
      </c>
    </row>
    <row r="726" spans="1:42" x14ac:dyDescent="0.4">
      <c r="A726" s="4">
        <f>A725+1</f>
        <v>2</v>
      </c>
      <c r="B726" s="176">
        <f t="shared" si="419"/>
        <v>0</v>
      </c>
      <c r="C726" s="156">
        <f t="shared" ref="C726:AP726" si="421">IF(C$2&gt;analysis_period,0,IF(C$2=equip3_reserve_freq*$A726,equip3_reserve_cost*system_capacity*1000*(1+inflation_rate/100)^B$2,0))</f>
        <v>0</v>
      </c>
      <c r="D726" s="156">
        <f t="shared" si="421"/>
        <v>0</v>
      </c>
      <c r="E726" s="156">
        <f t="shared" si="421"/>
        <v>0</v>
      </c>
      <c r="F726" s="156">
        <f t="shared" si="421"/>
        <v>0</v>
      </c>
      <c r="G726" s="156">
        <f t="shared" si="421"/>
        <v>0</v>
      </c>
      <c r="H726" s="156">
        <f t="shared" si="421"/>
        <v>0</v>
      </c>
      <c r="I726" s="156">
        <f t="shared" si="421"/>
        <v>0</v>
      </c>
      <c r="J726" s="156">
        <f t="shared" si="421"/>
        <v>0</v>
      </c>
      <c r="K726" s="156">
        <f t="shared" si="421"/>
        <v>0</v>
      </c>
      <c r="L726" s="156">
        <f t="shared" si="421"/>
        <v>0</v>
      </c>
      <c r="M726" s="156">
        <f t="shared" si="421"/>
        <v>0</v>
      </c>
      <c r="N726" s="156">
        <f t="shared" si="421"/>
        <v>0</v>
      </c>
      <c r="O726" s="156">
        <f t="shared" si="421"/>
        <v>0</v>
      </c>
      <c r="P726" s="156">
        <f t="shared" si="421"/>
        <v>0</v>
      </c>
      <c r="Q726" s="156">
        <f t="shared" si="421"/>
        <v>0</v>
      </c>
      <c r="R726" s="156">
        <f t="shared" si="421"/>
        <v>0</v>
      </c>
      <c r="S726" s="156">
        <f t="shared" si="421"/>
        <v>0</v>
      </c>
      <c r="T726" s="156">
        <f t="shared" si="421"/>
        <v>0</v>
      </c>
      <c r="U726" s="156">
        <f t="shared" si="421"/>
        <v>0</v>
      </c>
      <c r="V726" s="156">
        <f t="shared" si="421"/>
        <v>0</v>
      </c>
      <c r="W726" s="156">
        <f t="shared" si="421"/>
        <v>0</v>
      </c>
      <c r="X726" s="156">
        <f t="shared" si="421"/>
        <v>0</v>
      </c>
      <c r="Y726" s="156">
        <f t="shared" si="421"/>
        <v>0</v>
      </c>
      <c r="Z726" s="156">
        <f t="shared" si="421"/>
        <v>0</v>
      </c>
      <c r="AA726" s="156">
        <f t="shared" si="421"/>
        <v>0</v>
      </c>
      <c r="AB726" s="156">
        <f t="shared" si="421"/>
        <v>0</v>
      </c>
      <c r="AC726" s="156">
        <f t="shared" si="421"/>
        <v>0</v>
      </c>
      <c r="AD726" s="156">
        <f t="shared" si="421"/>
        <v>0</v>
      </c>
      <c r="AE726" s="156">
        <f t="shared" si="421"/>
        <v>0</v>
      </c>
      <c r="AF726" s="156">
        <f t="shared" si="421"/>
        <v>0</v>
      </c>
      <c r="AG726" s="156">
        <f t="shared" si="421"/>
        <v>0</v>
      </c>
      <c r="AH726" s="156">
        <f t="shared" si="421"/>
        <v>0</v>
      </c>
      <c r="AI726" s="156">
        <f t="shared" si="421"/>
        <v>0</v>
      </c>
      <c r="AJ726" s="156">
        <f t="shared" si="421"/>
        <v>0</v>
      </c>
      <c r="AK726" s="156">
        <f t="shared" si="421"/>
        <v>0</v>
      </c>
      <c r="AL726" s="156">
        <f t="shared" si="421"/>
        <v>0</v>
      </c>
      <c r="AM726" s="156">
        <f t="shared" si="421"/>
        <v>0</v>
      </c>
      <c r="AN726" s="156">
        <f t="shared" si="421"/>
        <v>0</v>
      </c>
      <c r="AO726" s="156">
        <f t="shared" si="421"/>
        <v>0</v>
      </c>
      <c r="AP726" s="156">
        <f t="shared" si="421"/>
        <v>0</v>
      </c>
    </row>
    <row r="727" spans="1:42" x14ac:dyDescent="0.4">
      <c r="A727" s="4">
        <f t="shared" ref="A727:A734" si="422">A726+1</f>
        <v>3</v>
      </c>
      <c r="B727" s="176">
        <f t="shared" si="419"/>
        <v>0</v>
      </c>
      <c r="C727" s="156">
        <f t="shared" ref="C727:AP727" si="423">IF(C$2&gt;analysis_period,0,IF(C$2=equip3_reserve_freq*$A727,equip3_reserve_cost*system_capacity*1000*(1+inflation_rate/100)^B$2,0))</f>
        <v>0</v>
      </c>
      <c r="D727" s="156">
        <f t="shared" si="423"/>
        <v>0</v>
      </c>
      <c r="E727" s="156">
        <f t="shared" si="423"/>
        <v>0</v>
      </c>
      <c r="F727" s="156">
        <f t="shared" si="423"/>
        <v>0</v>
      </c>
      <c r="G727" s="156">
        <f t="shared" si="423"/>
        <v>0</v>
      </c>
      <c r="H727" s="156">
        <f t="shared" si="423"/>
        <v>0</v>
      </c>
      <c r="I727" s="156">
        <f t="shared" si="423"/>
        <v>0</v>
      </c>
      <c r="J727" s="156">
        <f t="shared" si="423"/>
        <v>0</v>
      </c>
      <c r="K727" s="156">
        <f t="shared" si="423"/>
        <v>0</v>
      </c>
      <c r="L727" s="156">
        <f t="shared" si="423"/>
        <v>0</v>
      </c>
      <c r="M727" s="156">
        <f t="shared" si="423"/>
        <v>0</v>
      </c>
      <c r="N727" s="156">
        <f t="shared" si="423"/>
        <v>0</v>
      </c>
      <c r="O727" s="156">
        <f t="shared" si="423"/>
        <v>0</v>
      </c>
      <c r="P727" s="156">
        <f t="shared" si="423"/>
        <v>0</v>
      </c>
      <c r="Q727" s="156">
        <f t="shared" si="423"/>
        <v>0</v>
      </c>
      <c r="R727" s="156">
        <f t="shared" si="423"/>
        <v>0</v>
      </c>
      <c r="S727" s="156">
        <f t="shared" si="423"/>
        <v>0</v>
      </c>
      <c r="T727" s="156">
        <f t="shared" si="423"/>
        <v>0</v>
      </c>
      <c r="U727" s="156">
        <f t="shared" si="423"/>
        <v>0</v>
      </c>
      <c r="V727" s="156">
        <f t="shared" si="423"/>
        <v>0</v>
      </c>
      <c r="W727" s="156">
        <f t="shared" si="423"/>
        <v>0</v>
      </c>
      <c r="X727" s="156">
        <f t="shared" si="423"/>
        <v>0</v>
      </c>
      <c r="Y727" s="156">
        <f t="shared" si="423"/>
        <v>0</v>
      </c>
      <c r="Z727" s="156">
        <f t="shared" si="423"/>
        <v>0</v>
      </c>
      <c r="AA727" s="156">
        <f t="shared" si="423"/>
        <v>0</v>
      </c>
      <c r="AB727" s="156">
        <f t="shared" si="423"/>
        <v>0</v>
      </c>
      <c r="AC727" s="156">
        <f t="shared" si="423"/>
        <v>0</v>
      </c>
      <c r="AD727" s="156">
        <f t="shared" si="423"/>
        <v>0</v>
      </c>
      <c r="AE727" s="156">
        <f t="shared" si="423"/>
        <v>0</v>
      </c>
      <c r="AF727" s="156">
        <f t="shared" si="423"/>
        <v>0</v>
      </c>
      <c r="AG727" s="156">
        <f t="shared" si="423"/>
        <v>0</v>
      </c>
      <c r="AH727" s="156">
        <f t="shared" si="423"/>
        <v>0</v>
      </c>
      <c r="AI727" s="156">
        <f t="shared" si="423"/>
        <v>0</v>
      </c>
      <c r="AJ727" s="156">
        <f t="shared" si="423"/>
        <v>0</v>
      </c>
      <c r="AK727" s="156">
        <f t="shared" si="423"/>
        <v>0</v>
      </c>
      <c r="AL727" s="156">
        <f t="shared" si="423"/>
        <v>0</v>
      </c>
      <c r="AM727" s="156">
        <f t="shared" si="423"/>
        <v>0</v>
      </c>
      <c r="AN727" s="156">
        <f t="shared" si="423"/>
        <v>0</v>
      </c>
      <c r="AO727" s="156">
        <f t="shared" si="423"/>
        <v>0</v>
      </c>
      <c r="AP727" s="156">
        <f t="shared" si="423"/>
        <v>0</v>
      </c>
    </row>
    <row r="728" spans="1:42" x14ac:dyDescent="0.4">
      <c r="A728" s="4">
        <f t="shared" si="422"/>
        <v>4</v>
      </c>
      <c r="B728" s="176">
        <f t="shared" si="419"/>
        <v>0</v>
      </c>
      <c r="C728" s="156">
        <f t="shared" ref="C728:AP728" si="424">IF(C$2&gt;analysis_period,0,IF(C$2=equip3_reserve_freq*$A728,equip3_reserve_cost*system_capacity*1000*(1+inflation_rate/100)^B$2,0))</f>
        <v>0</v>
      </c>
      <c r="D728" s="156">
        <f t="shared" si="424"/>
        <v>0</v>
      </c>
      <c r="E728" s="156">
        <f t="shared" si="424"/>
        <v>0</v>
      </c>
      <c r="F728" s="156">
        <f t="shared" si="424"/>
        <v>0</v>
      </c>
      <c r="G728" s="156">
        <f t="shared" si="424"/>
        <v>0</v>
      </c>
      <c r="H728" s="156">
        <f t="shared" si="424"/>
        <v>0</v>
      </c>
      <c r="I728" s="156">
        <f t="shared" si="424"/>
        <v>0</v>
      </c>
      <c r="J728" s="156">
        <f t="shared" si="424"/>
        <v>0</v>
      </c>
      <c r="K728" s="156">
        <f t="shared" si="424"/>
        <v>0</v>
      </c>
      <c r="L728" s="156">
        <f t="shared" si="424"/>
        <v>0</v>
      </c>
      <c r="M728" s="156">
        <f t="shared" si="424"/>
        <v>0</v>
      </c>
      <c r="N728" s="156">
        <f t="shared" si="424"/>
        <v>0</v>
      </c>
      <c r="O728" s="156">
        <f t="shared" si="424"/>
        <v>0</v>
      </c>
      <c r="P728" s="156">
        <f t="shared" si="424"/>
        <v>0</v>
      </c>
      <c r="Q728" s="156">
        <f t="shared" si="424"/>
        <v>0</v>
      </c>
      <c r="R728" s="156">
        <f t="shared" si="424"/>
        <v>0</v>
      </c>
      <c r="S728" s="156">
        <f t="shared" si="424"/>
        <v>0</v>
      </c>
      <c r="T728" s="156">
        <f t="shared" si="424"/>
        <v>0</v>
      </c>
      <c r="U728" s="156">
        <f t="shared" si="424"/>
        <v>0</v>
      </c>
      <c r="V728" s="156">
        <f t="shared" si="424"/>
        <v>0</v>
      </c>
      <c r="W728" s="156">
        <f t="shared" si="424"/>
        <v>0</v>
      </c>
      <c r="X728" s="156">
        <f t="shared" si="424"/>
        <v>0</v>
      </c>
      <c r="Y728" s="156">
        <f t="shared" si="424"/>
        <v>0</v>
      </c>
      <c r="Z728" s="156">
        <f t="shared" si="424"/>
        <v>0</v>
      </c>
      <c r="AA728" s="156">
        <f t="shared" si="424"/>
        <v>0</v>
      </c>
      <c r="AB728" s="156">
        <f t="shared" si="424"/>
        <v>0</v>
      </c>
      <c r="AC728" s="156">
        <f t="shared" si="424"/>
        <v>0</v>
      </c>
      <c r="AD728" s="156">
        <f t="shared" si="424"/>
        <v>0</v>
      </c>
      <c r="AE728" s="156">
        <f t="shared" si="424"/>
        <v>0</v>
      </c>
      <c r="AF728" s="156">
        <f t="shared" si="424"/>
        <v>0</v>
      </c>
      <c r="AG728" s="156">
        <f t="shared" si="424"/>
        <v>0</v>
      </c>
      <c r="AH728" s="156">
        <f t="shared" si="424"/>
        <v>0</v>
      </c>
      <c r="AI728" s="156">
        <f t="shared" si="424"/>
        <v>0</v>
      </c>
      <c r="AJ728" s="156">
        <f t="shared" si="424"/>
        <v>0</v>
      </c>
      <c r="AK728" s="156">
        <f t="shared" si="424"/>
        <v>0</v>
      </c>
      <c r="AL728" s="156">
        <f t="shared" si="424"/>
        <v>0</v>
      </c>
      <c r="AM728" s="156">
        <f t="shared" si="424"/>
        <v>0</v>
      </c>
      <c r="AN728" s="156">
        <f t="shared" si="424"/>
        <v>0</v>
      </c>
      <c r="AO728" s="156">
        <f t="shared" si="424"/>
        <v>0</v>
      </c>
      <c r="AP728" s="156">
        <f t="shared" si="424"/>
        <v>0</v>
      </c>
    </row>
    <row r="729" spans="1:42" x14ac:dyDescent="0.4">
      <c r="A729" s="4">
        <f t="shared" si="422"/>
        <v>5</v>
      </c>
      <c r="B729" s="176">
        <f t="shared" si="419"/>
        <v>0</v>
      </c>
      <c r="C729" s="156">
        <f t="shared" ref="C729:AP729" si="425">IF(C$2&gt;analysis_period,0,IF(C$2=equip3_reserve_freq*$A729,equip3_reserve_cost*system_capacity*1000*(1+inflation_rate/100)^B$2,0))</f>
        <v>0</v>
      </c>
      <c r="D729" s="156">
        <f t="shared" si="425"/>
        <v>0</v>
      </c>
      <c r="E729" s="156">
        <f t="shared" si="425"/>
        <v>0</v>
      </c>
      <c r="F729" s="156">
        <f t="shared" si="425"/>
        <v>0</v>
      </c>
      <c r="G729" s="156">
        <f t="shared" si="425"/>
        <v>0</v>
      </c>
      <c r="H729" s="156">
        <f t="shared" si="425"/>
        <v>0</v>
      </c>
      <c r="I729" s="156">
        <f t="shared" si="425"/>
        <v>0</v>
      </c>
      <c r="J729" s="156">
        <f t="shared" si="425"/>
        <v>0</v>
      </c>
      <c r="K729" s="156">
        <f t="shared" si="425"/>
        <v>0</v>
      </c>
      <c r="L729" s="156">
        <f t="shared" si="425"/>
        <v>0</v>
      </c>
      <c r="M729" s="156">
        <f t="shared" si="425"/>
        <v>0</v>
      </c>
      <c r="N729" s="156">
        <f t="shared" si="425"/>
        <v>0</v>
      </c>
      <c r="O729" s="156">
        <f t="shared" si="425"/>
        <v>0</v>
      </c>
      <c r="P729" s="156">
        <f t="shared" si="425"/>
        <v>0</v>
      </c>
      <c r="Q729" s="156">
        <f t="shared" si="425"/>
        <v>0</v>
      </c>
      <c r="R729" s="156">
        <f t="shared" si="425"/>
        <v>0</v>
      </c>
      <c r="S729" s="156">
        <f t="shared" si="425"/>
        <v>0</v>
      </c>
      <c r="T729" s="156">
        <f t="shared" si="425"/>
        <v>0</v>
      </c>
      <c r="U729" s="156">
        <f t="shared" si="425"/>
        <v>0</v>
      </c>
      <c r="V729" s="156">
        <f t="shared" si="425"/>
        <v>0</v>
      </c>
      <c r="W729" s="156">
        <f t="shared" si="425"/>
        <v>0</v>
      </c>
      <c r="X729" s="156">
        <f t="shared" si="425"/>
        <v>0</v>
      </c>
      <c r="Y729" s="156">
        <f t="shared" si="425"/>
        <v>0</v>
      </c>
      <c r="Z729" s="156">
        <f t="shared" si="425"/>
        <v>0</v>
      </c>
      <c r="AA729" s="156">
        <f t="shared" si="425"/>
        <v>0</v>
      </c>
      <c r="AB729" s="156">
        <f t="shared" si="425"/>
        <v>0</v>
      </c>
      <c r="AC729" s="156">
        <f t="shared" si="425"/>
        <v>0</v>
      </c>
      <c r="AD729" s="156">
        <f t="shared" si="425"/>
        <v>0</v>
      </c>
      <c r="AE729" s="156">
        <f t="shared" si="425"/>
        <v>0</v>
      </c>
      <c r="AF729" s="156">
        <f t="shared" si="425"/>
        <v>0</v>
      </c>
      <c r="AG729" s="156">
        <f t="shared" si="425"/>
        <v>0</v>
      </c>
      <c r="AH729" s="156">
        <f t="shared" si="425"/>
        <v>0</v>
      </c>
      <c r="AI729" s="156">
        <f t="shared" si="425"/>
        <v>0</v>
      </c>
      <c r="AJ729" s="156">
        <f t="shared" si="425"/>
        <v>0</v>
      </c>
      <c r="AK729" s="156">
        <f t="shared" si="425"/>
        <v>0</v>
      </c>
      <c r="AL729" s="156">
        <f t="shared" si="425"/>
        <v>0</v>
      </c>
      <c r="AM729" s="156">
        <f t="shared" si="425"/>
        <v>0</v>
      </c>
      <c r="AN729" s="156">
        <f t="shared" si="425"/>
        <v>0</v>
      </c>
      <c r="AO729" s="156">
        <f t="shared" si="425"/>
        <v>0</v>
      </c>
      <c r="AP729" s="156">
        <f t="shared" si="425"/>
        <v>0</v>
      </c>
    </row>
    <row r="730" spans="1:42" x14ac:dyDescent="0.4">
      <c r="A730" s="4">
        <f t="shared" si="422"/>
        <v>6</v>
      </c>
      <c r="B730" s="176">
        <f t="shared" si="419"/>
        <v>0</v>
      </c>
      <c r="C730" s="156">
        <f t="shared" ref="C730:AP730" si="426">IF(C$2&gt;analysis_period,0,IF(C$2=equip3_reserve_freq*$A730,equip3_reserve_cost*system_capacity*1000*(1+inflation_rate/100)^B$2,0))</f>
        <v>0</v>
      </c>
      <c r="D730" s="156">
        <f t="shared" si="426"/>
        <v>0</v>
      </c>
      <c r="E730" s="156">
        <f t="shared" si="426"/>
        <v>0</v>
      </c>
      <c r="F730" s="156">
        <f t="shared" si="426"/>
        <v>0</v>
      </c>
      <c r="G730" s="156">
        <f t="shared" si="426"/>
        <v>0</v>
      </c>
      <c r="H730" s="156">
        <f t="shared" si="426"/>
        <v>0</v>
      </c>
      <c r="I730" s="156">
        <f t="shared" si="426"/>
        <v>0</v>
      </c>
      <c r="J730" s="156">
        <f t="shared" si="426"/>
        <v>0</v>
      </c>
      <c r="K730" s="156">
        <f t="shared" si="426"/>
        <v>0</v>
      </c>
      <c r="L730" s="156">
        <f t="shared" si="426"/>
        <v>0</v>
      </c>
      <c r="M730" s="156">
        <f t="shared" si="426"/>
        <v>0</v>
      </c>
      <c r="N730" s="156">
        <f t="shared" si="426"/>
        <v>0</v>
      </c>
      <c r="O730" s="156">
        <f t="shared" si="426"/>
        <v>0</v>
      </c>
      <c r="P730" s="156">
        <f t="shared" si="426"/>
        <v>0</v>
      </c>
      <c r="Q730" s="156">
        <f t="shared" si="426"/>
        <v>0</v>
      </c>
      <c r="R730" s="156">
        <f t="shared" si="426"/>
        <v>0</v>
      </c>
      <c r="S730" s="156">
        <f t="shared" si="426"/>
        <v>0</v>
      </c>
      <c r="T730" s="156">
        <f t="shared" si="426"/>
        <v>0</v>
      </c>
      <c r="U730" s="156">
        <f t="shared" si="426"/>
        <v>0</v>
      </c>
      <c r="V730" s="156">
        <f t="shared" si="426"/>
        <v>0</v>
      </c>
      <c r="W730" s="156">
        <f t="shared" si="426"/>
        <v>0</v>
      </c>
      <c r="X730" s="156">
        <f t="shared" si="426"/>
        <v>0</v>
      </c>
      <c r="Y730" s="156">
        <f t="shared" si="426"/>
        <v>0</v>
      </c>
      <c r="Z730" s="156">
        <f t="shared" si="426"/>
        <v>0</v>
      </c>
      <c r="AA730" s="156">
        <f t="shared" si="426"/>
        <v>0</v>
      </c>
      <c r="AB730" s="156">
        <f t="shared" si="426"/>
        <v>0</v>
      </c>
      <c r="AC730" s="156">
        <f t="shared" si="426"/>
        <v>0</v>
      </c>
      <c r="AD730" s="156">
        <f t="shared" si="426"/>
        <v>0</v>
      </c>
      <c r="AE730" s="156">
        <f t="shared" si="426"/>
        <v>0</v>
      </c>
      <c r="AF730" s="156">
        <f t="shared" si="426"/>
        <v>0</v>
      </c>
      <c r="AG730" s="156">
        <f t="shared" si="426"/>
        <v>0</v>
      </c>
      <c r="AH730" s="156">
        <f t="shared" si="426"/>
        <v>0</v>
      </c>
      <c r="AI730" s="156">
        <f t="shared" si="426"/>
        <v>0</v>
      </c>
      <c r="AJ730" s="156">
        <f t="shared" si="426"/>
        <v>0</v>
      </c>
      <c r="AK730" s="156">
        <f t="shared" si="426"/>
        <v>0</v>
      </c>
      <c r="AL730" s="156">
        <f t="shared" si="426"/>
        <v>0</v>
      </c>
      <c r="AM730" s="156">
        <f t="shared" si="426"/>
        <v>0</v>
      </c>
      <c r="AN730" s="156">
        <f t="shared" si="426"/>
        <v>0</v>
      </c>
      <c r="AO730" s="156">
        <f t="shared" si="426"/>
        <v>0</v>
      </c>
      <c r="AP730" s="156">
        <f t="shared" si="426"/>
        <v>0</v>
      </c>
    </row>
    <row r="731" spans="1:42" x14ac:dyDescent="0.4">
      <c r="A731" s="4">
        <f t="shared" si="422"/>
        <v>7</v>
      </c>
      <c r="B731" s="176">
        <f t="shared" si="419"/>
        <v>0</v>
      </c>
      <c r="C731" s="156">
        <f t="shared" ref="C731:AP731" si="427">IF(C$2&gt;analysis_period,0,IF(C$2=equip3_reserve_freq*$A731,equip3_reserve_cost*system_capacity*1000*(1+inflation_rate/100)^B$2,0))</f>
        <v>0</v>
      </c>
      <c r="D731" s="156">
        <f t="shared" si="427"/>
        <v>0</v>
      </c>
      <c r="E731" s="156">
        <f t="shared" si="427"/>
        <v>0</v>
      </c>
      <c r="F731" s="156">
        <f t="shared" si="427"/>
        <v>0</v>
      </c>
      <c r="G731" s="156">
        <f t="shared" si="427"/>
        <v>0</v>
      </c>
      <c r="H731" s="156">
        <f t="shared" si="427"/>
        <v>0</v>
      </c>
      <c r="I731" s="156">
        <f t="shared" si="427"/>
        <v>0</v>
      </c>
      <c r="J731" s="156">
        <f t="shared" si="427"/>
        <v>0</v>
      </c>
      <c r="K731" s="156">
        <f t="shared" si="427"/>
        <v>0</v>
      </c>
      <c r="L731" s="156">
        <f t="shared" si="427"/>
        <v>0</v>
      </c>
      <c r="M731" s="156">
        <f t="shared" si="427"/>
        <v>0</v>
      </c>
      <c r="N731" s="156">
        <f t="shared" si="427"/>
        <v>0</v>
      </c>
      <c r="O731" s="156">
        <f t="shared" si="427"/>
        <v>0</v>
      </c>
      <c r="P731" s="156">
        <f t="shared" si="427"/>
        <v>0</v>
      </c>
      <c r="Q731" s="156">
        <f t="shared" si="427"/>
        <v>0</v>
      </c>
      <c r="R731" s="156">
        <f t="shared" si="427"/>
        <v>0</v>
      </c>
      <c r="S731" s="156">
        <f t="shared" si="427"/>
        <v>0</v>
      </c>
      <c r="T731" s="156">
        <f t="shared" si="427"/>
        <v>0</v>
      </c>
      <c r="U731" s="156">
        <f t="shared" si="427"/>
        <v>0</v>
      </c>
      <c r="V731" s="156">
        <f t="shared" si="427"/>
        <v>0</v>
      </c>
      <c r="W731" s="156">
        <f t="shared" si="427"/>
        <v>0</v>
      </c>
      <c r="X731" s="156">
        <f t="shared" si="427"/>
        <v>0</v>
      </c>
      <c r="Y731" s="156">
        <f t="shared" si="427"/>
        <v>0</v>
      </c>
      <c r="Z731" s="156">
        <f t="shared" si="427"/>
        <v>0</v>
      </c>
      <c r="AA731" s="156">
        <f t="shared" si="427"/>
        <v>0</v>
      </c>
      <c r="AB731" s="156">
        <f t="shared" si="427"/>
        <v>0</v>
      </c>
      <c r="AC731" s="156">
        <f t="shared" si="427"/>
        <v>0</v>
      </c>
      <c r="AD731" s="156">
        <f t="shared" si="427"/>
        <v>0</v>
      </c>
      <c r="AE731" s="156">
        <f t="shared" si="427"/>
        <v>0</v>
      </c>
      <c r="AF731" s="156">
        <f t="shared" si="427"/>
        <v>0</v>
      </c>
      <c r="AG731" s="156">
        <f t="shared" si="427"/>
        <v>0</v>
      </c>
      <c r="AH731" s="156">
        <f t="shared" si="427"/>
        <v>0</v>
      </c>
      <c r="AI731" s="156">
        <f t="shared" si="427"/>
        <v>0</v>
      </c>
      <c r="AJ731" s="156">
        <f t="shared" si="427"/>
        <v>0</v>
      </c>
      <c r="AK731" s="156">
        <f t="shared" si="427"/>
        <v>0</v>
      </c>
      <c r="AL731" s="156">
        <f t="shared" si="427"/>
        <v>0</v>
      </c>
      <c r="AM731" s="156">
        <f t="shared" si="427"/>
        <v>0</v>
      </c>
      <c r="AN731" s="156">
        <f t="shared" si="427"/>
        <v>0</v>
      </c>
      <c r="AO731" s="156">
        <f t="shared" si="427"/>
        <v>0</v>
      </c>
      <c r="AP731" s="156">
        <f t="shared" si="427"/>
        <v>0</v>
      </c>
    </row>
    <row r="732" spans="1:42" x14ac:dyDescent="0.4">
      <c r="A732" s="4">
        <f t="shared" si="422"/>
        <v>8</v>
      </c>
      <c r="B732" s="176">
        <f t="shared" si="419"/>
        <v>0</v>
      </c>
      <c r="C732" s="156">
        <f t="shared" ref="C732:AP732" si="428">IF(C$2&gt;analysis_period,0,IF(C$2=equip3_reserve_freq*$A732,equip3_reserve_cost*system_capacity*1000*(1+inflation_rate/100)^B$2,0))</f>
        <v>0</v>
      </c>
      <c r="D732" s="156">
        <f t="shared" si="428"/>
        <v>0</v>
      </c>
      <c r="E732" s="156">
        <f t="shared" si="428"/>
        <v>0</v>
      </c>
      <c r="F732" s="156">
        <f t="shared" si="428"/>
        <v>0</v>
      </c>
      <c r="G732" s="156">
        <f t="shared" si="428"/>
        <v>0</v>
      </c>
      <c r="H732" s="156">
        <f t="shared" si="428"/>
        <v>0</v>
      </c>
      <c r="I732" s="156">
        <f t="shared" si="428"/>
        <v>0</v>
      </c>
      <c r="J732" s="156">
        <f t="shared" si="428"/>
        <v>0</v>
      </c>
      <c r="K732" s="156">
        <f t="shared" si="428"/>
        <v>0</v>
      </c>
      <c r="L732" s="156">
        <f t="shared" si="428"/>
        <v>0</v>
      </c>
      <c r="M732" s="156">
        <f t="shared" si="428"/>
        <v>0</v>
      </c>
      <c r="N732" s="156">
        <f t="shared" si="428"/>
        <v>0</v>
      </c>
      <c r="O732" s="156">
        <f t="shared" si="428"/>
        <v>0</v>
      </c>
      <c r="P732" s="156">
        <f t="shared" si="428"/>
        <v>0</v>
      </c>
      <c r="Q732" s="156">
        <f t="shared" si="428"/>
        <v>0</v>
      </c>
      <c r="R732" s="156">
        <f t="shared" si="428"/>
        <v>0</v>
      </c>
      <c r="S732" s="156">
        <f t="shared" si="428"/>
        <v>0</v>
      </c>
      <c r="T732" s="156">
        <f t="shared" si="428"/>
        <v>0</v>
      </c>
      <c r="U732" s="156">
        <f t="shared" si="428"/>
        <v>0</v>
      </c>
      <c r="V732" s="156">
        <f t="shared" si="428"/>
        <v>0</v>
      </c>
      <c r="W732" s="156">
        <f t="shared" si="428"/>
        <v>0</v>
      </c>
      <c r="X732" s="156">
        <f t="shared" si="428"/>
        <v>0</v>
      </c>
      <c r="Y732" s="156">
        <f t="shared" si="428"/>
        <v>0</v>
      </c>
      <c r="Z732" s="156">
        <f t="shared" si="428"/>
        <v>0</v>
      </c>
      <c r="AA732" s="156">
        <f t="shared" si="428"/>
        <v>0</v>
      </c>
      <c r="AB732" s="156">
        <f t="shared" si="428"/>
        <v>0</v>
      </c>
      <c r="AC732" s="156">
        <f t="shared" si="428"/>
        <v>0</v>
      </c>
      <c r="AD732" s="156">
        <f t="shared" si="428"/>
        <v>0</v>
      </c>
      <c r="AE732" s="156">
        <f t="shared" si="428"/>
        <v>0</v>
      </c>
      <c r="AF732" s="156">
        <f t="shared" si="428"/>
        <v>0</v>
      </c>
      <c r="AG732" s="156">
        <f t="shared" si="428"/>
        <v>0</v>
      </c>
      <c r="AH732" s="156">
        <f t="shared" si="428"/>
        <v>0</v>
      </c>
      <c r="AI732" s="156">
        <f t="shared" si="428"/>
        <v>0</v>
      </c>
      <c r="AJ732" s="156">
        <f t="shared" si="428"/>
        <v>0</v>
      </c>
      <c r="AK732" s="156">
        <f t="shared" si="428"/>
        <v>0</v>
      </c>
      <c r="AL732" s="156">
        <f t="shared" si="428"/>
        <v>0</v>
      </c>
      <c r="AM732" s="156">
        <f t="shared" si="428"/>
        <v>0</v>
      </c>
      <c r="AN732" s="156">
        <f t="shared" si="428"/>
        <v>0</v>
      </c>
      <c r="AO732" s="156">
        <f t="shared" si="428"/>
        <v>0</v>
      </c>
      <c r="AP732" s="156">
        <f t="shared" si="428"/>
        <v>0</v>
      </c>
    </row>
    <row r="733" spans="1:42" x14ac:dyDescent="0.4">
      <c r="A733" s="4">
        <f>A732+1</f>
        <v>9</v>
      </c>
      <c r="B733" s="176">
        <f t="shared" si="419"/>
        <v>0</v>
      </c>
      <c r="C733" s="156">
        <f t="shared" ref="C733:AP733" si="429">IF(C$2&gt;analysis_period,0,IF(C$2=equip3_reserve_freq*$A733,equip3_reserve_cost*system_capacity*1000*(1+inflation_rate/100)^B$2,0))</f>
        <v>0</v>
      </c>
      <c r="D733" s="156">
        <f t="shared" si="429"/>
        <v>0</v>
      </c>
      <c r="E733" s="156">
        <f t="shared" si="429"/>
        <v>0</v>
      </c>
      <c r="F733" s="156">
        <f t="shared" si="429"/>
        <v>0</v>
      </c>
      <c r="G733" s="156">
        <f t="shared" si="429"/>
        <v>0</v>
      </c>
      <c r="H733" s="156">
        <f t="shared" si="429"/>
        <v>0</v>
      </c>
      <c r="I733" s="156">
        <f t="shared" si="429"/>
        <v>0</v>
      </c>
      <c r="J733" s="156">
        <f t="shared" si="429"/>
        <v>0</v>
      </c>
      <c r="K733" s="156">
        <f t="shared" si="429"/>
        <v>0</v>
      </c>
      <c r="L733" s="156">
        <f t="shared" si="429"/>
        <v>0</v>
      </c>
      <c r="M733" s="156">
        <f t="shared" si="429"/>
        <v>0</v>
      </c>
      <c r="N733" s="156">
        <f t="shared" si="429"/>
        <v>0</v>
      </c>
      <c r="O733" s="156">
        <f t="shared" si="429"/>
        <v>0</v>
      </c>
      <c r="P733" s="156">
        <f t="shared" si="429"/>
        <v>0</v>
      </c>
      <c r="Q733" s="156">
        <f t="shared" si="429"/>
        <v>0</v>
      </c>
      <c r="R733" s="156">
        <f t="shared" si="429"/>
        <v>0</v>
      </c>
      <c r="S733" s="156">
        <f t="shared" si="429"/>
        <v>0</v>
      </c>
      <c r="T733" s="156">
        <f t="shared" si="429"/>
        <v>0</v>
      </c>
      <c r="U733" s="156">
        <f t="shared" si="429"/>
        <v>0</v>
      </c>
      <c r="V733" s="156">
        <f t="shared" si="429"/>
        <v>0</v>
      </c>
      <c r="W733" s="156">
        <f t="shared" si="429"/>
        <v>0</v>
      </c>
      <c r="X733" s="156">
        <f t="shared" si="429"/>
        <v>0</v>
      </c>
      <c r="Y733" s="156">
        <f t="shared" si="429"/>
        <v>0</v>
      </c>
      <c r="Z733" s="156">
        <f t="shared" si="429"/>
        <v>0</v>
      </c>
      <c r="AA733" s="156">
        <f t="shared" si="429"/>
        <v>0</v>
      </c>
      <c r="AB733" s="156">
        <f t="shared" si="429"/>
        <v>0</v>
      </c>
      <c r="AC733" s="156">
        <f t="shared" si="429"/>
        <v>0</v>
      </c>
      <c r="AD733" s="156">
        <f t="shared" si="429"/>
        <v>0</v>
      </c>
      <c r="AE733" s="156">
        <f t="shared" si="429"/>
        <v>0</v>
      </c>
      <c r="AF733" s="156">
        <f t="shared" si="429"/>
        <v>0</v>
      </c>
      <c r="AG733" s="156">
        <f t="shared" si="429"/>
        <v>0</v>
      </c>
      <c r="AH733" s="156">
        <f t="shared" si="429"/>
        <v>0</v>
      </c>
      <c r="AI733" s="156">
        <f t="shared" si="429"/>
        <v>0</v>
      </c>
      <c r="AJ733" s="156">
        <f t="shared" si="429"/>
        <v>0</v>
      </c>
      <c r="AK733" s="156">
        <f t="shared" si="429"/>
        <v>0</v>
      </c>
      <c r="AL733" s="156">
        <f t="shared" si="429"/>
        <v>0</v>
      </c>
      <c r="AM733" s="156">
        <f t="shared" si="429"/>
        <v>0</v>
      </c>
      <c r="AN733" s="156">
        <f t="shared" si="429"/>
        <v>0</v>
      </c>
      <c r="AO733" s="156">
        <f t="shared" si="429"/>
        <v>0</v>
      </c>
      <c r="AP733" s="156">
        <f t="shared" si="429"/>
        <v>0</v>
      </c>
    </row>
    <row r="734" spans="1:42" x14ac:dyDescent="0.4">
      <c r="A734" s="4">
        <f t="shared" si="422"/>
        <v>10</v>
      </c>
      <c r="B734" s="176">
        <f t="shared" si="419"/>
        <v>0</v>
      </c>
      <c r="C734" s="156">
        <f t="shared" ref="C734:AP734" si="430">IF(C$2&gt;analysis_period,0,IF(C$2=equip3_reserve_freq*$A734,equip3_reserve_cost*system_capacity*1000*(1+inflation_rate/100)^B$2,0))</f>
        <v>0</v>
      </c>
      <c r="D734" s="156">
        <f t="shared" si="430"/>
        <v>0</v>
      </c>
      <c r="E734" s="156">
        <f t="shared" si="430"/>
        <v>0</v>
      </c>
      <c r="F734" s="156">
        <f t="shared" si="430"/>
        <v>0</v>
      </c>
      <c r="G734" s="156">
        <f t="shared" si="430"/>
        <v>0</v>
      </c>
      <c r="H734" s="156">
        <f t="shared" si="430"/>
        <v>0</v>
      </c>
      <c r="I734" s="156">
        <f t="shared" si="430"/>
        <v>0</v>
      </c>
      <c r="J734" s="156">
        <f t="shared" si="430"/>
        <v>0</v>
      </c>
      <c r="K734" s="156">
        <f t="shared" si="430"/>
        <v>0</v>
      </c>
      <c r="L734" s="156">
        <f t="shared" si="430"/>
        <v>0</v>
      </c>
      <c r="M734" s="156">
        <f t="shared" si="430"/>
        <v>0</v>
      </c>
      <c r="N734" s="156">
        <f t="shared" si="430"/>
        <v>0</v>
      </c>
      <c r="O734" s="156">
        <f t="shared" si="430"/>
        <v>0</v>
      </c>
      <c r="P734" s="156">
        <f t="shared" si="430"/>
        <v>0</v>
      </c>
      <c r="Q734" s="156">
        <f t="shared" si="430"/>
        <v>0</v>
      </c>
      <c r="R734" s="156">
        <f t="shared" si="430"/>
        <v>0</v>
      </c>
      <c r="S734" s="156">
        <f t="shared" si="430"/>
        <v>0</v>
      </c>
      <c r="T734" s="156">
        <f t="shared" si="430"/>
        <v>0</v>
      </c>
      <c r="U734" s="156">
        <f t="shared" si="430"/>
        <v>0</v>
      </c>
      <c r="V734" s="156">
        <f t="shared" si="430"/>
        <v>0</v>
      </c>
      <c r="W734" s="156">
        <f t="shared" si="430"/>
        <v>0</v>
      </c>
      <c r="X734" s="156">
        <f t="shared" si="430"/>
        <v>0</v>
      </c>
      <c r="Y734" s="156">
        <f t="shared" si="430"/>
        <v>0</v>
      </c>
      <c r="Z734" s="156">
        <f t="shared" si="430"/>
        <v>0</v>
      </c>
      <c r="AA734" s="156">
        <f t="shared" si="430"/>
        <v>0</v>
      </c>
      <c r="AB734" s="156">
        <f t="shared" si="430"/>
        <v>0</v>
      </c>
      <c r="AC734" s="156">
        <f t="shared" si="430"/>
        <v>0</v>
      </c>
      <c r="AD734" s="156">
        <f t="shared" si="430"/>
        <v>0</v>
      </c>
      <c r="AE734" s="156">
        <f t="shared" si="430"/>
        <v>0</v>
      </c>
      <c r="AF734" s="156">
        <f t="shared" si="430"/>
        <v>0</v>
      </c>
      <c r="AG734" s="156">
        <f t="shared" si="430"/>
        <v>0</v>
      </c>
      <c r="AH734" s="156">
        <f t="shared" si="430"/>
        <v>0</v>
      </c>
      <c r="AI734" s="156">
        <f t="shared" si="430"/>
        <v>0</v>
      </c>
      <c r="AJ734" s="156">
        <f t="shared" si="430"/>
        <v>0</v>
      </c>
      <c r="AK734" s="156">
        <f t="shared" si="430"/>
        <v>0</v>
      </c>
      <c r="AL734" s="156">
        <f t="shared" si="430"/>
        <v>0</v>
      </c>
      <c r="AM734" s="156">
        <f t="shared" si="430"/>
        <v>0</v>
      </c>
      <c r="AN734" s="156">
        <f t="shared" si="430"/>
        <v>0</v>
      </c>
      <c r="AO734" s="156">
        <f t="shared" si="430"/>
        <v>0</v>
      </c>
      <c r="AP734" s="156">
        <f t="shared" si="430"/>
        <v>0</v>
      </c>
    </row>
    <row r="735" spans="1:42" x14ac:dyDescent="0.4">
      <c r="A735" s="24" t="s">
        <v>13</v>
      </c>
      <c r="B735" s="14"/>
      <c r="C735" s="156">
        <f>SUM(C725:C734)</f>
        <v>0</v>
      </c>
      <c r="D735" s="156">
        <f t="shared" ref="D735:AP735" si="431">SUM(D725:D734)</f>
        <v>0</v>
      </c>
      <c r="E735" s="156">
        <f t="shared" si="431"/>
        <v>0</v>
      </c>
      <c r="F735" s="156">
        <f t="shared" si="431"/>
        <v>0</v>
      </c>
      <c r="G735" s="156">
        <f t="shared" si="431"/>
        <v>0</v>
      </c>
      <c r="H735" s="156">
        <f t="shared" si="431"/>
        <v>0</v>
      </c>
      <c r="I735" s="156">
        <f t="shared" si="431"/>
        <v>0</v>
      </c>
      <c r="J735" s="156">
        <f t="shared" si="431"/>
        <v>0</v>
      </c>
      <c r="K735" s="156">
        <f t="shared" si="431"/>
        <v>0</v>
      </c>
      <c r="L735" s="156">
        <f t="shared" si="431"/>
        <v>0</v>
      </c>
      <c r="M735" s="156">
        <f t="shared" si="431"/>
        <v>0</v>
      </c>
      <c r="N735" s="156">
        <f t="shared" si="431"/>
        <v>0</v>
      </c>
      <c r="O735" s="156">
        <f t="shared" si="431"/>
        <v>0</v>
      </c>
      <c r="P735" s="156">
        <f t="shared" si="431"/>
        <v>0</v>
      </c>
      <c r="Q735" s="156">
        <f t="shared" si="431"/>
        <v>0</v>
      </c>
      <c r="R735" s="156">
        <f t="shared" si="431"/>
        <v>0</v>
      </c>
      <c r="S735" s="156">
        <f t="shared" si="431"/>
        <v>0</v>
      </c>
      <c r="T735" s="156">
        <f t="shared" si="431"/>
        <v>0</v>
      </c>
      <c r="U735" s="156">
        <f t="shared" si="431"/>
        <v>0</v>
      </c>
      <c r="V735" s="156">
        <f t="shared" si="431"/>
        <v>0</v>
      </c>
      <c r="W735" s="156">
        <f t="shared" si="431"/>
        <v>0</v>
      </c>
      <c r="X735" s="156">
        <f t="shared" si="431"/>
        <v>0</v>
      </c>
      <c r="Y735" s="156">
        <f t="shared" si="431"/>
        <v>0</v>
      </c>
      <c r="Z735" s="156">
        <f t="shared" si="431"/>
        <v>0</v>
      </c>
      <c r="AA735" s="156">
        <f t="shared" si="431"/>
        <v>0</v>
      </c>
      <c r="AB735" s="156">
        <f t="shared" si="431"/>
        <v>0</v>
      </c>
      <c r="AC735" s="156">
        <f t="shared" si="431"/>
        <v>0</v>
      </c>
      <c r="AD735" s="156">
        <f t="shared" si="431"/>
        <v>0</v>
      </c>
      <c r="AE735" s="156">
        <f t="shared" si="431"/>
        <v>0</v>
      </c>
      <c r="AF735" s="156">
        <f t="shared" si="431"/>
        <v>0</v>
      </c>
      <c r="AG735" s="156">
        <f t="shared" si="431"/>
        <v>0</v>
      </c>
      <c r="AH735" s="156">
        <f t="shared" si="431"/>
        <v>0</v>
      </c>
      <c r="AI735" s="156">
        <f t="shared" si="431"/>
        <v>0</v>
      </c>
      <c r="AJ735" s="156">
        <f t="shared" si="431"/>
        <v>0</v>
      </c>
      <c r="AK735" s="156">
        <f t="shared" si="431"/>
        <v>0</v>
      </c>
      <c r="AL735" s="156">
        <f t="shared" si="431"/>
        <v>0</v>
      </c>
      <c r="AM735" s="156">
        <f t="shared" si="431"/>
        <v>0</v>
      </c>
      <c r="AN735" s="156">
        <f t="shared" si="431"/>
        <v>0</v>
      </c>
      <c r="AO735" s="156">
        <f t="shared" si="431"/>
        <v>0</v>
      </c>
      <c r="AP735" s="156">
        <f t="shared" si="431"/>
        <v>0</v>
      </c>
    </row>
    <row r="736" spans="1:42" x14ac:dyDescent="0.4">
      <c r="A736" s="4" t="s">
        <v>266</v>
      </c>
    </row>
    <row r="737" spans="1:42" x14ac:dyDescent="0.4">
      <c r="A737" s="4">
        <v>1</v>
      </c>
      <c r="B737" s="176">
        <f t="shared" ref="B737:B746" si="432">SUM(C737:AP737)</f>
        <v>0</v>
      </c>
      <c r="C737" s="156">
        <f t="shared" ref="C737:AP737" si="433">IF(C$2&lt;=equip3_reserve_freq*$A$725,$B$725/(equip3_reserve_freq),0)</f>
        <v>0</v>
      </c>
      <c r="D737" s="156">
        <f t="shared" si="433"/>
        <v>0</v>
      </c>
      <c r="E737" s="156">
        <f t="shared" si="433"/>
        <v>0</v>
      </c>
      <c r="F737" s="156">
        <f t="shared" si="433"/>
        <v>0</v>
      </c>
      <c r="G737" s="156">
        <f t="shared" si="433"/>
        <v>0</v>
      </c>
      <c r="H737" s="156">
        <f t="shared" si="433"/>
        <v>0</v>
      </c>
      <c r="I737" s="156">
        <f t="shared" si="433"/>
        <v>0</v>
      </c>
      <c r="J737" s="156">
        <f t="shared" si="433"/>
        <v>0</v>
      </c>
      <c r="K737" s="156">
        <f t="shared" si="433"/>
        <v>0</v>
      </c>
      <c r="L737" s="156">
        <f t="shared" si="433"/>
        <v>0</v>
      </c>
      <c r="M737" s="156">
        <f t="shared" si="433"/>
        <v>0</v>
      </c>
      <c r="N737" s="156">
        <f t="shared" si="433"/>
        <v>0</v>
      </c>
      <c r="O737" s="156">
        <f t="shared" si="433"/>
        <v>0</v>
      </c>
      <c r="P737" s="156">
        <f t="shared" si="433"/>
        <v>0</v>
      </c>
      <c r="Q737" s="156">
        <f t="shared" si="433"/>
        <v>0</v>
      </c>
      <c r="R737" s="156">
        <f t="shared" si="433"/>
        <v>0</v>
      </c>
      <c r="S737" s="156">
        <f t="shared" si="433"/>
        <v>0</v>
      </c>
      <c r="T737" s="156">
        <f t="shared" si="433"/>
        <v>0</v>
      </c>
      <c r="U737" s="156">
        <f t="shared" si="433"/>
        <v>0</v>
      </c>
      <c r="V737" s="156">
        <f t="shared" si="433"/>
        <v>0</v>
      </c>
      <c r="W737" s="156">
        <f t="shared" si="433"/>
        <v>0</v>
      </c>
      <c r="X737" s="156">
        <f t="shared" si="433"/>
        <v>0</v>
      </c>
      <c r="Y737" s="156">
        <f t="shared" si="433"/>
        <v>0</v>
      </c>
      <c r="Z737" s="156">
        <f t="shared" si="433"/>
        <v>0</v>
      </c>
      <c r="AA737" s="156">
        <f t="shared" si="433"/>
        <v>0</v>
      </c>
      <c r="AB737" s="156">
        <f t="shared" si="433"/>
        <v>0</v>
      </c>
      <c r="AC737" s="156">
        <f t="shared" si="433"/>
        <v>0</v>
      </c>
      <c r="AD737" s="156">
        <f t="shared" si="433"/>
        <v>0</v>
      </c>
      <c r="AE737" s="156">
        <f t="shared" si="433"/>
        <v>0</v>
      </c>
      <c r="AF737" s="156">
        <f t="shared" si="433"/>
        <v>0</v>
      </c>
      <c r="AG737" s="156">
        <f t="shared" si="433"/>
        <v>0</v>
      </c>
      <c r="AH737" s="156">
        <f t="shared" si="433"/>
        <v>0</v>
      </c>
      <c r="AI737" s="156">
        <f t="shared" si="433"/>
        <v>0</v>
      </c>
      <c r="AJ737" s="156">
        <f t="shared" si="433"/>
        <v>0</v>
      </c>
      <c r="AK737" s="156">
        <f t="shared" si="433"/>
        <v>0</v>
      </c>
      <c r="AL737" s="156">
        <f t="shared" si="433"/>
        <v>0</v>
      </c>
      <c r="AM737" s="156">
        <f t="shared" si="433"/>
        <v>0</v>
      </c>
      <c r="AN737" s="156">
        <f t="shared" si="433"/>
        <v>0</v>
      </c>
      <c r="AO737" s="156">
        <f t="shared" si="433"/>
        <v>0</v>
      </c>
      <c r="AP737" s="156">
        <f t="shared" si="433"/>
        <v>0</v>
      </c>
    </row>
    <row r="738" spans="1:42" x14ac:dyDescent="0.4">
      <c r="A738" s="4">
        <f>A737+1</f>
        <v>2</v>
      </c>
      <c r="B738" s="176">
        <f t="shared" si="432"/>
        <v>0</v>
      </c>
      <c r="C738" s="156">
        <f t="shared" ref="C738:AP738" si="434">IF(AND(C$2&gt;equip3_reserve_freq*$A725,C$2&lt;=equip3_reserve_freq*$A726),$B726/(equip3_reserve_freq),0)</f>
        <v>0</v>
      </c>
      <c r="D738" s="156">
        <f t="shared" si="434"/>
        <v>0</v>
      </c>
      <c r="E738" s="156">
        <f t="shared" si="434"/>
        <v>0</v>
      </c>
      <c r="F738" s="156">
        <f t="shared" si="434"/>
        <v>0</v>
      </c>
      <c r="G738" s="156">
        <f t="shared" si="434"/>
        <v>0</v>
      </c>
      <c r="H738" s="156">
        <f t="shared" si="434"/>
        <v>0</v>
      </c>
      <c r="I738" s="156">
        <f t="shared" si="434"/>
        <v>0</v>
      </c>
      <c r="J738" s="156">
        <f t="shared" si="434"/>
        <v>0</v>
      </c>
      <c r="K738" s="156">
        <f t="shared" si="434"/>
        <v>0</v>
      </c>
      <c r="L738" s="156">
        <f t="shared" si="434"/>
        <v>0</v>
      </c>
      <c r="M738" s="156">
        <f t="shared" si="434"/>
        <v>0</v>
      </c>
      <c r="N738" s="156">
        <f t="shared" si="434"/>
        <v>0</v>
      </c>
      <c r="O738" s="156">
        <f t="shared" si="434"/>
        <v>0</v>
      </c>
      <c r="P738" s="156">
        <f t="shared" si="434"/>
        <v>0</v>
      </c>
      <c r="Q738" s="156">
        <f t="shared" si="434"/>
        <v>0</v>
      </c>
      <c r="R738" s="156">
        <f t="shared" si="434"/>
        <v>0</v>
      </c>
      <c r="S738" s="156">
        <f t="shared" si="434"/>
        <v>0</v>
      </c>
      <c r="T738" s="156">
        <f t="shared" si="434"/>
        <v>0</v>
      </c>
      <c r="U738" s="156">
        <f t="shared" si="434"/>
        <v>0</v>
      </c>
      <c r="V738" s="156">
        <f t="shared" si="434"/>
        <v>0</v>
      </c>
      <c r="W738" s="156">
        <f t="shared" si="434"/>
        <v>0</v>
      </c>
      <c r="X738" s="156">
        <f t="shared" si="434"/>
        <v>0</v>
      </c>
      <c r="Y738" s="156">
        <f t="shared" si="434"/>
        <v>0</v>
      </c>
      <c r="Z738" s="156">
        <f t="shared" si="434"/>
        <v>0</v>
      </c>
      <c r="AA738" s="156">
        <f t="shared" si="434"/>
        <v>0</v>
      </c>
      <c r="AB738" s="156">
        <f t="shared" si="434"/>
        <v>0</v>
      </c>
      <c r="AC738" s="156">
        <f t="shared" si="434"/>
        <v>0</v>
      </c>
      <c r="AD738" s="156">
        <f t="shared" si="434"/>
        <v>0</v>
      </c>
      <c r="AE738" s="156">
        <f t="shared" si="434"/>
        <v>0</v>
      </c>
      <c r="AF738" s="156">
        <f t="shared" si="434"/>
        <v>0</v>
      </c>
      <c r="AG738" s="156">
        <f t="shared" si="434"/>
        <v>0</v>
      </c>
      <c r="AH738" s="156">
        <f t="shared" si="434"/>
        <v>0</v>
      </c>
      <c r="AI738" s="156">
        <f t="shared" si="434"/>
        <v>0</v>
      </c>
      <c r="AJ738" s="156">
        <f t="shared" si="434"/>
        <v>0</v>
      </c>
      <c r="AK738" s="156">
        <f t="shared" si="434"/>
        <v>0</v>
      </c>
      <c r="AL738" s="156">
        <f t="shared" si="434"/>
        <v>0</v>
      </c>
      <c r="AM738" s="156">
        <f t="shared" si="434"/>
        <v>0</v>
      </c>
      <c r="AN738" s="156">
        <f t="shared" si="434"/>
        <v>0</v>
      </c>
      <c r="AO738" s="156">
        <f t="shared" si="434"/>
        <v>0</v>
      </c>
      <c r="AP738" s="156">
        <f t="shared" si="434"/>
        <v>0</v>
      </c>
    </row>
    <row r="739" spans="1:42" x14ac:dyDescent="0.4">
      <c r="A739" s="4">
        <f t="shared" ref="A739:A744" si="435">A738+1</f>
        <v>3</v>
      </c>
      <c r="B739" s="176">
        <f t="shared" si="432"/>
        <v>0</v>
      </c>
      <c r="C739" s="156">
        <f t="shared" ref="C739:AP739" si="436">IF(AND(C$2&gt;equip3_reserve_freq*$A726,C$2&lt;=equip3_reserve_freq*$A727),$B727/(equip3_reserve_freq),0)</f>
        <v>0</v>
      </c>
      <c r="D739" s="156">
        <f t="shared" si="436"/>
        <v>0</v>
      </c>
      <c r="E739" s="156">
        <f t="shared" si="436"/>
        <v>0</v>
      </c>
      <c r="F739" s="156">
        <f t="shared" si="436"/>
        <v>0</v>
      </c>
      <c r="G739" s="156">
        <f t="shared" si="436"/>
        <v>0</v>
      </c>
      <c r="H739" s="156">
        <f t="shared" si="436"/>
        <v>0</v>
      </c>
      <c r="I739" s="156">
        <f t="shared" si="436"/>
        <v>0</v>
      </c>
      <c r="J739" s="156">
        <f t="shared" si="436"/>
        <v>0</v>
      </c>
      <c r="K739" s="156">
        <f t="shared" si="436"/>
        <v>0</v>
      </c>
      <c r="L739" s="156">
        <f t="shared" si="436"/>
        <v>0</v>
      </c>
      <c r="M739" s="156">
        <f t="shared" si="436"/>
        <v>0</v>
      </c>
      <c r="N739" s="156">
        <f t="shared" si="436"/>
        <v>0</v>
      </c>
      <c r="O739" s="156">
        <f t="shared" si="436"/>
        <v>0</v>
      </c>
      <c r="P739" s="156">
        <f t="shared" si="436"/>
        <v>0</v>
      </c>
      <c r="Q739" s="156">
        <f t="shared" si="436"/>
        <v>0</v>
      </c>
      <c r="R739" s="156">
        <f t="shared" si="436"/>
        <v>0</v>
      </c>
      <c r="S739" s="156">
        <f t="shared" si="436"/>
        <v>0</v>
      </c>
      <c r="T739" s="156">
        <f t="shared" si="436"/>
        <v>0</v>
      </c>
      <c r="U739" s="156">
        <f t="shared" si="436"/>
        <v>0</v>
      </c>
      <c r="V739" s="156">
        <f t="shared" si="436"/>
        <v>0</v>
      </c>
      <c r="W739" s="156">
        <f t="shared" si="436"/>
        <v>0</v>
      </c>
      <c r="X739" s="156">
        <f t="shared" si="436"/>
        <v>0</v>
      </c>
      <c r="Y739" s="156">
        <f t="shared" si="436"/>
        <v>0</v>
      </c>
      <c r="Z739" s="156">
        <f t="shared" si="436"/>
        <v>0</v>
      </c>
      <c r="AA739" s="156">
        <f t="shared" si="436"/>
        <v>0</v>
      </c>
      <c r="AB739" s="156">
        <f t="shared" si="436"/>
        <v>0</v>
      </c>
      <c r="AC739" s="156">
        <f t="shared" si="436"/>
        <v>0</v>
      </c>
      <c r="AD739" s="156">
        <f t="shared" si="436"/>
        <v>0</v>
      </c>
      <c r="AE739" s="156">
        <f t="shared" si="436"/>
        <v>0</v>
      </c>
      <c r="AF739" s="156">
        <f t="shared" si="436"/>
        <v>0</v>
      </c>
      <c r="AG739" s="156">
        <f t="shared" si="436"/>
        <v>0</v>
      </c>
      <c r="AH739" s="156">
        <f t="shared" si="436"/>
        <v>0</v>
      </c>
      <c r="AI739" s="156">
        <f t="shared" si="436"/>
        <v>0</v>
      </c>
      <c r="AJ739" s="156">
        <f t="shared" si="436"/>
        <v>0</v>
      </c>
      <c r="AK739" s="156">
        <f t="shared" si="436"/>
        <v>0</v>
      </c>
      <c r="AL739" s="156">
        <f t="shared" si="436"/>
        <v>0</v>
      </c>
      <c r="AM739" s="156">
        <f t="shared" si="436"/>
        <v>0</v>
      </c>
      <c r="AN739" s="156">
        <f t="shared" si="436"/>
        <v>0</v>
      </c>
      <c r="AO739" s="156">
        <f t="shared" si="436"/>
        <v>0</v>
      </c>
      <c r="AP739" s="156">
        <f t="shared" si="436"/>
        <v>0</v>
      </c>
    </row>
    <row r="740" spans="1:42" x14ac:dyDescent="0.4">
      <c r="A740" s="4">
        <f t="shared" si="435"/>
        <v>4</v>
      </c>
      <c r="B740" s="176">
        <f t="shared" si="432"/>
        <v>0</v>
      </c>
      <c r="C740" s="156">
        <f t="shared" ref="C740:AP740" si="437">IF(AND(C$2&gt;equip3_reserve_freq*$A727,C$2&lt;=equip3_reserve_freq*$A728),$B728/(equip3_reserve_freq),0)</f>
        <v>0</v>
      </c>
      <c r="D740" s="156">
        <f t="shared" si="437"/>
        <v>0</v>
      </c>
      <c r="E740" s="156">
        <f t="shared" si="437"/>
        <v>0</v>
      </c>
      <c r="F740" s="156">
        <f t="shared" si="437"/>
        <v>0</v>
      </c>
      <c r="G740" s="156">
        <f t="shared" si="437"/>
        <v>0</v>
      </c>
      <c r="H740" s="156">
        <f t="shared" si="437"/>
        <v>0</v>
      </c>
      <c r="I740" s="156">
        <f t="shared" si="437"/>
        <v>0</v>
      </c>
      <c r="J740" s="156">
        <f t="shared" si="437"/>
        <v>0</v>
      </c>
      <c r="K740" s="156">
        <f t="shared" si="437"/>
        <v>0</v>
      </c>
      <c r="L740" s="156">
        <f t="shared" si="437"/>
        <v>0</v>
      </c>
      <c r="M740" s="156">
        <f t="shared" si="437"/>
        <v>0</v>
      </c>
      <c r="N740" s="156">
        <f t="shared" si="437"/>
        <v>0</v>
      </c>
      <c r="O740" s="156">
        <f t="shared" si="437"/>
        <v>0</v>
      </c>
      <c r="P740" s="156">
        <f t="shared" si="437"/>
        <v>0</v>
      </c>
      <c r="Q740" s="156">
        <f t="shared" si="437"/>
        <v>0</v>
      </c>
      <c r="R740" s="156">
        <f t="shared" si="437"/>
        <v>0</v>
      </c>
      <c r="S740" s="156">
        <f t="shared" si="437"/>
        <v>0</v>
      </c>
      <c r="T740" s="156">
        <f t="shared" si="437"/>
        <v>0</v>
      </c>
      <c r="U740" s="156">
        <f t="shared" si="437"/>
        <v>0</v>
      </c>
      <c r="V740" s="156">
        <f t="shared" si="437"/>
        <v>0</v>
      </c>
      <c r="W740" s="156">
        <f t="shared" si="437"/>
        <v>0</v>
      </c>
      <c r="X740" s="156">
        <f t="shared" si="437"/>
        <v>0</v>
      </c>
      <c r="Y740" s="156">
        <f t="shared" si="437"/>
        <v>0</v>
      </c>
      <c r="Z740" s="156">
        <f t="shared" si="437"/>
        <v>0</v>
      </c>
      <c r="AA740" s="156">
        <f t="shared" si="437"/>
        <v>0</v>
      </c>
      <c r="AB740" s="156">
        <f t="shared" si="437"/>
        <v>0</v>
      </c>
      <c r="AC740" s="156">
        <f t="shared" si="437"/>
        <v>0</v>
      </c>
      <c r="AD740" s="156">
        <f t="shared" si="437"/>
        <v>0</v>
      </c>
      <c r="AE740" s="156">
        <f t="shared" si="437"/>
        <v>0</v>
      </c>
      <c r="AF740" s="156">
        <f t="shared" si="437"/>
        <v>0</v>
      </c>
      <c r="AG740" s="156">
        <f t="shared" si="437"/>
        <v>0</v>
      </c>
      <c r="AH740" s="156">
        <f t="shared" si="437"/>
        <v>0</v>
      </c>
      <c r="AI740" s="156">
        <f t="shared" si="437"/>
        <v>0</v>
      </c>
      <c r="AJ740" s="156">
        <f t="shared" si="437"/>
        <v>0</v>
      </c>
      <c r="AK740" s="156">
        <f t="shared" si="437"/>
        <v>0</v>
      </c>
      <c r="AL740" s="156">
        <f t="shared" si="437"/>
        <v>0</v>
      </c>
      <c r="AM740" s="156">
        <f t="shared" si="437"/>
        <v>0</v>
      </c>
      <c r="AN740" s="156">
        <f t="shared" si="437"/>
        <v>0</v>
      </c>
      <c r="AO740" s="156">
        <f t="shared" si="437"/>
        <v>0</v>
      </c>
      <c r="AP740" s="156">
        <f t="shared" si="437"/>
        <v>0</v>
      </c>
    </row>
    <row r="741" spans="1:42" x14ac:dyDescent="0.4">
      <c r="A741" s="4">
        <f t="shared" si="435"/>
        <v>5</v>
      </c>
      <c r="B741" s="176">
        <f t="shared" si="432"/>
        <v>0</v>
      </c>
      <c r="C741" s="156">
        <f t="shared" ref="C741:AP741" si="438">IF(AND(C$2&gt;equip3_reserve_freq*$A728,C$2&lt;=equip3_reserve_freq*$A729),$B729/(equip3_reserve_freq),0)</f>
        <v>0</v>
      </c>
      <c r="D741" s="156">
        <f t="shared" si="438"/>
        <v>0</v>
      </c>
      <c r="E741" s="156">
        <f t="shared" si="438"/>
        <v>0</v>
      </c>
      <c r="F741" s="156">
        <f t="shared" si="438"/>
        <v>0</v>
      </c>
      <c r="G741" s="156">
        <f t="shared" si="438"/>
        <v>0</v>
      </c>
      <c r="H741" s="156">
        <f t="shared" si="438"/>
        <v>0</v>
      </c>
      <c r="I741" s="156">
        <f t="shared" si="438"/>
        <v>0</v>
      </c>
      <c r="J741" s="156">
        <f t="shared" si="438"/>
        <v>0</v>
      </c>
      <c r="K741" s="156">
        <f t="shared" si="438"/>
        <v>0</v>
      </c>
      <c r="L741" s="156">
        <f t="shared" si="438"/>
        <v>0</v>
      </c>
      <c r="M741" s="156">
        <f t="shared" si="438"/>
        <v>0</v>
      </c>
      <c r="N741" s="156">
        <f t="shared" si="438"/>
        <v>0</v>
      </c>
      <c r="O741" s="156">
        <f t="shared" si="438"/>
        <v>0</v>
      </c>
      <c r="P741" s="156">
        <f t="shared" si="438"/>
        <v>0</v>
      </c>
      <c r="Q741" s="156">
        <f t="shared" si="438"/>
        <v>0</v>
      </c>
      <c r="R741" s="156">
        <f t="shared" si="438"/>
        <v>0</v>
      </c>
      <c r="S741" s="156">
        <f t="shared" si="438"/>
        <v>0</v>
      </c>
      <c r="T741" s="156">
        <f t="shared" si="438"/>
        <v>0</v>
      </c>
      <c r="U741" s="156">
        <f t="shared" si="438"/>
        <v>0</v>
      </c>
      <c r="V741" s="156">
        <f t="shared" si="438"/>
        <v>0</v>
      </c>
      <c r="W741" s="156">
        <f t="shared" si="438"/>
        <v>0</v>
      </c>
      <c r="X741" s="156">
        <f t="shared" si="438"/>
        <v>0</v>
      </c>
      <c r="Y741" s="156">
        <f t="shared" si="438"/>
        <v>0</v>
      </c>
      <c r="Z741" s="156">
        <f t="shared" si="438"/>
        <v>0</v>
      </c>
      <c r="AA741" s="156">
        <f t="shared" si="438"/>
        <v>0</v>
      </c>
      <c r="AB741" s="156">
        <f t="shared" si="438"/>
        <v>0</v>
      </c>
      <c r="AC741" s="156">
        <f t="shared" si="438"/>
        <v>0</v>
      </c>
      <c r="AD741" s="156">
        <f t="shared" si="438"/>
        <v>0</v>
      </c>
      <c r="AE741" s="156">
        <f t="shared" si="438"/>
        <v>0</v>
      </c>
      <c r="AF741" s="156">
        <f t="shared" si="438"/>
        <v>0</v>
      </c>
      <c r="AG741" s="156">
        <f t="shared" si="438"/>
        <v>0</v>
      </c>
      <c r="AH741" s="156">
        <f t="shared" si="438"/>
        <v>0</v>
      </c>
      <c r="AI741" s="156">
        <f t="shared" si="438"/>
        <v>0</v>
      </c>
      <c r="AJ741" s="156">
        <f t="shared" si="438"/>
        <v>0</v>
      </c>
      <c r="AK741" s="156">
        <f t="shared" si="438"/>
        <v>0</v>
      </c>
      <c r="AL741" s="156">
        <f t="shared" si="438"/>
        <v>0</v>
      </c>
      <c r="AM741" s="156">
        <f t="shared" si="438"/>
        <v>0</v>
      </c>
      <c r="AN741" s="156">
        <f t="shared" si="438"/>
        <v>0</v>
      </c>
      <c r="AO741" s="156">
        <f t="shared" si="438"/>
        <v>0</v>
      </c>
      <c r="AP741" s="156">
        <f t="shared" si="438"/>
        <v>0</v>
      </c>
    </row>
    <row r="742" spans="1:42" x14ac:dyDescent="0.4">
      <c r="A742" s="4">
        <f t="shared" si="435"/>
        <v>6</v>
      </c>
      <c r="B742" s="176">
        <f t="shared" si="432"/>
        <v>0</v>
      </c>
      <c r="C742" s="156">
        <f t="shared" ref="C742:AP742" si="439">IF(AND(C$2&gt;equip3_reserve_freq*$A729,C$2&lt;=equip3_reserve_freq*$A730),$B730/(equip3_reserve_freq),0)</f>
        <v>0</v>
      </c>
      <c r="D742" s="156">
        <f t="shared" si="439"/>
        <v>0</v>
      </c>
      <c r="E742" s="156">
        <f t="shared" si="439"/>
        <v>0</v>
      </c>
      <c r="F742" s="156">
        <f t="shared" si="439"/>
        <v>0</v>
      </c>
      <c r="G742" s="156">
        <f t="shared" si="439"/>
        <v>0</v>
      </c>
      <c r="H742" s="156">
        <f t="shared" si="439"/>
        <v>0</v>
      </c>
      <c r="I742" s="156">
        <f t="shared" si="439"/>
        <v>0</v>
      </c>
      <c r="J742" s="156">
        <f t="shared" si="439"/>
        <v>0</v>
      </c>
      <c r="K742" s="156">
        <f t="shared" si="439"/>
        <v>0</v>
      </c>
      <c r="L742" s="156">
        <f t="shared" si="439"/>
        <v>0</v>
      </c>
      <c r="M742" s="156">
        <f t="shared" si="439"/>
        <v>0</v>
      </c>
      <c r="N742" s="156">
        <f t="shared" si="439"/>
        <v>0</v>
      </c>
      <c r="O742" s="156">
        <f t="shared" si="439"/>
        <v>0</v>
      </c>
      <c r="P742" s="156">
        <f t="shared" si="439"/>
        <v>0</v>
      </c>
      <c r="Q742" s="156">
        <f t="shared" si="439"/>
        <v>0</v>
      </c>
      <c r="R742" s="156">
        <f t="shared" si="439"/>
        <v>0</v>
      </c>
      <c r="S742" s="156">
        <f t="shared" si="439"/>
        <v>0</v>
      </c>
      <c r="T742" s="156">
        <f t="shared" si="439"/>
        <v>0</v>
      </c>
      <c r="U742" s="156">
        <f t="shared" si="439"/>
        <v>0</v>
      </c>
      <c r="V742" s="156">
        <f t="shared" si="439"/>
        <v>0</v>
      </c>
      <c r="W742" s="156">
        <f t="shared" si="439"/>
        <v>0</v>
      </c>
      <c r="X742" s="156">
        <f t="shared" si="439"/>
        <v>0</v>
      </c>
      <c r="Y742" s="156">
        <f t="shared" si="439"/>
        <v>0</v>
      </c>
      <c r="Z742" s="156">
        <f t="shared" si="439"/>
        <v>0</v>
      </c>
      <c r="AA742" s="156">
        <f t="shared" si="439"/>
        <v>0</v>
      </c>
      <c r="AB742" s="156">
        <f t="shared" si="439"/>
        <v>0</v>
      </c>
      <c r="AC742" s="156">
        <f t="shared" si="439"/>
        <v>0</v>
      </c>
      <c r="AD742" s="156">
        <f t="shared" si="439"/>
        <v>0</v>
      </c>
      <c r="AE742" s="156">
        <f t="shared" si="439"/>
        <v>0</v>
      </c>
      <c r="AF742" s="156">
        <f t="shared" si="439"/>
        <v>0</v>
      </c>
      <c r="AG742" s="156">
        <f t="shared" si="439"/>
        <v>0</v>
      </c>
      <c r="AH742" s="156">
        <f t="shared" si="439"/>
        <v>0</v>
      </c>
      <c r="AI742" s="156">
        <f t="shared" si="439"/>
        <v>0</v>
      </c>
      <c r="AJ742" s="156">
        <f t="shared" si="439"/>
        <v>0</v>
      </c>
      <c r="AK742" s="156">
        <f t="shared" si="439"/>
        <v>0</v>
      </c>
      <c r="AL742" s="156">
        <f t="shared" si="439"/>
        <v>0</v>
      </c>
      <c r="AM742" s="156">
        <f t="shared" si="439"/>
        <v>0</v>
      </c>
      <c r="AN742" s="156">
        <f t="shared" si="439"/>
        <v>0</v>
      </c>
      <c r="AO742" s="156">
        <f t="shared" si="439"/>
        <v>0</v>
      </c>
      <c r="AP742" s="156">
        <f t="shared" si="439"/>
        <v>0</v>
      </c>
    </row>
    <row r="743" spans="1:42" x14ac:dyDescent="0.4">
      <c r="A743" s="4">
        <f t="shared" si="435"/>
        <v>7</v>
      </c>
      <c r="B743" s="176">
        <f t="shared" si="432"/>
        <v>0</v>
      </c>
      <c r="C743" s="156">
        <f t="shared" ref="C743:AP743" si="440">IF(AND(C$2&gt;equip3_reserve_freq*$A730,C$2&lt;=equip3_reserve_freq*$A731),$B731/(equip3_reserve_freq),0)</f>
        <v>0</v>
      </c>
      <c r="D743" s="156">
        <f t="shared" si="440"/>
        <v>0</v>
      </c>
      <c r="E743" s="156">
        <f t="shared" si="440"/>
        <v>0</v>
      </c>
      <c r="F743" s="156">
        <f t="shared" si="440"/>
        <v>0</v>
      </c>
      <c r="G743" s="156">
        <f t="shared" si="440"/>
        <v>0</v>
      </c>
      <c r="H743" s="156">
        <f t="shared" si="440"/>
        <v>0</v>
      </c>
      <c r="I743" s="156">
        <f t="shared" si="440"/>
        <v>0</v>
      </c>
      <c r="J743" s="156">
        <f t="shared" si="440"/>
        <v>0</v>
      </c>
      <c r="K743" s="156">
        <f t="shared" si="440"/>
        <v>0</v>
      </c>
      <c r="L743" s="156">
        <f t="shared" si="440"/>
        <v>0</v>
      </c>
      <c r="M743" s="156">
        <f t="shared" si="440"/>
        <v>0</v>
      </c>
      <c r="N743" s="156">
        <f t="shared" si="440"/>
        <v>0</v>
      </c>
      <c r="O743" s="156">
        <f t="shared" si="440"/>
        <v>0</v>
      </c>
      <c r="P743" s="156">
        <f t="shared" si="440"/>
        <v>0</v>
      </c>
      <c r="Q743" s="156">
        <f t="shared" si="440"/>
        <v>0</v>
      </c>
      <c r="R743" s="156">
        <f t="shared" si="440"/>
        <v>0</v>
      </c>
      <c r="S743" s="156">
        <f t="shared" si="440"/>
        <v>0</v>
      </c>
      <c r="T743" s="156">
        <f t="shared" si="440"/>
        <v>0</v>
      </c>
      <c r="U743" s="156">
        <f t="shared" si="440"/>
        <v>0</v>
      </c>
      <c r="V743" s="156">
        <f t="shared" si="440"/>
        <v>0</v>
      </c>
      <c r="W743" s="156">
        <f t="shared" si="440"/>
        <v>0</v>
      </c>
      <c r="X743" s="156">
        <f t="shared" si="440"/>
        <v>0</v>
      </c>
      <c r="Y743" s="156">
        <f t="shared" si="440"/>
        <v>0</v>
      </c>
      <c r="Z743" s="156">
        <f t="shared" si="440"/>
        <v>0</v>
      </c>
      <c r="AA743" s="156">
        <f t="shared" si="440"/>
        <v>0</v>
      </c>
      <c r="AB743" s="156">
        <f t="shared" si="440"/>
        <v>0</v>
      </c>
      <c r="AC743" s="156">
        <f t="shared" si="440"/>
        <v>0</v>
      </c>
      <c r="AD743" s="156">
        <f t="shared" si="440"/>
        <v>0</v>
      </c>
      <c r="AE743" s="156">
        <f t="shared" si="440"/>
        <v>0</v>
      </c>
      <c r="AF743" s="156">
        <f t="shared" si="440"/>
        <v>0</v>
      </c>
      <c r="AG743" s="156">
        <f t="shared" si="440"/>
        <v>0</v>
      </c>
      <c r="AH743" s="156">
        <f t="shared" si="440"/>
        <v>0</v>
      </c>
      <c r="AI743" s="156">
        <f t="shared" si="440"/>
        <v>0</v>
      </c>
      <c r="AJ743" s="156">
        <f t="shared" si="440"/>
        <v>0</v>
      </c>
      <c r="AK743" s="156">
        <f t="shared" si="440"/>
        <v>0</v>
      </c>
      <c r="AL743" s="156">
        <f t="shared" si="440"/>
        <v>0</v>
      </c>
      <c r="AM743" s="156">
        <f t="shared" si="440"/>
        <v>0</v>
      </c>
      <c r="AN743" s="156">
        <f t="shared" si="440"/>
        <v>0</v>
      </c>
      <c r="AO743" s="156">
        <f t="shared" si="440"/>
        <v>0</v>
      </c>
      <c r="AP743" s="156">
        <f t="shared" si="440"/>
        <v>0</v>
      </c>
    </row>
    <row r="744" spans="1:42" x14ac:dyDescent="0.4">
      <c r="A744" s="4">
        <f t="shared" si="435"/>
        <v>8</v>
      </c>
      <c r="B744" s="176">
        <f t="shared" si="432"/>
        <v>0</v>
      </c>
      <c r="C744" s="156">
        <f t="shared" ref="C744:AP744" si="441">IF(AND(C$2&gt;equip3_reserve_freq*$A731,C$2&lt;=equip3_reserve_freq*$A732),$B732/(equip3_reserve_freq),0)</f>
        <v>0</v>
      </c>
      <c r="D744" s="156">
        <f t="shared" si="441"/>
        <v>0</v>
      </c>
      <c r="E744" s="156">
        <f t="shared" si="441"/>
        <v>0</v>
      </c>
      <c r="F744" s="156">
        <f t="shared" si="441"/>
        <v>0</v>
      </c>
      <c r="G744" s="156">
        <f t="shared" si="441"/>
        <v>0</v>
      </c>
      <c r="H744" s="156">
        <f t="shared" si="441"/>
        <v>0</v>
      </c>
      <c r="I744" s="156">
        <f t="shared" si="441"/>
        <v>0</v>
      </c>
      <c r="J744" s="156">
        <f t="shared" si="441"/>
        <v>0</v>
      </c>
      <c r="K744" s="156">
        <f t="shared" si="441"/>
        <v>0</v>
      </c>
      <c r="L744" s="156">
        <f t="shared" si="441"/>
        <v>0</v>
      </c>
      <c r="M744" s="156">
        <f t="shared" si="441"/>
        <v>0</v>
      </c>
      <c r="N744" s="156">
        <f t="shared" si="441"/>
        <v>0</v>
      </c>
      <c r="O744" s="156">
        <f t="shared" si="441"/>
        <v>0</v>
      </c>
      <c r="P744" s="156">
        <f t="shared" si="441"/>
        <v>0</v>
      </c>
      <c r="Q744" s="156">
        <f t="shared" si="441"/>
        <v>0</v>
      </c>
      <c r="R744" s="156">
        <f t="shared" si="441"/>
        <v>0</v>
      </c>
      <c r="S744" s="156">
        <f t="shared" si="441"/>
        <v>0</v>
      </c>
      <c r="T744" s="156">
        <f t="shared" si="441"/>
        <v>0</v>
      </c>
      <c r="U744" s="156">
        <f t="shared" si="441"/>
        <v>0</v>
      </c>
      <c r="V744" s="156">
        <f t="shared" si="441"/>
        <v>0</v>
      </c>
      <c r="W744" s="156">
        <f t="shared" si="441"/>
        <v>0</v>
      </c>
      <c r="X744" s="156">
        <f t="shared" si="441"/>
        <v>0</v>
      </c>
      <c r="Y744" s="156">
        <f t="shared" si="441"/>
        <v>0</v>
      </c>
      <c r="Z744" s="156">
        <f t="shared" si="441"/>
        <v>0</v>
      </c>
      <c r="AA744" s="156">
        <f t="shared" si="441"/>
        <v>0</v>
      </c>
      <c r="AB744" s="156">
        <f t="shared" si="441"/>
        <v>0</v>
      </c>
      <c r="AC744" s="156">
        <f t="shared" si="441"/>
        <v>0</v>
      </c>
      <c r="AD744" s="156">
        <f t="shared" si="441"/>
        <v>0</v>
      </c>
      <c r="AE744" s="156">
        <f t="shared" si="441"/>
        <v>0</v>
      </c>
      <c r="AF744" s="156">
        <f t="shared" si="441"/>
        <v>0</v>
      </c>
      <c r="AG744" s="156">
        <f t="shared" si="441"/>
        <v>0</v>
      </c>
      <c r="AH744" s="156">
        <f t="shared" si="441"/>
        <v>0</v>
      </c>
      <c r="AI744" s="156">
        <f t="shared" si="441"/>
        <v>0</v>
      </c>
      <c r="AJ744" s="156">
        <f t="shared" si="441"/>
        <v>0</v>
      </c>
      <c r="AK744" s="156">
        <f t="shared" si="441"/>
        <v>0</v>
      </c>
      <c r="AL744" s="156">
        <f t="shared" si="441"/>
        <v>0</v>
      </c>
      <c r="AM744" s="156">
        <f t="shared" si="441"/>
        <v>0</v>
      </c>
      <c r="AN744" s="156">
        <f t="shared" si="441"/>
        <v>0</v>
      </c>
      <c r="AO744" s="156">
        <f t="shared" si="441"/>
        <v>0</v>
      </c>
      <c r="AP744" s="156">
        <f t="shared" si="441"/>
        <v>0</v>
      </c>
    </row>
    <row r="745" spans="1:42" x14ac:dyDescent="0.4">
      <c r="A745" s="4">
        <f>A744+1</f>
        <v>9</v>
      </c>
      <c r="B745" s="176">
        <f t="shared" si="432"/>
        <v>0</v>
      </c>
      <c r="C745" s="156">
        <f t="shared" ref="C745:AP745" si="442">IF(AND(C$2&gt;equip3_reserve_freq*$A732,C$2&lt;=equip3_reserve_freq*$A733),$B733/(equip3_reserve_freq),0)</f>
        <v>0</v>
      </c>
      <c r="D745" s="156">
        <f t="shared" si="442"/>
        <v>0</v>
      </c>
      <c r="E745" s="156">
        <f t="shared" si="442"/>
        <v>0</v>
      </c>
      <c r="F745" s="156">
        <f t="shared" si="442"/>
        <v>0</v>
      </c>
      <c r="G745" s="156">
        <f t="shared" si="442"/>
        <v>0</v>
      </c>
      <c r="H745" s="156">
        <f t="shared" si="442"/>
        <v>0</v>
      </c>
      <c r="I745" s="156">
        <f t="shared" si="442"/>
        <v>0</v>
      </c>
      <c r="J745" s="156">
        <f t="shared" si="442"/>
        <v>0</v>
      </c>
      <c r="K745" s="156">
        <f t="shared" si="442"/>
        <v>0</v>
      </c>
      <c r="L745" s="156">
        <f t="shared" si="442"/>
        <v>0</v>
      </c>
      <c r="M745" s="156">
        <f t="shared" si="442"/>
        <v>0</v>
      </c>
      <c r="N745" s="156">
        <f t="shared" si="442"/>
        <v>0</v>
      </c>
      <c r="O745" s="156">
        <f t="shared" si="442"/>
        <v>0</v>
      </c>
      <c r="P745" s="156">
        <f t="shared" si="442"/>
        <v>0</v>
      </c>
      <c r="Q745" s="156">
        <f t="shared" si="442"/>
        <v>0</v>
      </c>
      <c r="R745" s="156">
        <f t="shared" si="442"/>
        <v>0</v>
      </c>
      <c r="S745" s="156">
        <f t="shared" si="442"/>
        <v>0</v>
      </c>
      <c r="T745" s="156">
        <f t="shared" si="442"/>
        <v>0</v>
      </c>
      <c r="U745" s="156">
        <f t="shared" si="442"/>
        <v>0</v>
      </c>
      <c r="V745" s="156">
        <f t="shared" si="442"/>
        <v>0</v>
      </c>
      <c r="W745" s="156">
        <f t="shared" si="442"/>
        <v>0</v>
      </c>
      <c r="X745" s="156">
        <f t="shared" si="442"/>
        <v>0</v>
      </c>
      <c r="Y745" s="156">
        <f t="shared" si="442"/>
        <v>0</v>
      </c>
      <c r="Z745" s="156">
        <f t="shared" si="442"/>
        <v>0</v>
      </c>
      <c r="AA745" s="156">
        <f t="shared" si="442"/>
        <v>0</v>
      </c>
      <c r="AB745" s="156">
        <f t="shared" si="442"/>
        <v>0</v>
      </c>
      <c r="AC745" s="156">
        <f t="shared" si="442"/>
        <v>0</v>
      </c>
      <c r="AD745" s="156">
        <f t="shared" si="442"/>
        <v>0</v>
      </c>
      <c r="AE745" s="156">
        <f t="shared" si="442"/>
        <v>0</v>
      </c>
      <c r="AF745" s="156">
        <f t="shared" si="442"/>
        <v>0</v>
      </c>
      <c r="AG745" s="156">
        <f t="shared" si="442"/>
        <v>0</v>
      </c>
      <c r="AH745" s="156">
        <f t="shared" si="442"/>
        <v>0</v>
      </c>
      <c r="AI745" s="156">
        <f t="shared" si="442"/>
        <v>0</v>
      </c>
      <c r="AJ745" s="156">
        <f t="shared" si="442"/>
        <v>0</v>
      </c>
      <c r="AK745" s="156">
        <f t="shared" si="442"/>
        <v>0</v>
      </c>
      <c r="AL745" s="156">
        <f t="shared" si="442"/>
        <v>0</v>
      </c>
      <c r="AM745" s="156">
        <f t="shared" si="442"/>
        <v>0</v>
      </c>
      <c r="AN745" s="156">
        <f t="shared" si="442"/>
        <v>0</v>
      </c>
      <c r="AO745" s="156">
        <f t="shared" si="442"/>
        <v>0</v>
      </c>
      <c r="AP745" s="156">
        <f t="shared" si="442"/>
        <v>0</v>
      </c>
    </row>
    <row r="746" spans="1:42" x14ac:dyDescent="0.4">
      <c r="A746" s="4">
        <f t="shared" ref="A746" si="443">A745+1</f>
        <v>10</v>
      </c>
      <c r="B746" s="176">
        <f t="shared" si="432"/>
        <v>0</v>
      </c>
      <c r="C746" s="157">
        <f t="shared" ref="C746:AP746" si="444">IF(AND(C$2&gt;equip3_reserve_freq*$A733,C$2&lt;=equip3_reserve_freq*$A734),$B734/(equip3_reserve_freq),0)</f>
        <v>0</v>
      </c>
      <c r="D746" s="157">
        <f t="shared" si="444"/>
        <v>0</v>
      </c>
      <c r="E746" s="157">
        <f t="shared" si="444"/>
        <v>0</v>
      </c>
      <c r="F746" s="157">
        <f t="shared" si="444"/>
        <v>0</v>
      </c>
      <c r="G746" s="157">
        <f t="shared" si="444"/>
        <v>0</v>
      </c>
      <c r="H746" s="157">
        <f t="shared" si="444"/>
        <v>0</v>
      </c>
      <c r="I746" s="157">
        <f t="shared" si="444"/>
        <v>0</v>
      </c>
      <c r="J746" s="157">
        <f t="shared" si="444"/>
        <v>0</v>
      </c>
      <c r="K746" s="157">
        <f t="shared" si="444"/>
        <v>0</v>
      </c>
      <c r="L746" s="157">
        <f t="shared" si="444"/>
        <v>0</v>
      </c>
      <c r="M746" s="157">
        <f t="shared" si="444"/>
        <v>0</v>
      </c>
      <c r="N746" s="157">
        <f t="shared" si="444"/>
        <v>0</v>
      </c>
      <c r="O746" s="157">
        <f t="shared" si="444"/>
        <v>0</v>
      </c>
      <c r="P746" s="157">
        <f t="shared" si="444"/>
        <v>0</v>
      </c>
      <c r="Q746" s="157">
        <f t="shared" si="444"/>
        <v>0</v>
      </c>
      <c r="R746" s="157">
        <f t="shared" si="444"/>
        <v>0</v>
      </c>
      <c r="S746" s="157">
        <f t="shared" si="444"/>
        <v>0</v>
      </c>
      <c r="T746" s="157">
        <f t="shared" si="444"/>
        <v>0</v>
      </c>
      <c r="U746" s="157">
        <f t="shared" si="444"/>
        <v>0</v>
      </c>
      <c r="V746" s="157">
        <f t="shared" si="444"/>
        <v>0</v>
      </c>
      <c r="W746" s="157">
        <f t="shared" si="444"/>
        <v>0</v>
      </c>
      <c r="X746" s="157">
        <f t="shared" si="444"/>
        <v>0</v>
      </c>
      <c r="Y746" s="157">
        <f t="shared" si="444"/>
        <v>0</v>
      </c>
      <c r="Z746" s="157">
        <f t="shared" si="444"/>
        <v>0</v>
      </c>
      <c r="AA746" s="157">
        <f t="shared" si="444"/>
        <v>0</v>
      </c>
      <c r="AB746" s="157">
        <f t="shared" si="444"/>
        <v>0</v>
      </c>
      <c r="AC746" s="157">
        <f t="shared" si="444"/>
        <v>0</v>
      </c>
      <c r="AD746" s="157">
        <f t="shared" si="444"/>
        <v>0</v>
      </c>
      <c r="AE746" s="157">
        <f t="shared" si="444"/>
        <v>0</v>
      </c>
      <c r="AF746" s="157">
        <f t="shared" si="444"/>
        <v>0</v>
      </c>
      <c r="AG746" s="157">
        <f t="shared" si="444"/>
        <v>0</v>
      </c>
      <c r="AH746" s="157">
        <f t="shared" si="444"/>
        <v>0</v>
      </c>
      <c r="AI746" s="157">
        <f t="shared" si="444"/>
        <v>0</v>
      </c>
      <c r="AJ746" s="157">
        <f t="shared" si="444"/>
        <v>0</v>
      </c>
      <c r="AK746" s="157">
        <f t="shared" si="444"/>
        <v>0</v>
      </c>
      <c r="AL746" s="157">
        <f t="shared" si="444"/>
        <v>0</v>
      </c>
      <c r="AM746" s="157">
        <f t="shared" si="444"/>
        <v>0</v>
      </c>
      <c r="AN746" s="157">
        <f t="shared" si="444"/>
        <v>0</v>
      </c>
      <c r="AO746" s="157">
        <f t="shared" si="444"/>
        <v>0</v>
      </c>
      <c r="AP746" s="157">
        <f t="shared" si="444"/>
        <v>0</v>
      </c>
    </row>
    <row r="747" spans="1:42" x14ac:dyDescent="0.4">
      <c r="A747" s="24" t="s">
        <v>13</v>
      </c>
      <c r="B747" s="14"/>
      <c r="C747" s="156">
        <f>SUM(C737:C746)</f>
        <v>0</v>
      </c>
      <c r="D747" s="156">
        <f t="shared" ref="D747:AP747" si="445">SUM(D737:D746)</f>
        <v>0</v>
      </c>
      <c r="E747" s="156">
        <f t="shared" si="445"/>
        <v>0</v>
      </c>
      <c r="F747" s="156">
        <f t="shared" si="445"/>
        <v>0</v>
      </c>
      <c r="G747" s="156">
        <f t="shared" si="445"/>
        <v>0</v>
      </c>
      <c r="H747" s="156">
        <f t="shared" si="445"/>
        <v>0</v>
      </c>
      <c r="I747" s="156">
        <f t="shared" si="445"/>
        <v>0</v>
      </c>
      <c r="J747" s="156">
        <f t="shared" si="445"/>
        <v>0</v>
      </c>
      <c r="K747" s="156">
        <f t="shared" si="445"/>
        <v>0</v>
      </c>
      <c r="L747" s="156">
        <f t="shared" si="445"/>
        <v>0</v>
      </c>
      <c r="M747" s="156">
        <f t="shared" si="445"/>
        <v>0</v>
      </c>
      <c r="N747" s="156">
        <f t="shared" si="445"/>
        <v>0</v>
      </c>
      <c r="O747" s="156">
        <f t="shared" si="445"/>
        <v>0</v>
      </c>
      <c r="P747" s="156">
        <f t="shared" si="445"/>
        <v>0</v>
      </c>
      <c r="Q747" s="156">
        <f t="shared" si="445"/>
        <v>0</v>
      </c>
      <c r="R747" s="156">
        <f t="shared" si="445"/>
        <v>0</v>
      </c>
      <c r="S747" s="156">
        <f t="shared" si="445"/>
        <v>0</v>
      </c>
      <c r="T747" s="156">
        <f t="shared" si="445"/>
        <v>0</v>
      </c>
      <c r="U747" s="156">
        <f t="shared" si="445"/>
        <v>0</v>
      </c>
      <c r="V747" s="156">
        <f t="shared" si="445"/>
        <v>0</v>
      </c>
      <c r="W747" s="156">
        <f t="shared" si="445"/>
        <v>0</v>
      </c>
      <c r="X747" s="156">
        <f t="shared" si="445"/>
        <v>0</v>
      </c>
      <c r="Y747" s="156">
        <f t="shared" si="445"/>
        <v>0</v>
      </c>
      <c r="Z747" s="156">
        <f t="shared" si="445"/>
        <v>0</v>
      </c>
      <c r="AA747" s="156">
        <f t="shared" si="445"/>
        <v>0</v>
      </c>
      <c r="AB747" s="156">
        <f t="shared" si="445"/>
        <v>0</v>
      </c>
      <c r="AC747" s="156">
        <f t="shared" si="445"/>
        <v>0</v>
      </c>
      <c r="AD747" s="156">
        <f t="shared" si="445"/>
        <v>0</v>
      </c>
      <c r="AE747" s="156">
        <f t="shared" si="445"/>
        <v>0</v>
      </c>
      <c r="AF747" s="156">
        <f t="shared" si="445"/>
        <v>0</v>
      </c>
      <c r="AG747" s="156">
        <f t="shared" si="445"/>
        <v>0</v>
      </c>
      <c r="AH747" s="156">
        <f t="shared" si="445"/>
        <v>0</v>
      </c>
      <c r="AI747" s="156">
        <f t="shared" si="445"/>
        <v>0</v>
      </c>
      <c r="AJ747" s="156">
        <f t="shared" si="445"/>
        <v>0</v>
      </c>
      <c r="AK747" s="156">
        <f t="shared" si="445"/>
        <v>0</v>
      </c>
      <c r="AL747" s="156">
        <f t="shared" si="445"/>
        <v>0</v>
      </c>
      <c r="AM747" s="156">
        <f t="shared" si="445"/>
        <v>0</v>
      </c>
      <c r="AN747" s="156">
        <f t="shared" si="445"/>
        <v>0</v>
      </c>
      <c r="AO747" s="156">
        <f t="shared" si="445"/>
        <v>0</v>
      </c>
      <c r="AP747" s="156">
        <f t="shared" si="445"/>
        <v>0</v>
      </c>
    </row>
    <row r="749" spans="1:42" x14ac:dyDescent="0.4">
      <c r="A749" s="4" t="s">
        <v>267</v>
      </c>
    </row>
    <row r="750" spans="1:42" x14ac:dyDescent="0.4">
      <c r="A750" s="21" t="s">
        <v>268</v>
      </c>
      <c r="B750" s="156">
        <f>B639+B645+B651+B657+B689+B721</f>
        <v>0</v>
      </c>
      <c r="C750" s="156">
        <f t="shared" ref="C750:AP750" si="446">C639+C645+C651+C657+C689+C721</f>
        <v>0</v>
      </c>
      <c r="D750" s="156">
        <f t="shared" si="446"/>
        <v>0</v>
      </c>
      <c r="E750" s="156">
        <f t="shared" si="446"/>
        <v>0</v>
      </c>
      <c r="F750" s="156">
        <f t="shared" si="446"/>
        <v>0</v>
      </c>
      <c r="G750" s="156">
        <f t="shared" si="446"/>
        <v>0</v>
      </c>
      <c r="H750" s="156">
        <f t="shared" si="446"/>
        <v>0</v>
      </c>
      <c r="I750" s="156">
        <f t="shared" si="446"/>
        <v>0</v>
      </c>
      <c r="J750" s="156">
        <f t="shared" si="446"/>
        <v>0</v>
      </c>
      <c r="K750" s="156">
        <f t="shared" si="446"/>
        <v>0</v>
      </c>
      <c r="L750" s="156">
        <f t="shared" si="446"/>
        <v>0</v>
      </c>
      <c r="M750" s="156">
        <f t="shared" si="446"/>
        <v>0</v>
      </c>
      <c r="N750" s="156">
        <f t="shared" si="446"/>
        <v>0</v>
      </c>
      <c r="O750" s="156">
        <f t="shared" si="446"/>
        <v>0</v>
      </c>
      <c r="P750" s="156">
        <f t="shared" si="446"/>
        <v>0</v>
      </c>
      <c r="Q750" s="156">
        <f t="shared" si="446"/>
        <v>0</v>
      </c>
      <c r="R750" s="156">
        <f t="shared" si="446"/>
        <v>0</v>
      </c>
      <c r="S750" s="156">
        <f t="shared" si="446"/>
        <v>0</v>
      </c>
      <c r="T750" s="156">
        <f t="shared" si="446"/>
        <v>0</v>
      </c>
      <c r="U750" s="156">
        <f t="shared" si="446"/>
        <v>0</v>
      </c>
      <c r="V750" s="156">
        <f t="shared" si="446"/>
        <v>0</v>
      </c>
      <c r="W750" s="156">
        <f t="shared" si="446"/>
        <v>0</v>
      </c>
      <c r="X750" s="156">
        <f t="shared" si="446"/>
        <v>0</v>
      </c>
      <c r="Y750" s="156">
        <f t="shared" si="446"/>
        <v>0</v>
      </c>
      <c r="Z750" s="156">
        <f t="shared" si="446"/>
        <v>0</v>
      </c>
      <c r="AA750" s="156">
        <f t="shared" si="446"/>
        <v>0</v>
      </c>
      <c r="AB750" s="156">
        <f t="shared" si="446"/>
        <v>0</v>
      </c>
      <c r="AC750" s="156">
        <f t="shared" si="446"/>
        <v>0</v>
      </c>
      <c r="AD750" s="156">
        <f t="shared" si="446"/>
        <v>0</v>
      </c>
      <c r="AE750" s="156">
        <f t="shared" si="446"/>
        <v>0</v>
      </c>
      <c r="AF750" s="156">
        <f t="shared" si="446"/>
        <v>0</v>
      </c>
      <c r="AG750" s="156">
        <f t="shared" si="446"/>
        <v>0</v>
      </c>
      <c r="AH750" s="156">
        <f t="shared" si="446"/>
        <v>0</v>
      </c>
      <c r="AI750" s="156">
        <f t="shared" si="446"/>
        <v>0</v>
      </c>
      <c r="AJ750" s="156">
        <f t="shared" si="446"/>
        <v>0</v>
      </c>
      <c r="AK750" s="156">
        <f t="shared" si="446"/>
        <v>0</v>
      </c>
      <c r="AL750" s="156">
        <f t="shared" si="446"/>
        <v>0</v>
      </c>
      <c r="AM750" s="156">
        <f t="shared" si="446"/>
        <v>0</v>
      </c>
      <c r="AN750" s="156">
        <f t="shared" si="446"/>
        <v>0</v>
      </c>
      <c r="AO750" s="156">
        <f t="shared" si="446"/>
        <v>0</v>
      </c>
      <c r="AP750" s="156">
        <f t="shared" si="446"/>
        <v>0</v>
      </c>
    </row>
    <row r="751" spans="1:42" x14ac:dyDescent="0.4">
      <c r="A751" s="21" t="s">
        <v>267</v>
      </c>
      <c r="B751" s="156"/>
      <c r="C751" s="156">
        <f t="shared" ref="C751:AP751" si="447">IF(C$2&lt;=analysis_period,B750*reserves_interest/100,0)</f>
        <v>0</v>
      </c>
      <c r="D751" s="156">
        <f t="shared" si="447"/>
        <v>0</v>
      </c>
      <c r="E751" s="156">
        <f t="shared" si="447"/>
        <v>0</v>
      </c>
      <c r="F751" s="156">
        <f t="shared" si="447"/>
        <v>0</v>
      </c>
      <c r="G751" s="156">
        <f t="shared" si="447"/>
        <v>0</v>
      </c>
      <c r="H751" s="156">
        <f t="shared" si="447"/>
        <v>0</v>
      </c>
      <c r="I751" s="156">
        <f t="shared" si="447"/>
        <v>0</v>
      </c>
      <c r="J751" s="156">
        <f t="shared" si="447"/>
        <v>0</v>
      </c>
      <c r="K751" s="156">
        <f t="shared" si="447"/>
        <v>0</v>
      </c>
      <c r="L751" s="156">
        <f t="shared" si="447"/>
        <v>0</v>
      </c>
      <c r="M751" s="156">
        <f t="shared" si="447"/>
        <v>0</v>
      </c>
      <c r="N751" s="156">
        <f t="shared" si="447"/>
        <v>0</v>
      </c>
      <c r="O751" s="156">
        <f t="shared" si="447"/>
        <v>0</v>
      </c>
      <c r="P751" s="156">
        <f t="shared" si="447"/>
        <v>0</v>
      </c>
      <c r="Q751" s="156">
        <f t="shared" si="447"/>
        <v>0</v>
      </c>
      <c r="R751" s="156">
        <f t="shared" si="447"/>
        <v>0</v>
      </c>
      <c r="S751" s="156">
        <f t="shared" si="447"/>
        <v>0</v>
      </c>
      <c r="T751" s="156">
        <f t="shared" si="447"/>
        <v>0</v>
      </c>
      <c r="U751" s="156">
        <f t="shared" si="447"/>
        <v>0</v>
      </c>
      <c r="V751" s="156">
        <f t="shared" si="447"/>
        <v>0</v>
      </c>
      <c r="W751" s="156">
        <f t="shared" si="447"/>
        <v>0</v>
      </c>
      <c r="X751" s="156">
        <f t="shared" si="447"/>
        <v>0</v>
      </c>
      <c r="Y751" s="156">
        <f t="shared" si="447"/>
        <v>0</v>
      </c>
      <c r="Z751" s="156">
        <f t="shared" si="447"/>
        <v>0</v>
      </c>
      <c r="AA751" s="156">
        <f t="shared" si="447"/>
        <v>0</v>
      </c>
      <c r="AB751" s="156">
        <f t="shared" si="447"/>
        <v>0</v>
      </c>
      <c r="AC751" s="156">
        <f t="shared" si="447"/>
        <v>0</v>
      </c>
      <c r="AD751" s="156">
        <f t="shared" si="447"/>
        <v>0</v>
      </c>
      <c r="AE751" s="156">
        <f t="shared" si="447"/>
        <v>0</v>
      </c>
      <c r="AF751" s="156">
        <f t="shared" si="447"/>
        <v>0</v>
      </c>
      <c r="AG751" s="156">
        <f t="shared" si="447"/>
        <v>0</v>
      </c>
      <c r="AH751" s="156">
        <f t="shared" si="447"/>
        <v>0</v>
      </c>
      <c r="AI751" s="156">
        <f t="shared" si="447"/>
        <v>0</v>
      </c>
      <c r="AJ751" s="156">
        <f t="shared" si="447"/>
        <v>0</v>
      </c>
      <c r="AK751" s="156">
        <f t="shared" si="447"/>
        <v>0</v>
      </c>
      <c r="AL751" s="156">
        <f t="shared" si="447"/>
        <v>0</v>
      </c>
      <c r="AM751" s="156">
        <f t="shared" si="447"/>
        <v>0</v>
      </c>
      <c r="AN751" s="156">
        <f t="shared" si="447"/>
        <v>0</v>
      </c>
      <c r="AO751" s="156">
        <f t="shared" si="447"/>
        <v>0</v>
      </c>
      <c r="AP751" s="156">
        <f t="shared" si="447"/>
        <v>0</v>
      </c>
    </row>
  </sheetData>
  <mergeCells count="12">
    <mergeCell ref="Q262:Q263"/>
    <mergeCell ref="G262:J262"/>
    <mergeCell ref="K262:L262"/>
    <mergeCell ref="B400:C400"/>
    <mergeCell ref="D400:F400"/>
    <mergeCell ref="M400:O400"/>
    <mergeCell ref="Q400:Q401"/>
    <mergeCell ref="G400:J400"/>
    <mergeCell ref="K400:L400"/>
    <mergeCell ref="B262:C262"/>
    <mergeCell ref="D262:F262"/>
    <mergeCell ref="M262:O262"/>
  </mergeCells>
  <pageMargins left="0.5" right="0.5" top="0.5" bottom="0.75" header="0.3" footer="0.3"/>
  <pageSetup scale="75" pageOrder="overThenDown"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45"/>
  <sheetViews>
    <sheetView zoomScale="90" zoomScaleNormal="90" workbookViewId="0"/>
  </sheetViews>
  <sheetFormatPr defaultRowHeight="14.25" x14ac:dyDescent="0.45"/>
  <cols>
    <col min="2" max="7" width="15.46484375" customWidth="1"/>
  </cols>
  <sheetData>
    <row r="1" spans="1:7" s="1" customFormat="1" ht="20.65" thickBot="1" x14ac:dyDescent="0.75">
      <c r="A1" s="220" t="s">
        <v>197</v>
      </c>
      <c r="B1" s="221"/>
      <c r="C1" s="222"/>
      <c r="D1" s="221"/>
      <c r="E1" s="245"/>
      <c r="F1" s="245"/>
      <c r="G1" s="246"/>
    </row>
    <row r="2" spans="1:7" s="1" customFormat="1" ht="13.15" x14ac:dyDescent="0.4">
      <c r="A2" s="2" t="s">
        <v>54</v>
      </c>
      <c r="B2" s="3" t="s">
        <v>36</v>
      </c>
      <c r="C2" s="3" t="s">
        <v>37</v>
      </c>
      <c r="D2" s="3" t="s">
        <v>38</v>
      </c>
      <c r="E2" s="3" t="s">
        <v>39</v>
      </c>
      <c r="F2" s="3" t="s">
        <v>40</v>
      </c>
      <c r="G2" s="247" t="s">
        <v>41</v>
      </c>
    </row>
    <row r="3" spans="1:7" s="1" customFormat="1" ht="13.15" x14ac:dyDescent="0.4">
      <c r="A3" s="92">
        <v>1</v>
      </c>
      <c r="B3" s="160">
        <v>20</v>
      </c>
      <c r="C3" s="166">
        <v>5</v>
      </c>
      <c r="D3" s="160">
        <v>10</v>
      </c>
      <c r="E3" s="160">
        <v>3.33</v>
      </c>
      <c r="F3" s="160">
        <v>2.5</v>
      </c>
      <c r="G3" s="160">
        <f>2.56410256410256*0.5</f>
        <v>1.2820512820512799</v>
      </c>
    </row>
    <row r="4" spans="1:7" s="1" customFormat="1" ht="13.15" x14ac:dyDescent="0.4">
      <c r="A4" s="93">
        <v>2</v>
      </c>
      <c r="B4" s="160">
        <v>32</v>
      </c>
      <c r="C4" s="167">
        <v>9.5</v>
      </c>
      <c r="D4" s="162">
        <v>20</v>
      </c>
      <c r="E4" s="162">
        <v>6.67</v>
      </c>
      <c r="F4" s="162">
        <v>5</v>
      </c>
      <c r="G4" s="162">
        <v>2.5641025641025599</v>
      </c>
    </row>
    <row r="5" spans="1:7" s="1" customFormat="1" ht="13.15" x14ac:dyDescent="0.4">
      <c r="A5" s="93">
        <v>3</v>
      </c>
      <c r="B5" s="160">
        <v>19.2</v>
      </c>
      <c r="C5" s="162">
        <v>8.5500000000000007</v>
      </c>
      <c r="D5" s="162">
        <v>20</v>
      </c>
      <c r="E5" s="162">
        <v>6.67</v>
      </c>
      <c r="F5" s="162">
        <v>5</v>
      </c>
      <c r="G5" s="162">
        <v>2.5641025641025599</v>
      </c>
    </row>
    <row r="6" spans="1:7" s="1" customFormat="1" ht="13.15" x14ac:dyDescent="0.4">
      <c r="A6" s="93">
        <v>4</v>
      </c>
      <c r="B6" s="160">
        <v>11.52</v>
      </c>
      <c r="C6" s="162">
        <v>7.7</v>
      </c>
      <c r="D6" s="162">
        <v>20</v>
      </c>
      <c r="E6" s="162">
        <v>6.67</v>
      </c>
      <c r="F6" s="162">
        <v>5</v>
      </c>
      <c r="G6" s="162">
        <v>2.5641025641025599</v>
      </c>
    </row>
    <row r="7" spans="1:7" s="1" customFormat="1" ht="13.15" x14ac:dyDescent="0.4">
      <c r="A7" s="93">
        <v>5</v>
      </c>
      <c r="B7" s="160">
        <v>11.52</v>
      </c>
      <c r="C7" s="162">
        <v>6.93</v>
      </c>
      <c r="D7" s="162">
        <v>20</v>
      </c>
      <c r="E7" s="162">
        <v>6.67</v>
      </c>
      <c r="F7" s="162">
        <v>5</v>
      </c>
      <c r="G7" s="162">
        <v>2.5641025641025599</v>
      </c>
    </row>
    <row r="8" spans="1:7" s="1" customFormat="1" ht="13.15" x14ac:dyDescent="0.4">
      <c r="A8" s="93">
        <v>6</v>
      </c>
      <c r="B8" s="160">
        <v>5.76</v>
      </c>
      <c r="C8" s="162">
        <v>6.23</v>
      </c>
      <c r="D8" s="162">
        <v>10</v>
      </c>
      <c r="E8" s="162">
        <v>6.67</v>
      </c>
      <c r="F8" s="162">
        <v>5</v>
      </c>
      <c r="G8" s="162">
        <v>2.5641025641025599</v>
      </c>
    </row>
    <row r="9" spans="1:7" s="1" customFormat="1" ht="13.15" x14ac:dyDescent="0.4">
      <c r="A9" s="93">
        <v>7</v>
      </c>
      <c r="B9" s="161">
        <v>0</v>
      </c>
      <c r="C9" s="162">
        <v>5.9</v>
      </c>
      <c r="D9" s="162">
        <v>0</v>
      </c>
      <c r="E9" s="162">
        <v>6.67</v>
      </c>
      <c r="F9" s="162">
        <v>5</v>
      </c>
      <c r="G9" s="162">
        <v>2.5641025641025599</v>
      </c>
    </row>
    <row r="10" spans="1:7" s="1" customFormat="1" ht="13.15" x14ac:dyDescent="0.4">
      <c r="A10" s="93">
        <v>8</v>
      </c>
      <c r="B10" s="162">
        <v>0</v>
      </c>
      <c r="C10" s="162">
        <v>5.9</v>
      </c>
      <c r="D10" s="162">
        <v>0</v>
      </c>
      <c r="E10" s="162">
        <v>6.67</v>
      </c>
      <c r="F10" s="162">
        <v>5</v>
      </c>
      <c r="G10" s="162">
        <v>2.5641025641025599</v>
      </c>
    </row>
    <row r="11" spans="1:7" s="1" customFormat="1" ht="13.15" x14ac:dyDescent="0.4">
      <c r="A11" s="93">
        <v>9</v>
      </c>
      <c r="B11" s="162">
        <v>0</v>
      </c>
      <c r="C11" s="162">
        <v>5.91</v>
      </c>
      <c r="D11" s="162">
        <v>0</v>
      </c>
      <c r="E11" s="162">
        <v>6.67</v>
      </c>
      <c r="F11" s="162">
        <v>5</v>
      </c>
      <c r="G11" s="162">
        <v>2.5641025641025599</v>
      </c>
    </row>
    <row r="12" spans="1:7" s="1" customFormat="1" ht="13.15" x14ac:dyDescent="0.4">
      <c r="A12" s="93">
        <v>10</v>
      </c>
      <c r="B12" s="162">
        <v>0</v>
      </c>
      <c r="C12" s="162">
        <v>5.9</v>
      </c>
      <c r="D12" s="162">
        <v>0</v>
      </c>
      <c r="E12" s="162">
        <v>6.67</v>
      </c>
      <c r="F12" s="162">
        <v>5</v>
      </c>
      <c r="G12" s="162">
        <v>2.5641025641025599</v>
      </c>
    </row>
    <row r="13" spans="1:7" s="1" customFormat="1" ht="13.15" x14ac:dyDescent="0.4">
      <c r="A13" s="93">
        <v>11</v>
      </c>
      <c r="B13" s="162">
        <v>0</v>
      </c>
      <c r="C13" s="162">
        <v>5.91</v>
      </c>
      <c r="D13" s="162">
        <v>0</v>
      </c>
      <c r="E13" s="162">
        <v>6.67</v>
      </c>
      <c r="F13" s="162">
        <v>5</v>
      </c>
      <c r="G13" s="162">
        <v>2.5641025641025599</v>
      </c>
    </row>
    <row r="14" spans="1:7" s="1" customFormat="1" ht="13.15" x14ac:dyDescent="0.4">
      <c r="A14" s="93">
        <v>12</v>
      </c>
      <c r="B14" s="162">
        <v>0</v>
      </c>
      <c r="C14" s="162">
        <v>5.9</v>
      </c>
      <c r="D14" s="162">
        <v>0</v>
      </c>
      <c r="E14" s="162">
        <v>6.66</v>
      </c>
      <c r="F14" s="162">
        <v>5</v>
      </c>
      <c r="G14" s="162">
        <v>2.5641025641025599</v>
      </c>
    </row>
    <row r="15" spans="1:7" s="1" customFormat="1" ht="13.15" x14ac:dyDescent="0.4">
      <c r="A15" s="93">
        <v>13</v>
      </c>
      <c r="B15" s="162">
        <v>0</v>
      </c>
      <c r="C15" s="162">
        <v>5.91</v>
      </c>
      <c r="D15" s="162">
        <v>0</v>
      </c>
      <c r="E15" s="162">
        <v>6.67</v>
      </c>
      <c r="F15" s="162">
        <v>5</v>
      </c>
      <c r="G15" s="162">
        <v>2.5641025641025599</v>
      </c>
    </row>
    <row r="16" spans="1:7" s="1" customFormat="1" ht="13.15" x14ac:dyDescent="0.4">
      <c r="A16" s="93">
        <v>14</v>
      </c>
      <c r="B16" s="162">
        <v>0</v>
      </c>
      <c r="C16" s="162">
        <v>5.9</v>
      </c>
      <c r="D16" s="162">
        <v>0</v>
      </c>
      <c r="E16" s="162">
        <v>6.66</v>
      </c>
      <c r="F16" s="162">
        <v>5</v>
      </c>
      <c r="G16" s="162">
        <v>2.5641025641025599</v>
      </c>
    </row>
    <row r="17" spans="1:7" s="1" customFormat="1" ht="13.15" x14ac:dyDescent="0.4">
      <c r="A17" s="93">
        <v>15</v>
      </c>
      <c r="B17" s="162">
        <v>0</v>
      </c>
      <c r="C17" s="162">
        <v>5.9</v>
      </c>
      <c r="D17" s="162">
        <v>0</v>
      </c>
      <c r="E17" s="162">
        <v>6.67</v>
      </c>
      <c r="F17" s="162">
        <v>5</v>
      </c>
      <c r="G17" s="162">
        <v>2.5641025641025599</v>
      </c>
    </row>
    <row r="18" spans="1:7" s="1" customFormat="1" ht="13.15" x14ac:dyDescent="0.4">
      <c r="A18" s="93">
        <v>16</v>
      </c>
      <c r="B18" s="162">
        <v>0</v>
      </c>
      <c r="C18" s="162">
        <v>2.95</v>
      </c>
      <c r="D18" s="162">
        <v>0</v>
      </c>
      <c r="E18" s="162">
        <v>3.33</v>
      </c>
      <c r="F18" s="162">
        <v>5</v>
      </c>
      <c r="G18" s="162">
        <v>2.5641025641025599</v>
      </c>
    </row>
    <row r="19" spans="1:7" s="1" customFormat="1" ht="13.15" x14ac:dyDescent="0.4">
      <c r="A19" s="93">
        <v>17</v>
      </c>
      <c r="B19" s="162">
        <v>0</v>
      </c>
      <c r="C19" s="162">
        <v>0</v>
      </c>
      <c r="D19" s="162">
        <v>0</v>
      </c>
      <c r="E19" s="162">
        <v>0</v>
      </c>
      <c r="F19" s="162">
        <v>5</v>
      </c>
      <c r="G19" s="162">
        <v>2.5641025641025599</v>
      </c>
    </row>
    <row r="20" spans="1:7" s="1" customFormat="1" ht="13.15" x14ac:dyDescent="0.4">
      <c r="A20" s="93">
        <v>18</v>
      </c>
      <c r="B20" s="162">
        <v>0</v>
      </c>
      <c r="C20" s="162">
        <v>0</v>
      </c>
      <c r="D20" s="162">
        <v>0</v>
      </c>
      <c r="E20" s="162">
        <v>0</v>
      </c>
      <c r="F20" s="162">
        <v>5</v>
      </c>
      <c r="G20" s="162">
        <v>2.5641025641025599</v>
      </c>
    </row>
    <row r="21" spans="1:7" s="1" customFormat="1" ht="13.15" x14ac:dyDescent="0.4">
      <c r="A21" s="93">
        <v>19</v>
      </c>
      <c r="B21" s="162">
        <v>0</v>
      </c>
      <c r="C21" s="162">
        <v>0</v>
      </c>
      <c r="D21" s="162">
        <v>0</v>
      </c>
      <c r="E21" s="162">
        <v>0</v>
      </c>
      <c r="F21" s="162">
        <v>5</v>
      </c>
      <c r="G21" s="162">
        <v>2.5641025641025599</v>
      </c>
    </row>
    <row r="22" spans="1:7" s="1" customFormat="1" ht="13.15" x14ac:dyDescent="0.4">
      <c r="A22" s="93">
        <v>20</v>
      </c>
      <c r="B22" s="162">
        <v>0</v>
      </c>
      <c r="C22" s="162">
        <v>0</v>
      </c>
      <c r="D22" s="162">
        <v>0</v>
      </c>
      <c r="E22" s="162">
        <v>0</v>
      </c>
      <c r="F22" s="162">
        <v>5</v>
      </c>
      <c r="G22" s="162">
        <v>2.5641025641025599</v>
      </c>
    </row>
    <row r="23" spans="1:7" s="1" customFormat="1" ht="13.15" x14ac:dyDescent="0.4">
      <c r="A23" s="93">
        <v>21</v>
      </c>
      <c r="B23" s="162">
        <v>0</v>
      </c>
      <c r="C23" s="162">
        <v>0</v>
      </c>
      <c r="D23" s="162">
        <v>0</v>
      </c>
      <c r="E23" s="162">
        <v>0</v>
      </c>
      <c r="F23" s="162">
        <v>2.5</v>
      </c>
      <c r="G23" s="162">
        <v>2.5641025641025599</v>
      </c>
    </row>
    <row r="24" spans="1:7" s="1" customFormat="1" ht="12.75" customHeight="1" x14ac:dyDescent="0.4">
      <c r="A24" s="93">
        <v>22</v>
      </c>
      <c r="B24" s="162">
        <v>0</v>
      </c>
      <c r="C24" s="162">
        <v>0</v>
      </c>
      <c r="D24" s="162">
        <v>0</v>
      </c>
      <c r="E24" s="162">
        <v>0</v>
      </c>
      <c r="F24" s="162">
        <v>0</v>
      </c>
      <c r="G24" s="162">
        <v>2.5641025641025599</v>
      </c>
    </row>
    <row r="25" spans="1:7" s="1" customFormat="1" ht="12.75" customHeight="1" x14ac:dyDescent="0.4">
      <c r="A25" s="93">
        <v>23</v>
      </c>
      <c r="B25" s="162">
        <v>0</v>
      </c>
      <c r="C25" s="162">
        <v>0</v>
      </c>
      <c r="D25" s="162">
        <v>0</v>
      </c>
      <c r="E25" s="162">
        <v>0</v>
      </c>
      <c r="F25" s="162">
        <v>0</v>
      </c>
      <c r="G25" s="162">
        <v>2.5641025641025599</v>
      </c>
    </row>
    <row r="26" spans="1:7" s="1" customFormat="1" ht="12.75" customHeight="1" x14ac:dyDescent="0.4">
      <c r="A26" s="93">
        <v>24</v>
      </c>
      <c r="B26" s="162">
        <v>0</v>
      </c>
      <c r="C26" s="162">
        <v>0</v>
      </c>
      <c r="D26" s="162">
        <v>0</v>
      </c>
      <c r="E26" s="162">
        <v>0</v>
      </c>
      <c r="F26" s="162">
        <v>0</v>
      </c>
      <c r="G26" s="162">
        <v>2.5641025641025599</v>
      </c>
    </row>
    <row r="27" spans="1:7" s="1" customFormat="1" ht="12.75" customHeight="1" x14ac:dyDescent="0.4">
      <c r="A27" s="93">
        <v>25</v>
      </c>
      <c r="B27" s="162">
        <v>0</v>
      </c>
      <c r="C27" s="162">
        <v>0</v>
      </c>
      <c r="D27" s="162">
        <v>0</v>
      </c>
      <c r="E27" s="162">
        <v>0</v>
      </c>
      <c r="F27" s="162">
        <v>0</v>
      </c>
      <c r="G27" s="162">
        <v>2.5641025641025599</v>
      </c>
    </row>
    <row r="28" spans="1:7" s="1" customFormat="1" ht="12.75" customHeight="1" x14ac:dyDescent="0.4">
      <c r="A28" s="93">
        <v>26</v>
      </c>
      <c r="B28" s="162">
        <v>0</v>
      </c>
      <c r="C28" s="162">
        <v>0</v>
      </c>
      <c r="D28" s="162">
        <v>0</v>
      </c>
      <c r="E28" s="162">
        <v>0</v>
      </c>
      <c r="F28" s="162">
        <v>0</v>
      </c>
      <c r="G28" s="162">
        <v>2.5641025641025599</v>
      </c>
    </row>
    <row r="29" spans="1:7" s="1" customFormat="1" ht="12.75" customHeight="1" x14ac:dyDescent="0.4">
      <c r="A29" s="93">
        <v>27</v>
      </c>
      <c r="B29" s="162">
        <v>0</v>
      </c>
      <c r="C29" s="162">
        <v>0</v>
      </c>
      <c r="D29" s="162">
        <v>0</v>
      </c>
      <c r="E29" s="162">
        <v>0</v>
      </c>
      <c r="F29" s="162">
        <v>0</v>
      </c>
      <c r="G29" s="162">
        <v>2.5641025641025599</v>
      </c>
    </row>
    <row r="30" spans="1:7" ht="12.75" customHeight="1" x14ac:dyDescent="0.45">
      <c r="A30" s="93">
        <v>28</v>
      </c>
      <c r="B30" s="162">
        <v>0</v>
      </c>
      <c r="C30" s="162">
        <v>0</v>
      </c>
      <c r="D30" s="162">
        <v>0</v>
      </c>
      <c r="E30" s="162">
        <v>0</v>
      </c>
      <c r="F30" s="162">
        <v>0</v>
      </c>
      <c r="G30" s="162">
        <v>2.5641025641025599</v>
      </c>
    </row>
    <row r="31" spans="1:7" ht="12.75" customHeight="1" x14ac:dyDescent="0.45">
      <c r="A31" s="93">
        <v>29</v>
      </c>
      <c r="B31" s="162">
        <v>0</v>
      </c>
      <c r="C31" s="162">
        <v>0</v>
      </c>
      <c r="D31" s="162">
        <v>0</v>
      </c>
      <c r="E31" s="162">
        <v>0</v>
      </c>
      <c r="F31" s="162">
        <v>0</v>
      </c>
      <c r="G31" s="162">
        <v>2.5641025641025599</v>
      </c>
    </row>
    <row r="32" spans="1:7" ht="12.75" customHeight="1" x14ac:dyDescent="0.45">
      <c r="A32" s="93">
        <v>30</v>
      </c>
      <c r="B32" s="162">
        <v>0</v>
      </c>
      <c r="C32" s="162">
        <v>0</v>
      </c>
      <c r="D32" s="162">
        <v>0</v>
      </c>
      <c r="E32" s="162">
        <v>0</v>
      </c>
      <c r="F32" s="162">
        <v>0</v>
      </c>
      <c r="G32" s="162">
        <v>2.5641025641025599</v>
      </c>
    </row>
    <row r="33" spans="1:7" ht="12.75" customHeight="1" x14ac:dyDescent="0.45">
      <c r="A33" s="93">
        <v>31</v>
      </c>
      <c r="B33" s="162">
        <v>0</v>
      </c>
      <c r="C33" s="162">
        <v>0</v>
      </c>
      <c r="D33" s="162">
        <v>0</v>
      </c>
      <c r="E33" s="162">
        <v>0</v>
      </c>
      <c r="F33" s="162">
        <v>0</v>
      </c>
      <c r="G33" s="162">
        <v>2.5641025641025599</v>
      </c>
    </row>
    <row r="34" spans="1:7" ht="12.75" customHeight="1" x14ac:dyDescent="0.45">
      <c r="A34" s="93">
        <v>32</v>
      </c>
      <c r="B34" s="162">
        <v>0</v>
      </c>
      <c r="C34" s="162">
        <v>0</v>
      </c>
      <c r="D34" s="162">
        <v>0</v>
      </c>
      <c r="E34" s="162">
        <v>0</v>
      </c>
      <c r="F34" s="162">
        <v>0</v>
      </c>
      <c r="G34" s="162">
        <v>2.5641025641025599</v>
      </c>
    </row>
    <row r="35" spans="1:7" ht="12.75" customHeight="1" x14ac:dyDescent="0.45">
      <c r="A35" s="93">
        <v>33</v>
      </c>
      <c r="B35" s="162">
        <v>0</v>
      </c>
      <c r="C35" s="162">
        <v>0</v>
      </c>
      <c r="D35" s="162">
        <v>0</v>
      </c>
      <c r="E35" s="162">
        <v>0</v>
      </c>
      <c r="F35" s="162">
        <v>0</v>
      </c>
      <c r="G35" s="162">
        <v>2.5641025641025599</v>
      </c>
    </row>
    <row r="36" spans="1:7" ht="12.75" customHeight="1" x14ac:dyDescent="0.45">
      <c r="A36" s="93">
        <v>34</v>
      </c>
      <c r="B36" s="162">
        <v>0</v>
      </c>
      <c r="C36" s="162">
        <v>0</v>
      </c>
      <c r="D36" s="162">
        <v>0</v>
      </c>
      <c r="E36" s="162">
        <v>0</v>
      </c>
      <c r="F36" s="162">
        <v>0</v>
      </c>
      <c r="G36" s="162">
        <v>2.5641025641025599</v>
      </c>
    </row>
    <row r="37" spans="1:7" ht="12.75" customHeight="1" x14ac:dyDescent="0.45">
      <c r="A37" s="93">
        <v>35</v>
      </c>
      <c r="B37" s="162">
        <v>0</v>
      </c>
      <c r="C37" s="162">
        <v>0</v>
      </c>
      <c r="D37" s="162">
        <v>0</v>
      </c>
      <c r="E37" s="162">
        <v>0</v>
      </c>
      <c r="F37" s="162">
        <v>0</v>
      </c>
      <c r="G37" s="162">
        <v>2.5641025641025599</v>
      </c>
    </row>
    <row r="38" spans="1:7" ht="12.75" customHeight="1" x14ac:dyDescent="0.45">
      <c r="A38" s="93">
        <v>36</v>
      </c>
      <c r="B38" s="162">
        <v>0</v>
      </c>
      <c r="C38" s="162">
        <v>0</v>
      </c>
      <c r="D38" s="162">
        <v>0</v>
      </c>
      <c r="E38" s="162">
        <v>0</v>
      </c>
      <c r="F38" s="162">
        <v>0</v>
      </c>
      <c r="G38" s="162">
        <v>2.5641025641025599</v>
      </c>
    </row>
    <row r="39" spans="1:7" ht="12.75" customHeight="1" x14ac:dyDescent="0.45">
      <c r="A39" s="93">
        <v>37</v>
      </c>
      <c r="B39" s="162">
        <v>0</v>
      </c>
      <c r="C39" s="162">
        <v>0</v>
      </c>
      <c r="D39" s="162">
        <v>0</v>
      </c>
      <c r="E39" s="162">
        <v>0</v>
      </c>
      <c r="F39" s="162">
        <v>0</v>
      </c>
      <c r="G39" s="162">
        <v>2.5641025641025599</v>
      </c>
    </row>
    <row r="40" spans="1:7" ht="12.75" customHeight="1" x14ac:dyDescent="0.45">
      <c r="A40" s="93">
        <v>38</v>
      </c>
      <c r="B40" s="162">
        <v>0</v>
      </c>
      <c r="C40" s="162">
        <v>0</v>
      </c>
      <c r="D40" s="162">
        <v>0</v>
      </c>
      <c r="E40" s="162">
        <v>0</v>
      </c>
      <c r="F40" s="162">
        <v>0</v>
      </c>
      <c r="G40" s="162">
        <v>2.5641025641025599</v>
      </c>
    </row>
    <row r="41" spans="1:7" ht="12.75" customHeight="1" x14ac:dyDescent="0.45">
      <c r="A41" s="93">
        <v>39</v>
      </c>
      <c r="B41" s="162">
        <v>0</v>
      </c>
      <c r="C41" s="162">
        <v>0</v>
      </c>
      <c r="D41" s="162">
        <v>0</v>
      </c>
      <c r="E41" s="162">
        <v>0</v>
      </c>
      <c r="F41" s="162">
        <v>0</v>
      </c>
      <c r="G41" s="162">
        <v>2.5641025641025599</v>
      </c>
    </row>
    <row r="42" spans="1:7" ht="12.75" customHeight="1" x14ac:dyDescent="0.45">
      <c r="A42" s="94">
        <v>40</v>
      </c>
      <c r="B42" s="163">
        <v>0</v>
      </c>
      <c r="C42" s="163">
        <v>0</v>
      </c>
      <c r="D42" s="163">
        <v>0</v>
      </c>
      <c r="E42" s="163">
        <v>0</v>
      </c>
      <c r="F42" s="163">
        <v>0</v>
      </c>
      <c r="G42" s="163">
        <f>2.56410256410256*0.5</f>
        <v>1.2820512820512799</v>
      </c>
    </row>
    <row r="43" spans="1:7" x14ac:dyDescent="0.45">
      <c r="A43" s="91" t="s">
        <v>155</v>
      </c>
      <c r="B43" s="91"/>
      <c r="C43" s="91"/>
      <c r="D43" s="91"/>
      <c r="E43" s="91"/>
      <c r="F43" s="91"/>
      <c r="G43" s="91"/>
    </row>
    <row r="44" spans="1:7" x14ac:dyDescent="0.45">
      <c r="A44" s="91" t="s">
        <v>65</v>
      </c>
      <c r="B44" s="91"/>
      <c r="C44" s="91"/>
      <c r="D44" s="91"/>
      <c r="E44" s="91"/>
      <c r="F44" s="91"/>
      <c r="G44" s="91"/>
    </row>
    <row r="45" spans="1:7" x14ac:dyDescent="0.45">
      <c r="A45" s="273" t="s">
        <v>289</v>
      </c>
    </row>
  </sheetData>
  <pageMargins left="0.5" right="0.5" top="0.5" bottom="0.75" header="0.3" footer="0.3"/>
  <pageSetup scale="93" orientation="portrait" horizontalDpi="4294967293" verticalDpi="0" r:id="rId1"/>
</worksheet>
</file>

<file path=docMetadata/LabelInfo.xml><?xml version="1.0" encoding="utf-8"?>
<clbl:labelList xmlns:clbl="http://schemas.microsoft.com/office/2020/mipLabelMetadata">
  <clbl:label id="{95965d95-ecc0-4720-b759-1f33c42ed7da}" enabled="1" method="Standard" siteId="{a0f29d7e-28cd-4f54-8442-7885aee7c080}"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277</vt:i4>
      </vt:variant>
    </vt:vector>
  </HeadingPairs>
  <TitlesOfParts>
    <vt:vector size="280" baseType="lpstr">
      <vt:lpstr>Inputs</vt:lpstr>
      <vt:lpstr>Cash Flow</vt:lpstr>
      <vt:lpstr>Depreciation Schedules</vt:lpstr>
      <vt:lpstr>analysis_period</vt:lpstr>
      <vt:lpstr>annual_fuel_usage</vt:lpstr>
      <vt:lpstr>AnnualLandLease</vt:lpstr>
      <vt:lpstr>AnnualOMCapacity</vt:lpstr>
      <vt:lpstr>AnnualOMFixed</vt:lpstr>
      <vt:lpstr>AnnualOMProduction</vt:lpstr>
      <vt:lpstr>AnnualPBIFederal</vt:lpstr>
      <vt:lpstr>AnnualPBIOther</vt:lpstr>
      <vt:lpstr>AnnualPBIState</vt:lpstr>
      <vt:lpstr>AnnualPBIUtility</vt:lpstr>
      <vt:lpstr>AnnualPTCFederal</vt:lpstr>
      <vt:lpstr>AnnualPTCState</vt:lpstr>
      <vt:lpstr>AnnualTaxFederal</vt:lpstr>
      <vt:lpstr>AnnualTaxState</vt:lpstr>
      <vt:lpstr>batt_annual_discharge_energy</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cf_annual_cost_lcos</vt:lpstr>
      <vt:lpstr>cf_annual_discharge_lcos</vt:lpstr>
      <vt:lpstr>cf_battery_replacement_cost</vt:lpstr>
      <vt:lpstr>cf_capacity_payment</vt:lpstr>
      <vt:lpstr>cf_curtailment_value</vt:lpstr>
      <vt:lpstr>cf_disbursement_debtservice</vt:lpstr>
      <vt:lpstr>cf_energy_expenses_paid_percent</vt:lpstr>
      <vt:lpstr>cf_energy_net</vt:lpstr>
      <vt:lpstr>cf_energy_purchases</vt:lpstr>
      <vt:lpstr>cf_energy_revenue_retained_percent</vt:lpstr>
      <vt:lpstr>cf_energy_sales</vt:lpstr>
      <vt:lpstr>cf_energy_value</vt:lpstr>
      <vt:lpstr>cf_energy_without_battery</vt:lpstr>
      <vt:lpstr>cf_fuelcell_replacement_cost</vt:lpstr>
      <vt:lpstr>cf_funding_debtservice</vt:lpstr>
      <vt:lpstr>cf_non_energy_expenses</vt:lpstr>
      <vt:lpstr>cf_non_energy_revenue</vt:lpstr>
      <vt:lpstr>cf_om_capacity1_expense</vt:lpstr>
      <vt:lpstr>cf_om_capacity2_expense</vt:lpstr>
      <vt:lpstr>cf_om_fixed1_expense</vt:lpstr>
      <vt:lpstr>cf_om_fixed2_expense</vt:lpstr>
      <vt:lpstr>cf_om_fuel_expense</vt:lpstr>
      <vt:lpstr>cf_om_opt_fuel_1_expense</vt:lpstr>
      <vt:lpstr>cf_om_opt_fuel_2_expense</vt:lpstr>
      <vt:lpstr>cf_om_production1_expense</vt:lpstr>
      <vt:lpstr>cf_om_production2_expense</vt:lpstr>
      <vt:lpstr>cf_ppa_price</vt:lpstr>
      <vt:lpstr>cf_recapitalization</vt:lpstr>
      <vt:lpstr>cf_reserve_debtservice</vt:lpstr>
      <vt:lpstr>cf_thermal_value</vt:lpstr>
      <vt:lpstr>cf_utility_bill</vt:lpstr>
      <vt:lpstr>const_per_interest_rate1</vt:lpstr>
      <vt:lpstr>const_per_interest_rate2</vt:lpstr>
      <vt:lpstr>const_per_interest_rate3</vt:lpstr>
      <vt:lpstr>const_per_interest_rate4</vt:lpstr>
      <vt:lpstr>const_per_interest_rate5</vt:lpstr>
      <vt:lpstr>const_per_months1</vt:lpstr>
      <vt:lpstr>const_per_months2</vt:lpstr>
      <vt:lpstr>const_per_months3</vt:lpstr>
      <vt:lpstr>const_per_months4</vt:lpstr>
      <vt:lpstr>const_per_months5</vt:lpstr>
      <vt:lpstr>const_per_percent1</vt:lpstr>
      <vt:lpstr>const_per_percent2</vt:lpstr>
      <vt:lpstr>const_per_percent3</vt:lpstr>
      <vt:lpstr>const_per_percent4</vt:lpstr>
      <vt:lpstr>const_per_percent5</vt:lpstr>
      <vt:lpstr>const_per_upfront_rate1</vt:lpstr>
      <vt:lpstr>const_per_upfront_rate2</vt:lpstr>
      <vt:lpstr>const_per_upfront_rate3</vt:lpstr>
      <vt:lpstr>const_per_upfront_rate4</vt:lpstr>
      <vt:lpstr>const_per_upfront_rate5</vt:lpstr>
      <vt:lpstr>construction_financing_cost</vt:lpstr>
      <vt:lpstr>cost_debt_closing</vt:lpstr>
      <vt:lpstr>cost_debt_fee</vt:lpstr>
      <vt:lpstr>cost_other_financing</vt:lpstr>
      <vt:lpstr>CostDebtUpfront</vt:lpstr>
      <vt:lpstr>DebtPayment</vt:lpstr>
      <vt:lpstr>DebtPercent</vt:lpstr>
      <vt:lpstr>DebtServiceCoverageRatio</vt:lpstr>
      <vt:lpstr>depr_alloc_custom_percent</vt:lpstr>
      <vt:lpstr>depr_alloc_macrs_15_percent</vt:lpstr>
      <vt:lpstr>depr_alloc_macrs_5_percent</vt:lpstr>
      <vt:lpstr>depr_alloc_sl_15_percent</vt:lpstr>
      <vt:lpstr>depr_alloc_sl_20_percent</vt:lpstr>
      <vt:lpstr>depr_alloc_sl_39_percent</vt:lpstr>
      <vt:lpstr>depr_alloc_sl_5_percent</vt:lpstr>
      <vt:lpstr>depr_bonus_fed</vt:lpstr>
      <vt:lpstr>depr_bonus_fed_custom</vt:lpstr>
      <vt:lpstr>depr_bonus_fed_macrs_15</vt:lpstr>
      <vt:lpstr>depr_bonus_fed_macrs_5</vt:lpstr>
      <vt:lpstr>depr_bonus_fed_sl_15</vt:lpstr>
      <vt:lpstr>depr_bonus_fed_sl_20</vt:lpstr>
      <vt:lpstr>depr_bonus_fed_sl_39</vt:lpstr>
      <vt:lpstr>depr_bonus_fed_sl_5</vt:lpstr>
      <vt:lpstr>depr_bonus_sta</vt:lpstr>
      <vt:lpstr>depr_bonus_sta_custom</vt:lpstr>
      <vt:lpstr>depr_bonus_sta_macrs_15</vt:lpstr>
      <vt:lpstr>depr_bonus_sta_macrs_5</vt:lpstr>
      <vt:lpstr>depr_bonus_sta_sl_15</vt:lpstr>
      <vt:lpstr>depr_bonus_sta_sl_20</vt:lpstr>
      <vt:lpstr>depr_bonus_sta_sl_39</vt:lpstr>
      <vt:lpstr>depr_bonus_sta_sl_5</vt:lpstr>
      <vt:lpstr>depr_custom_schedule</vt:lpstr>
      <vt:lpstr>depr_itc_fed_custom</vt:lpstr>
      <vt:lpstr>depr_itc_fed_macrs_15</vt:lpstr>
      <vt:lpstr>depr_itc_fed_macrs_5</vt:lpstr>
      <vt:lpstr>depr_itc_fed_sl_15</vt:lpstr>
      <vt:lpstr>depr_itc_fed_sl_20</vt:lpstr>
      <vt:lpstr>depr_itc_fed_sl_39</vt:lpstr>
      <vt:lpstr>depr_itc_fed_sl_5</vt:lpstr>
      <vt:lpstr>depr_itc_sta_custom</vt:lpstr>
      <vt:lpstr>depr_itc_sta_macrs_15</vt:lpstr>
      <vt:lpstr>depr_itc_sta_macrs_5</vt:lpstr>
      <vt:lpstr>depr_itc_sta_sl_15</vt:lpstr>
      <vt:lpstr>depr_itc_sta_sl_20</vt:lpstr>
      <vt:lpstr>depr_itc_sta_sl_39</vt:lpstr>
      <vt:lpstr>depr_itc_sta_sl_5</vt:lpstr>
      <vt:lpstr>dscr_limit_debt_fraction</vt:lpstr>
      <vt:lpstr>dscr_maximum_debt_fraction</vt:lpstr>
      <vt:lpstr>dscr_reserve_months</vt:lpstr>
      <vt:lpstr>equip_reserve_depr_fed</vt:lpstr>
      <vt:lpstr>equip_reserve_depr_sta</vt:lpstr>
      <vt:lpstr>equip1_reserve_cost</vt:lpstr>
      <vt:lpstr>equip1_reserve_freq</vt:lpstr>
      <vt:lpstr>equip2_reserve_cost</vt:lpstr>
      <vt:lpstr>equip2_reserve_freq</vt:lpstr>
      <vt:lpstr>equip3_reserve_cost</vt:lpstr>
      <vt:lpstr>equip3_reserve_freq</vt:lpstr>
      <vt:lpstr>federal_tax_rate</vt:lpstr>
      <vt:lpstr>flip_target_year</vt:lpstr>
      <vt:lpstr>fuelcell_annual_energy_discharged</vt:lpstr>
      <vt:lpstr>FuelCellFuel</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IRRTarget</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loan_moratorium</vt:lpstr>
      <vt:lpstr>months_receivables_reserve</vt:lpstr>
      <vt:lpstr>months_working_reserve</vt:lpstr>
      <vt:lpstr>MortgageSizeOfDebt</vt:lpstr>
      <vt:lpstr>NominalDiscountRate</vt:lpstr>
      <vt:lpstr>non_energy_expenses_ds</vt:lpstr>
      <vt:lpstr>non_energy_revenue_ds</vt:lpstr>
      <vt:lpstr>om_capacity</vt:lpstr>
      <vt:lpstr>om_capacity_escal</vt:lpstr>
      <vt:lpstr>om_fixed</vt:lpstr>
      <vt:lpstr>om_fixed_escal</vt:lpstr>
      <vt:lpstr>om_fuel_cost</vt:lpstr>
      <vt:lpstr>om_fuel_cost_escal</vt:lpstr>
      <vt:lpstr>om_land_lease</vt:lpstr>
      <vt:lpstr>om_land_lease_escal</vt:lpstr>
      <vt:lpstr>om_production</vt:lpstr>
      <vt:lpstr>om_production_escal</vt:lpstr>
      <vt:lpstr>pbi_fed_amount</vt:lpstr>
      <vt:lpstr>pbi_fed_escal</vt:lpstr>
      <vt:lpstr>pbi_fed_for_ds</vt:lpstr>
      <vt:lpstr>pbi_fed_tax_fed</vt:lpstr>
      <vt:lpstr>pbi_fed_tax_sta</vt:lpstr>
      <vt:lpstr>pbi_fed_term</vt:lpstr>
      <vt:lpstr>pbi_oth_amount</vt:lpstr>
      <vt:lpstr>pbi_oth_escal</vt:lpstr>
      <vt:lpstr>pbi_oth_for_ds</vt:lpstr>
      <vt:lpstr>pbi_oth_tax_fed</vt:lpstr>
      <vt:lpstr>pbi_oth_tax_sta</vt:lpstr>
      <vt:lpstr>pbi_oth_term</vt:lpstr>
      <vt:lpstr>pbi_sta_amount</vt:lpstr>
      <vt:lpstr>pbi_sta_escal</vt:lpstr>
      <vt:lpstr>pbi_sta_for_ds</vt:lpstr>
      <vt:lpstr>pbi_sta_tax_fed</vt:lpstr>
      <vt:lpstr>pbi_sta_tax_sta</vt:lpstr>
      <vt:lpstr>pbi_sta_term</vt:lpstr>
      <vt:lpstr>pbi_uti_amount</vt:lpstr>
      <vt:lpstr>pbi_uti_escal</vt:lpstr>
      <vt:lpstr>pbi_uti_for_ds</vt:lpstr>
      <vt:lpstr>pbi_uti_tax_fed</vt:lpstr>
      <vt:lpstr>pbi_uti_tax_sta</vt:lpstr>
      <vt:lpstr>pbi_uti_term</vt:lpstr>
      <vt:lpstr>ppa_escalation</vt:lpstr>
      <vt:lpstr>PPAPriceInput</vt:lpstr>
      <vt:lpstr>prop_tax_assessed_decline</vt:lpstr>
      <vt:lpstr>prop_tax_cost_assessed_percent</vt:lpstr>
      <vt:lpstr>property_tax_rate</vt:lpstr>
      <vt:lpstr>PropertyTaxAssessedValue</vt:lpstr>
      <vt:lpstr>ptc_fed_amount</vt:lpstr>
      <vt:lpstr>ptc_fed_escal</vt:lpstr>
      <vt:lpstr>ptc_fed_term</vt:lpstr>
      <vt:lpstr>ptc_sta_amount</vt:lpstr>
      <vt:lpstr>ptc_sta_escal</vt:lpstr>
      <vt:lpstr>ptc_sta_term</vt:lpstr>
      <vt:lpstr>real_discount_rate</vt:lpstr>
      <vt:lpstr>reserves_interest</vt:lpstr>
      <vt:lpstr>sales_tax_rate</vt:lpstr>
      <vt:lpstr>salvage_percentage</vt:lpstr>
      <vt:lpstr>state_tax_rate</vt:lpstr>
      <vt:lpstr>system_capacity</vt:lpstr>
      <vt:lpstr>system_heat_rate</vt:lpstr>
      <vt:lpstr>term_int_rate</vt:lpstr>
      <vt:lpstr>term_tenor</vt:lpstr>
      <vt:lpstr>TODMultipliersApply</vt:lpstr>
      <vt:lpstr>total_installed_cost</vt:lpstr>
      <vt:lpstr>total_land_area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2022-05-12T16:37:01Z</dcterms:created>
  <dcterms:modified xsi:type="dcterms:W3CDTF">2026-08-04T18:05:56Z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100</vt:r8>
  </property>
  <property fmtid="{D5CDD505-2E9C-101B-9397-08002B2CF9AE}" pid="4" name="MSIP_Label_a618d1e0-f5d7-4da7-8ddd-3b83021a2c85_Enabled">
    <vt:lpwstr>true</vt:lpwstr>
  </property>
  <property fmtid="{D5CDD505-2E9C-101B-9397-08002B2CF9AE}" pid="5" name="MSIP_Label_a618d1e0-f5d7-4da7-8ddd-3b83021a2c85_SetDate">
    <vt:lpwstr>2026-08-04T18:05:04Z</vt:lpwstr>
  </property>
  <property fmtid="{D5CDD505-2E9C-101B-9397-08002B2CF9AE}" pid="6" name="MSIP_Label_a618d1e0-f5d7-4da7-8ddd-3b83021a2c85_Method">
    <vt:lpwstr>Standard</vt:lpwstr>
  </property>
  <property fmtid="{D5CDD505-2E9C-101B-9397-08002B2CF9AE}" pid="7" name="MSIP_Label_a618d1e0-f5d7-4da7-8ddd-3b83021a2c85_Name">
    <vt:lpwstr>Private</vt:lpwstr>
  </property>
  <property fmtid="{D5CDD505-2E9C-101B-9397-08002B2CF9AE}" pid="8" name="MSIP_Label_a618d1e0-f5d7-4da7-8ddd-3b83021a2c85_SiteId">
    <vt:lpwstr>ae323139-093a-4d2a-81a6-5d334bcd9019</vt:lpwstr>
  </property>
  <property fmtid="{D5CDD505-2E9C-101B-9397-08002B2CF9AE}" pid="9" name="MSIP_Label_a618d1e0-f5d7-4da7-8ddd-3b83021a2c85_ActionId">
    <vt:lpwstr>5d9f5d37-67ba-425e-a815-20d53833a9fa</vt:lpwstr>
  </property>
  <property fmtid="{D5CDD505-2E9C-101B-9397-08002B2CF9AE}" pid="10" name="MSIP_Label_a618d1e0-f5d7-4da7-8ddd-3b83021a2c85_ContentBits">
    <vt:lpwstr>0</vt:lpwstr>
  </property>
  <property fmtid="{D5CDD505-2E9C-101B-9397-08002B2CF9AE}" pid="11" name="MSIP_Label_a618d1e0-f5d7-4da7-8ddd-3b83021a2c85_Tag">
    <vt:lpwstr>10, 3, 0, 1</vt:lpwstr>
  </property>
</Properties>
</file>